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078fa6186156b969/Desktop/GLRI Project/Milwauke/Data for Papier/Mixtures MS/ECOTOX Mixtures/"/>
    </mc:Choice>
  </mc:AlternateContent>
  <xr:revisionPtr revIDLastSave="1" documentId="8_{C9873E6E-2C27-401B-846C-249124697F39}" xr6:coauthVersionLast="46" xr6:coauthVersionMax="46" xr10:uidLastSave="{050467D5-C70E-4DB9-831D-17F381545205}"/>
  <bookViews>
    <workbookView xWindow="28680" yWindow="-120" windowWidth="29040" windowHeight="15840" xr2:uid="{00000000-000D-0000-FFFF-FFFF00000000}"/>
  </bookViews>
  <sheets>
    <sheet name="Aquatic-Export" sheetId="1" r:id="rId1"/>
    <sheet name="References" sheetId="2" r:id="rId2"/>
    <sheet name="Search_Paramete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62" i="2" l="1"/>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<sst xmlns="http://schemas.openxmlformats.org/spreadsheetml/2006/main" count="97984" uniqueCount="3537">
  <si>
    <t>CAS Number</t>
  </si>
  <si>
    <t>Chemical Name</t>
  </si>
  <si>
    <t>Chemical Grade</t>
  </si>
  <si>
    <t>Chemical Analysis</t>
  </si>
  <si>
    <t>Chemical Purity</t>
  </si>
  <si>
    <t>Species Scientific Name</t>
  </si>
  <si>
    <t>Species Common Name</t>
  </si>
  <si>
    <t>Species Group</t>
  </si>
  <si>
    <t>Organism Lifestage</t>
  </si>
  <si>
    <t>Organism Age</t>
  </si>
  <si>
    <t>Age Units</t>
  </si>
  <si>
    <t>Exposure Type</t>
  </si>
  <si>
    <t>Media Type</t>
  </si>
  <si>
    <t>Test Location</t>
  </si>
  <si>
    <t>Number of Doses</t>
  </si>
  <si>
    <t>Conc 1 Type (Standardized)</t>
  </si>
  <si>
    <t>Conc 1 Mean Op (Standardized)</t>
  </si>
  <si>
    <t>Conc 1 Mean (Standardized)</t>
  </si>
  <si>
    <t>Conc 1 Min Op (Standardized)</t>
  </si>
  <si>
    <t>Conc Min 1 (Standardized)</t>
  </si>
  <si>
    <t>Conc 1 Max Op (Standardized)</t>
  </si>
  <si>
    <t>Conc 1 Max (Standardized)</t>
  </si>
  <si>
    <t>Conc 1 Units (Standardized)</t>
  </si>
  <si>
    <t>Effect</t>
  </si>
  <si>
    <t>Effect Measurement</t>
  </si>
  <si>
    <t>Endpoint</t>
  </si>
  <si>
    <t>Response Site</t>
  </si>
  <si>
    <t>Observed Duration (Days)</t>
  </si>
  <si>
    <t>Observed Duration Units (Days)</t>
  </si>
  <si>
    <t>BCF 1 Value Op</t>
  </si>
  <si>
    <t>BCF 1 Value</t>
  </si>
  <si>
    <t>BCF 1 Min Op</t>
  </si>
  <si>
    <t>BCF 1 Min</t>
  </si>
  <si>
    <t>BCF 1 Max Op</t>
  </si>
  <si>
    <t>BCF 1 Max</t>
  </si>
  <si>
    <t>BCF 1 Unit</t>
  </si>
  <si>
    <t>BCF 2 Value Op</t>
  </si>
  <si>
    <t>BCF 2 Value</t>
  </si>
  <si>
    <t>BCF 2 Min Op</t>
  </si>
  <si>
    <t>BCF 2 Min</t>
  </si>
  <si>
    <t>BCF 2 Max Op</t>
  </si>
  <si>
    <t>BCF 2 Max</t>
  </si>
  <si>
    <t>BCF 2 Unit</t>
  </si>
  <si>
    <t>BCF 3 Value Op</t>
  </si>
  <si>
    <t>BCF 3 Value</t>
  </si>
  <si>
    <t>BCF 3 Min Op</t>
  </si>
  <si>
    <t>BCF 3 Min</t>
  </si>
  <si>
    <t>BCF 3 Max Op</t>
  </si>
  <si>
    <t>BCF 3 Max</t>
  </si>
  <si>
    <t>BCF 3 Unit</t>
  </si>
  <si>
    <t>Author</t>
  </si>
  <si>
    <t>Reference Number</t>
  </si>
  <si>
    <t>Title</t>
  </si>
  <si>
    <t>Source</t>
  </si>
  <si>
    <t>Publication Year</t>
  </si>
  <si>
    <t>Summary of Additional Parameters</t>
  </si>
  <si>
    <t>Formaldehyde</t>
  </si>
  <si>
    <t>Measured</t>
  </si>
  <si>
    <t>Pimephales promelas</t>
  </si>
  <si>
    <t>Fathead Minnow</t>
  </si>
  <si>
    <t>Fish; Standard Test Species</t>
  </si>
  <si>
    <t>Day(s)</t>
  </si>
  <si>
    <t>Static</t>
  </si>
  <si>
    <t>Fresh water</t>
  </si>
  <si>
    <t>Lab</t>
  </si>
  <si>
    <t>Active ingredient</t>
  </si>
  <si>
    <t>AI mg/L</t>
  </si>
  <si>
    <t>Mortality</t>
  </si>
  <si>
    <t>LC50</t>
  </si>
  <si>
    <t>--</t>
  </si>
  <si>
    <t>Brooke,L.</t>
  </si>
  <si>
    <t>Report of the Flow-Through and Static Acute Test Comparisons with Fathead Minnows and Acute Tests with an Amphipod and a Cladoceran</t>
  </si>
  <si>
    <t>Memo to L.Larson, Center for Lake Superior Environmental Studies dated August 31:24 p.</t>
  </si>
  <si>
    <t>Purity:  NR - NR | Organism Age:  NR - NR Day(s) | Duration (Days):  NR - NR Day(s) | Conc 2 (Standardized):  NR (NR - NR) NR | Conc 3 (Standardized):  NR (NR - NR) NR</t>
  </si>
  <si>
    <t>Flow-through</t>
  </si>
  <si>
    <t>Geiger,D.L., L.T. Brooke, and D.J. Call</t>
  </si>
  <si>
    <t>Acute Toxicities of Organic Chemicals to Fathead Minnows (Pimephales promelas), Volume V</t>
  </si>
  <si>
    <t>Center for Lake Superior Environmental Studies, University of Wisconsin, Superior, WI:332 p.</t>
  </si>
  <si>
    <t>5-Ethyl-5-phenyl-2,4,6(1H,3H,5H)-pyrimidinetrione</t>
  </si>
  <si>
    <t>&gt;99</t>
  </si>
  <si>
    <t>Geiger,D.L., D.J. Call, and L.T. Brooke</t>
  </si>
  <si>
    <t>Acute Toxicities of Organic Chemicals to Fathead Minnows (Pimephales promelas) Volume IV</t>
  </si>
  <si>
    <t>Center for Lake Superior Environmental Studies, University of Wisconsin, Superior, WI4:355 p.</t>
  </si>
  <si>
    <t>1,1'-(2,2,2-Trichloroethylidene)bis[4-chlorobenzene]</t>
  </si>
  <si>
    <t>Reference Standard</t>
  </si>
  <si>
    <t>Unmeasured</t>
  </si>
  <si>
    <t>NR</t>
  </si>
  <si>
    <t>Henderson,C., Q.H. Pickering, and C.M. Tarzwell</t>
  </si>
  <si>
    <t>Relative Toxicity of Ten Chlorinated Hydrocarbon Insecticides to Four Species of Fish</t>
  </si>
  <si>
    <t>Trans. Am. Fish. Soc.88(1): 23-32</t>
  </si>
  <si>
    <t>Purity:  NR - NR | Organism Age:  NR - NR NR | Duration (Days):  NR - NR Day(s) | Conc 2 (Standardized):  NR (NR - NR) NR | Conc 3 (Standardized):  NR (NR - NR) NR</t>
  </si>
  <si>
    <t>Technical grade, technical product, technical formulation</t>
  </si>
  <si>
    <t>Purity:  NR - NR | Organism Age:  NR - NR NR | Duration (Days):  NR - NR Day(s) | Conc 2 (Standardized):  Formulation 0.042 (NR - NR) AI mg/L | Conc 3 (Standardized):  NR (NR - NR) NR</t>
  </si>
  <si>
    <t>Solon,J.M., J.L. Lincer, and J.H. Nair III</t>
  </si>
  <si>
    <t>The Effect of Sublethal Concentration of LAS on the Acute Toxicity of Various Insecticides to the Fathead Minnow (Pimephales promelas Rafinesque)</t>
  </si>
  <si>
    <t>Water Res.3(10): 767-775</t>
  </si>
  <si>
    <t>Mayer,F.L.,Jr., and M.R. Ellersieck</t>
  </si>
  <si>
    <t>Manual of Acute Toxicity: Interpretation and Data Base for 410 Chemicals and 66 Species of Freshwater Animals</t>
  </si>
  <si>
    <t>USDI Fish and Wildlife Service, Publication No.160, Washington, DC:505 p.</t>
  </si>
  <si>
    <t>Purity:  NR - NR | Organism Age:  NR - NR NR | Duration (Days):  NR - NR Day(s) | Conc 2 (Standardized):  Formulation 0.045 (NR - NR) AI mg/L | Conc 3 (Standardized):  NR (NR - NR) NR</t>
  </si>
  <si>
    <t>Formulation</t>
  </si>
  <si>
    <t>Mayer,F.L.,Jr.</t>
  </si>
  <si>
    <t>Pesticides as Pollutants</t>
  </si>
  <si>
    <t>In: B.G.Liptak (Ed.), Environmental Engineer's Handbook, Chilton Book Co., Radnor, PA:405-418</t>
  </si>
  <si>
    <t>Analytical grade</t>
  </si>
  <si>
    <t>Priester,L.E.,Jr.</t>
  </si>
  <si>
    <t>The Accumulation and Metabolism of DDT, Parathion, and Endrin by Aquatic Food-Chain Organisms</t>
  </si>
  <si>
    <t>Ph.D. Thesis, Clemson University, Clemson, SC:74 p.</t>
  </si>
  <si>
    <t>Macek,K.J., and W.A. McAllister</t>
  </si>
  <si>
    <t>Insecticide Susceptibility of Some Common Fish Family Representatives</t>
  </si>
  <si>
    <t>Trans. Am. Fish. Soc.99(1): 20-27</t>
  </si>
  <si>
    <t>Macek,K.J., and H.O. Sanders</t>
  </si>
  <si>
    <t>Biological Variation in the Susceptibility of Fish and Aquatic Invertebrates to DDT</t>
  </si>
  <si>
    <t>Trans. Am. Fish. Soc.99(1): 89-90</t>
  </si>
  <si>
    <t>2,3,6-Trichlorobenzoic acid</t>
  </si>
  <si>
    <t>5-[[2-(2-Butoxyethoxy)ethoxy]methyl]-6-propyl-1,3-benzodioxole</t>
  </si>
  <si>
    <t>U.S. Environmental Protection Agency</t>
  </si>
  <si>
    <t>Pesticide Ecotoxicity Database (Formerly: Environmental Effects Database (EEDB))</t>
  </si>
  <si>
    <t>Environmental Fate and Effects Division, U.S.EPA, Washington, D.C.:</t>
  </si>
  <si>
    <t>2,4-Dinitrophenol</t>
  </si>
  <si>
    <t>Call,D.J., S.H. Poirier, C.A. Lindberg, S.L. Harting, T.P. Markee, L.T. Brooke, N. Zarvan, and C.E. Northcott</t>
  </si>
  <si>
    <t>Toxicity of Selected Uncoupling and Acetylcholinesterase-Inhibiting Pesticides to the Fathead Minnow (Pimephales promelas)</t>
  </si>
  <si>
    <t>In: D.L.Weigmann (Ed.), Pesticides in Terrestrial and Aquatic Environments, Proc.Natl.Res.Conf., Virginia Polytechnic Inst.and State Univ., Blacksburg, VA:317-336</t>
  </si>
  <si>
    <t>Purity:  NR - NR | Organism Age:  28 - 38 Day(s) | Duration (Days):  NR - NR Day(s) | Conc 2 (Standardized):  NR (NR - NR) NR | Conc 3 (Standardized):  NR (NR - NR) NR</t>
  </si>
  <si>
    <t>Phipps,G.L., G.W. Holcombe, and J.T. Fiandt</t>
  </si>
  <si>
    <t>Acute Toxicity of Phenol and Substituted Phenols to the Fathead Minnow</t>
  </si>
  <si>
    <t>Bull. Environ. Contam. Toxicol.26(5): 585-593</t>
  </si>
  <si>
    <t>Purity:  NR - NR | Organism Age:  30 - 35 Day(s) | Duration (Days):  NR - NR Day(s) | Conc 2 (Standardized):  NR (NR - NR) NR | Conc 3 (Standardized):  NR (NR - NR) NR</t>
  </si>
  <si>
    <t>&gt;=95</t>
  </si>
  <si>
    <t>Juvenile</t>
  </si>
  <si>
    <t>Broderius,S.J., M.D. Kahl, G.E. Elonen, D.E. Hammermeister, and M.D. Hoglund</t>
  </si>
  <si>
    <t>A Comparison of the Lethal and Sublethal Toxicity of Organic Chemical Mixtures to the Fathead Minnow (Pimephales promelas)</t>
  </si>
  <si>
    <t>Environ. Toxicol. Chem.24(12): 3117-3127</t>
  </si>
  <si>
    <t>Purity:  NR - NR | Organism Age:  26 - 34 Day(s) | Duration (Days):  NR - NR Day(s) | Conc 2 (Standardized):  NR (NR - NR) NR | Conc 3 (Standardized):  NR (NR - NR) NR</t>
  </si>
  <si>
    <t>Broderius,S.J., M.D. Kahl, and M.D. Hoglund</t>
  </si>
  <si>
    <t>Use of Joint Toxic Response to Define the Primary Mode of Toxic Action for Diverse Industrial Organic Chemicals</t>
  </si>
  <si>
    <t>Environ. Toxicol. Chem.14(9): 1591-1605</t>
  </si>
  <si>
    <t>Purity:  NR - NR | Organism Age:  47 - 50 Day(s) | Duration (Days):  NR - NR Day(s) | Conc 2 (Standardized):  NR (NR - NR) NR | Conc 3 (Standardized):  NR (NR - NR) NR</t>
  </si>
  <si>
    <t>Call,D.J., L.T. Brooke, and N. Ahmad</t>
  </si>
  <si>
    <t>Toxicity, Bioconcentration, and Metabolism of Selected Chemicals in Aquatic Organisms</t>
  </si>
  <si>
    <t>Fourth Quarterly Progress Report to EPA, Agreement No.CR 806864020, University of Wisconsin, Superior, WI:80 p.</t>
  </si>
  <si>
    <t>Geiger,D.L., C.E. Northcott, D.J. Call, and L.T. Brooke</t>
  </si>
  <si>
    <t>Acute Toxicities of Organic Chemicals to Fathead Minnows (Pimephales promelas), Volume II</t>
  </si>
  <si>
    <t>Center for Lake Superior Environmental Studies, University of Wisconsin, Superior, WI:326 p.</t>
  </si>
  <si>
    <t>Holcombe,G.W., G.L. Phipps, A.H. Sulaiman, and A.D. Hoffman</t>
  </si>
  <si>
    <t>Simultaneous Multiple Species Testing: Acute Toxicity of 13 Chemicals to 12 Diverse Freshwater Amphibian, Fish, and Invertebrate Families</t>
  </si>
  <si>
    <t>Arch. Environ. Contam. Toxicol.16:697-710</t>
  </si>
  <si>
    <t>Carbamic acid, Ethyl ester</t>
  </si>
  <si>
    <t>Purity:  NR - NR | Organism Age:  31 - 32 Day(s) | Duration (Days):  NR - NR Day(s) | Conc 2 (Standardized):  NR (NR - NR) NR | Conc 3 (Standardized):  NR (NR - NR) NR</t>
  </si>
  <si>
    <t>P-(2,2,2-Trichloro-1-hydroxyethyl)phosphonic acid dimethyl ester</t>
  </si>
  <si>
    <t>Henderson,C., and Q.H. Pickering</t>
  </si>
  <si>
    <t>Toxicity of Organic Phosphorus Insecticides to Fish</t>
  </si>
  <si>
    <t>Trans. Am. Fish. Soc.87:39-51</t>
  </si>
  <si>
    <t>&gt;</t>
  </si>
  <si>
    <t>Sanders,H.O., M.T. Finley, and J.B. Hunn</t>
  </si>
  <si>
    <t>Acute Toxicity of Six Forest Insecticides to Three Aquatic Invertebrates and Four Fishes</t>
  </si>
  <si>
    <t>Tech.Pap.No.110, U.S.Fish Wildl.Serv., Washington, DC:1-5</t>
  </si>
  <si>
    <t>Pickering,Q.H., C. Henderson, and A.E. Lemke</t>
  </si>
  <si>
    <t>The Toxicity of Organic Phosphorus Insecticides to Different Species of Warmwater Fishes</t>
  </si>
  <si>
    <t>Trans. Am. Fish. Soc.91:175-184</t>
  </si>
  <si>
    <t>2-Hydroxybenzoic acid, Sodium salt (1:1)</t>
  </si>
  <si>
    <t>Purity:  NR - NR | Organism Age:  30 - 31 Day(s) | Duration (Days):  NR - NR Day(s) | Conc 2 (Standardized):  NR (NR - NR) NR | Conc 3 (Standardized):  NR (NR - NR) NR</t>
  </si>
  <si>
    <t>N-Ethyl-N-nitrosoethanamine</t>
  </si>
  <si>
    <t>Draper III,A.C., and W.S. Brewer</t>
  </si>
  <si>
    <t>Measurement of the Aquatic Toxicity of Volatile Nitrosamines</t>
  </si>
  <si>
    <t>J. Toxicol. Environ. Health5:985-993</t>
  </si>
  <si>
    <t>Benzamide</t>
  </si>
  <si>
    <t>O,O-Dimethyl O-[3-methyl-4-(methylthio)phenyl]ester phosphorothioic acid</t>
  </si>
  <si>
    <t>Pickering,Q.H., and C. Henderson</t>
  </si>
  <si>
    <t>The Acute Toxicity of Some Pesticides to Fish</t>
  </si>
  <si>
    <t>Ohio J. Sci.66(5): 508-513</t>
  </si>
  <si>
    <t>4-Methylaminophenol sulfate</t>
  </si>
  <si>
    <t>~</t>
  </si>
  <si>
    <t>National Association of Photographic Manufacturers</t>
  </si>
  <si>
    <t>Environmental Effect of Photoprocessing Chemicals Vol I and II (557)</t>
  </si>
  <si>
    <t>EPA/OTS Doc. #40-8469216:536 p.</t>
  </si>
  <si>
    <t>1,2,3-Propanetriol, 1,2,3-Trinitrate</t>
  </si>
  <si>
    <t>Fry</t>
  </si>
  <si>
    <t>Bentley,R.E., J.W. Dean, S.J. Ells, G.A. LeBlanc, S. Sauter, K.S. Buxton, and B.H. Sleight III</t>
  </si>
  <si>
    <t>Laboratory Evaluation of the Toxicity of Nitroglycerine to Aquatic Organisms</t>
  </si>
  <si>
    <t>U. S. Army Medical Research and Development Command, Washington, D.C.:82 p.</t>
  </si>
  <si>
    <t>Burton,D.T., S.D. Turley, and G.T. Peters</t>
  </si>
  <si>
    <t>Toxicity of Nitroguanidine, Nitroglycerin, Hexahydro-1,3,5-Trinitro-1,3,5-Triazine (RDX), and 2,4,6-Trinitrotoluene (TNT) to Selected Freshwater Aquatic Organisms</t>
  </si>
  <si>
    <t>Final Rep. April, 1993, WREC-93-B3, U.S. Army Med. Res. and Dev. Command, Ft. Detrick, Frederick, MD:262 p.</t>
  </si>
  <si>
    <t>Hour(s)</t>
  </si>
  <si>
    <t>Purity:  NR - NR | Organism Age:  NR - NR Hour(s) | Duration (Days):  NR - NR Day(s) | Conc 2 (Standardized):  NR (NR - NR) NR | Conc 3 (Standardized):  NR (NR - NR) NR</t>
  </si>
  <si>
    <t>Egg</t>
  </si>
  <si>
    <t>2-Chloro-N-(2-chloroethyl)-N-methylethanamine hydrochloride</t>
  </si>
  <si>
    <t>Larva</t>
  </si>
  <si>
    <t>&lt;14</t>
  </si>
  <si>
    <t>Renewal</t>
  </si>
  <si>
    <t>Lan,C.H., T.S. Lin, and C.Y. Peng</t>
  </si>
  <si>
    <t>Aquatic Toxicity of Nitrogen Mustard to Ceriodaphina dubia, Daphnia magna, and Pimephales promelas</t>
  </si>
  <si>
    <t>Ecotoxicol. Environ. Saf.61(2): 273-279</t>
  </si>
  <si>
    <t>Tetrachloromethane</t>
  </si>
  <si>
    <t>Reagent Grade, Purissium, Purum, Puriss or Puris</t>
  </si>
  <si>
    <t>Week(s)</t>
  </si>
  <si>
    <t>Kimball,G.</t>
  </si>
  <si>
    <t>The Effects of Lesser Known Metals and One Organic to Fathead Minnows (Pimephales promelas) and Daphnia magna</t>
  </si>
  <si>
    <t>Manuscript, Department of Entomology, Fisheries and Wildlife, University of Minnesota, Minneapolis, MN:88 p.</t>
  </si>
  <si>
    <t>Purity:  NR - NR | Organism Age:  NR - NR Week(s) | Duration (Days):  NR - NR Day(s) | Conc 2 (Standardized):  NR (NR - NR) NR | Conc 3 (Standardized):  NR (NR - NR) NR</t>
  </si>
  <si>
    <t>Total</t>
  </si>
  <si>
    <t>1,1,1,3,3,3-Hexabutyldistannoxane</t>
  </si>
  <si>
    <t>Brooke,L.T., D.J. Call, S.H. Poirier, T.P. Markee, C.A. Lindberg, D.J. McCauley, and P.G. Simonson</t>
  </si>
  <si>
    <t>Acute Toxicity and Chronic Effects of bis(Tri-n-Butyltin) Oxide to Several Species of Freshwater Organisms</t>
  </si>
  <si>
    <t>Center for Lake Superior Environmental Studies, University of Wisconsin, Superior, WI:20 p.</t>
  </si>
  <si>
    <t>N-Benzyl-N,N-diethylethanaminium chloride</t>
  </si>
  <si>
    <t>Phosphorothioic acid, O,O-Diethyl-O-(4-nitrophenyl)ester</t>
  </si>
  <si>
    <t>Solon,J.M., and J.H. Nair III</t>
  </si>
  <si>
    <t>The Effect of a Sublethal Concentration of LAS on the Acute Toxicity of Various Phosphate Pesticides to the Fathead Minnow (Pimephales promelas Rafinesque)</t>
  </si>
  <si>
    <t>Bull. Environ. Contam. Toxicol.5(5): 408-413</t>
  </si>
  <si>
    <t>Adult</t>
  </si>
  <si>
    <t>Spacie,A.</t>
  </si>
  <si>
    <t>Acute and Chronic Parathion Toxicity to Fish and Invertebrates</t>
  </si>
  <si>
    <t>Office of Research and Monitoring, U. S. Environmental Protection Agency, Washington, DC:106 p.</t>
  </si>
  <si>
    <t>Spacie,A., A.G. Vilkas, G.F. Doebbler, W.J. Kuc, and G.R. Iwan</t>
  </si>
  <si>
    <t>EPA 600/3-81-047, U.S.EPA, Washington, DC:78 p.</t>
  </si>
  <si>
    <t>Phosphorothioic acid O-(3-chloro-4-methyl-2-oxo-2H-1-benzopyran-7-yl) O,O-diethyl ester</t>
  </si>
  <si>
    <t>Commercial or technical grade</t>
  </si>
  <si>
    <t>The Toxicity of Organic Phosphorus and Chlorinated Hydrocarbon Insecticides to Fish</t>
  </si>
  <si>
    <t>In: C.M.Tarzwell (Ed.), Biological Problems in Water Pollution, Trans.2nd Seminar, April 20-24,1959, Tech.Rep.W60-3, U.S.Public Health Service, R.A.Taft Sanitary Engineering Center, Cincinnati, OH:76-88</t>
  </si>
  <si>
    <t>3-Isothiocyanato-1-propene</t>
  </si>
  <si>
    <t>1,1-Dimethylhydrazine</t>
  </si>
  <si>
    <t>Barnidge,D., D. Brooke, G. Elonen, T. Goldenstein, M. Hoglund, M. Kahl, G. Mielke, and A. Puglisi</t>
  </si>
  <si>
    <t>Toxicity of Data Gap Compounds to Fathead Minnows (Pimephales promelas) and Daphnids (Daphnia magna)</t>
  </si>
  <si>
    <t>U. S. Environmental Protection Agency, Environmental Research Laboratory, Duluth, MN:47 p.</t>
  </si>
  <si>
    <t>1,1,1-Trichloro-2-methyl-2-propanol</t>
  </si>
  <si>
    <t>5-Ethyl-5-(1-methylbutyl)-2,4,6(1H,3H,5H)-pyrimidinetrione sodium salt (1:1)</t>
  </si>
  <si>
    <t>Amobarbital</t>
  </si>
  <si>
    <t>1,2-Propanediol</t>
  </si>
  <si>
    <t>&lt;=7</t>
  </si>
  <si>
    <t>Cornell,J.S., D.A. Pillard, and M.T. Hernandez</t>
  </si>
  <si>
    <t>Comparative Measures of the Toxicity of Component Chemicals in Aircraft Deicing Fluid</t>
  </si>
  <si>
    <t>Environ. Toxicol. Chem.19(6): 1465-1472</t>
  </si>
  <si>
    <t>Pillard,D.A.</t>
  </si>
  <si>
    <t>Comparative Toxicity of Formulated Glycol Deicers and Pure Ethylene and Propylene Glycol to Ceroidaphnia dubia and Pimephales promelas</t>
  </si>
  <si>
    <t>Environ. Toxicol. Chem.14(2): 311-315</t>
  </si>
  <si>
    <t>1,2,4,5,6,7,8,8-Octachloro-2,3,3a,4,7,7a-hexahydro-4,7-methano-1H-indene</t>
  </si>
  <si>
    <t>Purity:  NR - NR | Organism Age:  NR - NR NR | Duration (Days):  NR - NR Day(s) | Conc 2 (Standardized):  Formulation 0.17 (NR - NR) AI mg/L | Conc 3 (Standardized):  NR (NR - NR) NR</t>
  </si>
  <si>
    <t>3,7-Dihydro-1,3,7-trimethyl-1H-purine-2,6-dione</t>
  </si>
  <si>
    <t>2-Methyl-1,4-naphthalenedione</t>
  </si>
  <si>
    <t>(1alpha,2alpha,3beta,4alpha,5alpha,6beta)-1,2,3,4,5,6-Hexachlorocyclohexane</t>
  </si>
  <si>
    <t>Dyer,S.D., K.L. Dickson, and E.G. Zimmerman</t>
  </si>
  <si>
    <t>A Laboratory Evaluation of the Use of Stress Proteins in Fish to Detect Changes in Water Quality</t>
  </si>
  <si>
    <t>ASTM Spec. Tech. Publ.:247-261</t>
  </si>
  <si>
    <t>Purity:  NR - NR | Organism Age:  90 - 120 Day(s) | Duration (Days):  NR - NR Day(s) | Conc 2 (Standardized):  NR (NR - NR) NR | Conc 3 (Standardized):  NR (NR - NR) NR</t>
  </si>
  <si>
    <t>Call,D.J., L.T. Brooke, N. Ahmad, and D.D. Vaishnav</t>
  </si>
  <si>
    <t>Aquatic Pollutant Hazard Assessments and Development of a Hazard Prediction Technology by Quantitative Structure-Activity Relationships</t>
  </si>
  <si>
    <t>Second Quarterly Rep., U.S.EPA Coop.Agreement No.CR 809234-01-0, Ctr.for Lake Superior Environ.Stud., Univ.of Wisconsin, Superior, WI:74 p.</t>
  </si>
  <si>
    <t>Macek,K.J., K.S. Buxton, S.K. Derr, J.W. Dean, and S. Sauter</t>
  </si>
  <si>
    <t>Chronic Toxicity of Lindane to Selected Aquatic Invertebrates and Fishes</t>
  </si>
  <si>
    <t>EPA-600/3-76-046, U.S.EPA, Duluth, MN:50 p.</t>
  </si>
  <si>
    <t>2,3,4,6-Tetrachlorophenol</t>
  </si>
  <si>
    <t>&gt;95</t>
  </si>
  <si>
    <t>4-Chloro-3-methylphenol</t>
  </si>
  <si>
    <t>Barnhart,E.L., and G.R. Campbell</t>
  </si>
  <si>
    <t>The Effect of Chlorination on Selected Organic Chemicals</t>
  </si>
  <si>
    <t>EPA-12020-EXG, U.S.EPA, Washington, D.C.:105 p.</t>
  </si>
  <si>
    <t>Holcombe,G.W., G.L. Phipps, M.L. Knuth, and T. Felhaber</t>
  </si>
  <si>
    <t>The Acute Toxicity of Selected Substituted Phenols, Benzenes and Benzoic Acid Esters to Fathead Minnows Pimephales promelas</t>
  </si>
  <si>
    <t>Environ. Pollut. A.35(4): 367-381</t>
  </si>
  <si>
    <t>Purity:  NR - NR | Organism Age:  31 - 35 Day(s) | Duration (Days):  NR - NR Day(s) | Conc 2 (Standardized):  NR (NR - NR) NR | Conc 3 (Standardized):  NR (NR - NR) NR</t>
  </si>
  <si>
    <t>Tolazoline hydrochloride</t>
  </si>
  <si>
    <t>Geiger,D.L., S.H. Poirier, L.T. Brooke, and D.J. Call</t>
  </si>
  <si>
    <t>Acute Toxicities of Organic Chemicals to Fathead Minnows (Pimephales promelas) Volume III</t>
  </si>
  <si>
    <t>Center for Lake Superior Environmental Studies, University of Wisconsin, Superior, WI:328 p.</t>
  </si>
  <si>
    <t>N,N'-1,2-Ethanediylbis[N-(carboxymethyl)glycine</t>
  </si>
  <si>
    <t>&gt;=6</t>
  </si>
  <si>
    <t>Curtis,M.W., and C.H. Ward</t>
  </si>
  <si>
    <t>Aquatic Toxicity of Forty Industrial Chemicals: Testing in Support of Hazardous Substance Spill Prevention Regulation</t>
  </si>
  <si>
    <t>J. Hydrol.51:359-367</t>
  </si>
  <si>
    <t>(+-)-alpha-Methylbenzeneethanamine sulfate (2:1)</t>
  </si>
  <si>
    <t>1,1'-Oxybisethane</t>
  </si>
  <si>
    <t>Strychnidin-10-one, Sulfate (2:1)</t>
  </si>
  <si>
    <t xml:space="preserve">(1aR,2R,2aS,3S,6R,6aR,7S,7aS)-rel-3,4,5,6,9,9-Hexachloro-1a,2,2a,3,6,6a,7,7a-octahydro-2,7:3,6-dimethanonaphth[2,3-b]oxirene </t>
  </si>
  <si>
    <t>Tarzwell,C.M., and C. Henderson</t>
  </si>
  <si>
    <t>Toxicity of Dieldrin to Fish</t>
  </si>
  <si>
    <t>Trans. Am. Fish. Soc.86:245-257</t>
  </si>
  <si>
    <t>Purity:  NR - NR | Organism Age:  NR - NR NR | Duration (Days):  NR - NR Day(s) | Conc 2 (Standardized):  Formulation 0.018 (NR - NR) AI mg/L | Conc 3 (Standardized):  NR (NR - NR) NR</t>
  </si>
  <si>
    <t>7-(Dimethylamino)-3-(methylimino)-3H-phenothiazine, 3-Methochloride</t>
  </si>
  <si>
    <t>Rifici,L.M., D.S. Cherry, J.L. Farris, and J.,Jr. Cairns</t>
  </si>
  <si>
    <t>Acute and Subchronic Toxicity of Methylene Blue to Larval Fathead Minnows (Pimephales promelas): Implications for Aquatic Toxicity Testing</t>
  </si>
  <si>
    <t>Environ. Toxicol. Chem.15(8): 1304-1308</t>
  </si>
  <si>
    <t>Purity:  NR - NR | Organism Age:  24 - 48 Hour(s) | Duration (Days):  NR - NR Day(s) | Conc 2 (Standardized):  NR (NR - NR) NR | Conc 3 (Standardized):  NR (NR - NR) NR</t>
  </si>
  <si>
    <t>1H-1,2,4-Triazol-3-amine</t>
  </si>
  <si>
    <t>Benzenamine</t>
  </si>
  <si>
    <t>Brooke,L.T., D.J. Call, D.L. Geiger, and C.E. Northcott</t>
  </si>
  <si>
    <t>Acute Toxicities of Organic Chemicals to Fathead Minnows (Pimephales promelas), Vol. 1</t>
  </si>
  <si>
    <t>Center for Lake Superior Environmental Studies, University of Wisconsin-Superior, Superior, WI:414 p.</t>
  </si>
  <si>
    <t>&lt;24</t>
  </si>
  <si>
    <t>Survival</t>
  </si>
  <si>
    <t>Marchini,S., M.L. Tosato, T.J. Norberg-King, D.E. Hammermeister, and M.D. Hoglund</t>
  </si>
  <si>
    <t>Lethal and Sublethal Toxicity of Benzene Derivatives to the Fathead Minnow, Using a Short-Term Test</t>
  </si>
  <si>
    <t>Environ. Toxicol. Chem.11(2): 187-195</t>
  </si>
  <si>
    <t>Purity:  NR - NR | Organism Age:  28 - 33 Day(s) | Duration (Days):  NR - NR Day(s) | Conc 2 (Standardized):  NR (NR - NR) NR | Conc 3 (Standardized):  NR (NR - NR) NR</t>
  </si>
  <si>
    <t>Russom,C.L.</t>
  </si>
  <si>
    <t>Acute and Early Life Stage Toxicity Data</t>
  </si>
  <si>
    <t>June 21 Memo from U.S.EPA, Duluth, MN.to R.Spehar U.S.EPA, Duluth, MN:41 p.</t>
  </si>
  <si>
    <t>Ewell,W.S., J.W. Gorsuch, R.O. Kringle, K.A. Robillard, and R.C. Spiegel</t>
  </si>
  <si>
    <t>Simultaneous Evaluation of the Acute Effects of Chemicals on Seven Aquatic Species</t>
  </si>
  <si>
    <t>Environ. Toxicol. Chem.5(9): 831-840</t>
  </si>
  <si>
    <t>&gt;99.5</t>
  </si>
  <si>
    <t>Purity:  NR - NR | Organism Age:  42 - 46 Day(s) | Duration (Days):  NR - NR Day(s) | Conc 2 (Standardized):  NR (NR - NR) NR | Conc 3 (Standardized):  NR (NR - NR) NR</t>
  </si>
  <si>
    <t>Thioacetamide</t>
  </si>
  <si>
    <t>Curtis,M.W., C.M. Curran, and C.H. Ward</t>
  </si>
  <si>
    <t>Aquatic Toxicity Testing As Fundament for a Spill Prevention Program</t>
  </si>
  <si>
    <t>In: Proc.1980 Nat.Conf.Control of Hazardous Material Spills, Louisville, KY:284-287</t>
  </si>
  <si>
    <t>Thiourea</t>
  </si>
  <si>
    <t>Phosphoric acid 2,2-dichloroethenyl dimethyl ester</t>
  </si>
  <si>
    <t>Brooke,L.T.</t>
  </si>
  <si>
    <t>Results of Freshwater Exposures with the Chemicals Atrazine, Biphenyl, Butachlor, Carbaryl, Carbazole, Dibenzofuran, 3,3'-Dichlorobenzidine, Dichlorvos, 1,2-Epoxyethylbenzene (Styrene Oxide), Isophorone, Isopropalin, Ox</t>
  </si>
  <si>
    <t>Center for Lake Superior Environmental Studies, University of Wisconsin, Superior, WI:110 p.</t>
  </si>
  <si>
    <t>N-Methyl-N-nitrosomethanamine</t>
  </si>
  <si>
    <t>1-Naphthalenol methylcarbamate</t>
  </si>
  <si>
    <t>Dwyer,F.J., L.C. Sappington, D.R. Buckler, and S.B. Jones</t>
  </si>
  <si>
    <t>Use of Surrogate Species in Assessing Contaminant Risk to Endangered and Threatened Fishes</t>
  </si>
  <si>
    <t>EPA/600/R-96/029, U.S.EPA, Washington, DC:78 p.</t>
  </si>
  <si>
    <t>Mayer,F.L., D.R. Buckler, F.J. Dwyer, M.R. Ellersieck, L.C. Sappington, J.M. Besser, and C.M. Bridges</t>
  </si>
  <si>
    <t>Endangered Aquatic Vertebrates: Comparative and Probabilistic-Based Toxicology</t>
  </si>
  <si>
    <t>EPA/600/R-08/045, U.S.EPA, Washington, DC:43 p.</t>
  </si>
  <si>
    <t>Month(s)</t>
  </si>
  <si>
    <t>Carlson,A.R.</t>
  </si>
  <si>
    <t>Effects of Long-Term Exposure to Carbaryl (Sevin) on Survival, Growth, and Reproduction of the Fathead Minnow (Pimephales promelas)</t>
  </si>
  <si>
    <t>J. Fish. Res. Board Can.29:583-587</t>
  </si>
  <si>
    <t>Purity:  NR - NR | Organism Age:  NR - NR Month(s) | Duration (Days):  NR - NR Day(s) | Conc 2 (Standardized):  NR (NR - NR) NR | Conc 3 (Standardized):  NR (NR - NR) NR</t>
  </si>
  <si>
    <t>Phipps,G.L., and G.W. Holcombe</t>
  </si>
  <si>
    <t>A Method for Aquatic Multiple Species Toxicant Testing: Acute Toxicity of 10 Chemicals to 5 Vertebrates and 2 Invertebrates</t>
  </si>
  <si>
    <t>Environ. Pollut. A.38(2): 141-157</t>
  </si>
  <si>
    <t>Sappington,L.C., F.L. Mayer, F.J. Dwyer, D.R. Buckler, J.R. Jones, and M.R. Ellersieck</t>
  </si>
  <si>
    <t>Contaminant Sensitivity of Threatened and Endangered Fishes Compared to Standard Surrogate Species</t>
  </si>
  <si>
    <t>Environ. Toxicol. Chem.20(12): 2869-2876</t>
  </si>
  <si>
    <t>Norberg-King,T.J.</t>
  </si>
  <si>
    <t>An Evaluation of the Fathead Minnow Seven-Day Subchronic Test for Estimating Chronic Toxicity</t>
  </si>
  <si>
    <t>Environ. Toxicol. Chem.8(11): 1075-1089</t>
  </si>
  <si>
    <t>Dwyer,F.J., F.L. Mayer, L.C. Sappington, D.R. Buckler, C.M. Bridges, I.E. Greer, D.K. Hardesty, C.E. Henke, C.G. Ingers</t>
  </si>
  <si>
    <t>Assessing Contaminant Sensitivity of Endangered and Threatened Aquatic Species: Part I. Acute Toxicity of Five Chemicals</t>
  </si>
  <si>
    <t>Arch. Environ. Contam. Toxicol.48(2): 143-154</t>
  </si>
  <si>
    <t>Ethanol</t>
  </si>
  <si>
    <t>Mattson,V.R., J.W. Arthur, and C.T. Walbridge</t>
  </si>
  <si>
    <t>Acute Toxicity of Selected Organic Compounds to Fathead Minnows</t>
  </si>
  <si>
    <t>EPA-600/3-76-097, U.S.EPA, Duluth, MN:12 p.</t>
  </si>
  <si>
    <t>Purity:  NR - NR | Organism Age:  4 - 8 Week(s) | Duration (Days):  NR - NR Day(s) | Conc 2 (Standardized):  NR (NR - NR) NR | Conc 3 (Standardized):  NR (NR - NR) NR</t>
  </si>
  <si>
    <t>ARCO Chemical Co.</t>
  </si>
  <si>
    <t>Four-Day Static Aquatic Toxicity Studies with Acetone, Ethanol, Isopropanol and Methanol in Fathead Minnows with Cover Letter Dated 021287</t>
  </si>
  <si>
    <t>EPA/OTS Doc.#86870000096:39 p.</t>
  </si>
  <si>
    <t>Acetic acid</t>
  </si>
  <si>
    <t>3-[(2S)-1-Methyl-2-pyrrolidinyl]pyridine sulfate (2:1)</t>
  </si>
  <si>
    <t>Purity:  NR - NR | Organism Age:  48 - 50 Day(s) | Duration (Days):  NR - NR Day(s) | Conc 2 (Standardized):  NR (NR - NR) NR | Conc 3 (Standardized):  NR (NR - NR) NR</t>
  </si>
  <si>
    <t>2-Hydroxybenzamide</t>
  </si>
  <si>
    <t>Hexanal</t>
  </si>
  <si>
    <t>Purity:  NR - NR | Organism Age:  31 - 33 Day(s) | Duration (Days):  NR - NR Day(s) | Conc 2 (Standardized):  NR (NR - NR) NR | Conc 3 (Standardized):  NR (NR - NR) NR</t>
  </si>
  <si>
    <t>Turner,L.W.</t>
  </si>
  <si>
    <t>Acute Toxicity of Selected Chemicals to Fathead Minnow, Water Flea and Mysid Shrimp Under Static and Flow-Through Test Conditions</t>
  </si>
  <si>
    <t>Final Rep.Coop.Agreement 807479-01-0, U.S.EPA, Off.of Pestic.and Toxic Subst., Washington, DC:258 p.</t>
  </si>
  <si>
    <t>3,3'-Methylenebis[4-hydroxy]-2H-1-benzopyran-2-one</t>
  </si>
  <si>
    <t>4-Phenoxybenzaldehyde</t>
  </si>
  <si>
    <t>Estimates of "No Effect" Concentrations of Selected Pesticides in Freshwater Organisms</t>
  </si>
  <si>
    <t>Fourth Quarterly Prog.Rep.to EPA, EPA Coop.Agreement No.CR 806864030, Univ.of Wisconsin, Superior, WI:84 p.</t>
  </si>
  <si>
    <t>N,N-Bis[2-[bis(carboxymethyl)amino]ethyl]glycine</t>
  </si>
  <si>
    <t>Methanol</t>
  </si>
  <si>
    <t>Poirier,S.H., M.L. Knuth, C.D. Anderson-Buchou, L.T. Brooke, A.R. Lima, and P.J. Shubat</t>
  </si>
  <si>
    <t>Comparative Toxicity of Methanol and N,N-Dimethylformamide to Freshwater Fish and Invertebrates</t>
  </si>
  <si>
    <t>Bull. Environ. Contam. Toxicol.37(4): 615-621</t>
  </si>
  <si>
    <t>Purity:  NR - NR | Organism Age:  28 - 32 Day(s) | Duration (Days):  NR - NR Day(s) | Conc 2 (Standardized):  NR (NR - NR) NR | Conc 3 (Standardized):  NR (NR - NR) NR</t>
  </si>
  <si>
    <t>Veith,G.D., D.J. Call, and L.T. Brooke</t>
  </si>
  <si>
    <t>Estimating the Acute Toxicity of Narcotic Industrial Chemicals to Fathead Minnows</t>
  </si>
  <si>
    <t>ASTM Spec. Tech. Publ.:90-97</t>
  </si>
  <si>
    <t>Call,D.J., L.T. Brooke, N. Ahmad, and J.E. Richter</t>
  </si>
  <si>
    <t>Toxicity and Metabolism Studies with EPA (Environmental Protection Agency) Priority Pollutants and Related Chemicals in Freshwater Organisms</t>
  </si>
  <si>
    <t>EPA 600/3-83-095, U.S.EPA, Duluth, MN:120 p.</t>
  </si>
  <si>
    <t>Purity:  NR - NR | Organism Age:  30 - 32 Day(s) | Duration (Days):  NR - NR Day(s) | Conc 2 (Standardized):  NR (NR - NR) NR | Conc 3 (Standardized):  NR (NR - NR) NR</t>
  </si>
  <si>
    <t>2-Propanol</t>
  </si>
  <si>
    <t>Propan-2-one</t>
  </si>
  <si>
    <t>Brungs,W.A.</t>
  </si>
  <si>
    <t>Toxic Effects on Fish of Two Dispersants Used to Introduce Organic Pesticides into Water</t>
  </si>
  <si>
    <t>Manuscr., U.S.EPA, ERL-Narragansett, RI:9 p.</t>
  </si>
  <si>
    <t>Cardwell,R.D., D.G. Foreman, T.R. Payne, and D.J. Wilbur</t>
  </si>
  <si>
    <t>Acute and Chronic Toxicity of Four Organic Chemicals to Fish</t>
  </si>
  <si>
    <t>U.S.EPA, Environ.Res.Lab., Duluth, MN; Contract 68-01-0711 (Unpublished):26 p.</t>
  </si>
  <si>
    <t>Purity:  NR - NR | Organism Age:  2 - 3 Month(s) | Duration (Days):  NR - NR Day(s) | Conc 2 (Standardized):  NR (NR - NR) NR | Conc 3 (Standardized):  NR (NR - NR) NR</t>
  </si>
  <si>
    <t>Trichloromethane</t>
  </si>
  <si>
    <t>6-7</t>
  </si>
  <si>
    <t>Dow Chemical Co.</t>
  </si>
  <si>
    <t>Study to Assess the Influence of Age on the Response of Fathead Minnows in Static Acute Toxicity Tests</t>
  </si>
  <si>
    <t>EPA/OTS Doc.#86-870002091:32 p.</t>
  </si>
  <si>
    <t>Purity:  NR - NR | Organism Age:  10 - 15 Day(s) | Duration (Days):  NR - NR Day(s) | Conc 2 (Standardized):  NR (NR - NR) NR | Conc 3 (Standardized):  NR (NR - NR) NR</t>
  </si>
  <si>
    <t>American chemical society grade</t>
  </si>
  <si>
    <t>Age class</t>
  </si>
  <si>
    <t>Birge,W.J., J.A. Black, S.T. Ballard, and W.E. McDonnell</t>
  </si>
  <si>
    <t>Acute Toxicity Testing with Freshwater Fish</t>
  </si>
  <si>
    <t>EPA Contract No. 68-01-6201. NUS Corporation. Pittsburgh, Pennsylvania:47 p.</t>
  </si>
  <si>
    <t>Purity:  NR - NR | Organism Age:  NR - NR Age class | Duration (Days):  NR - NR Day(s) | Conc 2 (Standardized):  NR (NR - NR) NR | Conc 3 (Standardized):  NR (NR - NR) NR</t>
  </si>
  <si>
    <t>Subadult</t>
  </si>
  <si>
    <t>Purity:  NR - NR | Organism Age:  60 - 100 Day(s) | Duration (Days):  NR - NR Day(s) | Conc 2 (Standardized):  NR (NR - NR) NR | Conc 3 (Standardized):  NR (NR - NR) NR</t>
  </si>
  <si>
    <t>Mayes,M.A., H.C. Alexander, and D.C. Dill</t>
  </si>
  <si>
    <t>A Study to Assess the Influence of Age on the Response of Fathead Minnows in Static Acute Toxicity Tests</t>
  </si>
  <si>
    <t>Bull. Environ. Contam. Toxicol.31(2): 139-147</t>
  </si>
  <si>
    <t>Pre-, sub-, semi-, near adult, or peripubertal</t>
  </si>
  <si>
    <t>Purity:  NR - NR | Organism Age:  65 - 94 Day(s) | Duration (Days):  NR - NR Day(s) | Conc 2 (Standardized):  NR (NR - NR) NR | Conc 3 (Standardized):  NR (NR - NR) NR</t>
  </si>
  <si>
    <t>Sulfinyl bis(methane)</t>
  </si>
  <si>
    <t>1,1,1,2,2,2-Hexachloroethane</t>
  </si>
  <si>
    <t>Thurston,R.V., T.A. Gilfoil, E.L. Meyn, R.K. Zajdel, T.L. Aoki, and G.D. Veith</t>
  </si>
  <si>
    <t>Comparative Toxicity of Ten Organic Chemicals to Ten Common Aquatic Species</t>
  </si>
  <si>
    <t>Water Res.19(9): 1145-1155</t>
  </si>
  <si>
    <t>Walbridge,C.T., J.T. Fiandt, G.L. Phipps, and G.W. Holcombe</t>
  </si>
  <si>
    <t>Acute Toxicity of Ten Chlorinated Aliphatic Hydrocarbons to the Fathead Minnow (Pimephales promelas)</t>
  </si>
  <si>
    <t>Arch. Environ. Contam. Toxicol.12(6): 661-666</t>
  </si>
  <si>
    <t>&gt;98</t>
  </si>
  <si>
    <t>Bottger,A.</t>
  </si>
  <si>
    <t>Belastung der Anwohner von Chemisch-Reinigungsanlegen durch Tetrachlorethylen</t>
  </si>
  <si>
    <t>vortrag:30</t>
  </si>
  <si>
    <t>Mercaptoacetic acid</t>
  </si>
  <si>
    <t>Bender,M.E.</t>
  </si>
  <si>
    <t>The Toxicity of the Hydrolysis and Breakdown Products of Malathion to the Fathead Minnow (Pimephales promelas, Rafinesque)</t>
  </si>
  <si>
    <t>Water Res.3(8): 571-582</t>
  </si>
  <si>
    <t>N,N-Dimethylformamide</t>
  </si>
  <si>
    <t>2,2'-Methylenebis[3,4,6-trichlorophenol]</t>
  </si>
  <si>
    <t>2,2-Dimethyl-3-(2-methyl-1-propenyl)cyclopropanecarboxylic acid, (2,4-Diemethylphenyl)methyl ester</t>
  </si>
  <si>
    <t>1-(4-Aminophenyl)-1-propanone</t>
  </si>
  <si>
    <t>Propan-1-ol</t>
  </si>
  <si>
    <t>1-Butanol</t>
  </si>
  <si>
    <t>1-Pentanol</t>
  </si>
  <si>
    <t>Broderius,S., and M. Kahl</t>
  </si>
  <si>
    <t>Acute Toxicity of Organic Chemical Mixtures to the Fathead Minnow</t>
  </si>
  <si>
    <t>Aquat. Toxicol.6:307-322</t>
  </si>
  <si>
    <t>Benzene</t>
  </si>
  <si>
    <t>Acute Toxicity of Some Important Petrochemicals to Fish</t>
  </si>
  <si>
    <t>J. Water Pollut. Control Fed.38(9): 1419-1429</t>
  </si>
  <si>
    <t>&gt;99.9</t>
  </si>
  <si>
    <t>1,1,1-Trichloroethane</t>
  </si>
  <si>
    <t>Alexander,H.C., W.M. McCarty, and E.A. Bartlett</t>
  </si>
  <si>
    <t>Toxicity of Perchloroethylene, Trichloroethylene, 1,1,1-Trichloroethane, and Methylene Chloride to Fathead Minnows</t>
  </si>
  <si>
    <t>Bull. Environ. Contam. Toxicol.20(3): 344-352</t>
  </si>
  <si>
    <t>Acute Fish Toxicity of Five Chlorinated Solvents</t>
  </si>
  <si>
    <t>EPA/OTS 86-870002073:22 p.</t>
  </si>
  <si>
    <t>&lt;</t>
  </si>
  <si>
    <t>E.I. Du Pont De Nemours</t>
  </si>
  <si>
    <t>96-Hour LC50 to Fathead Minnows</t>
  </si>
  <si>
    <t>EPA/OTS 87-8220479:4 p.</t>
  </si>
  <si>
    <t>5-Ethyldihydro-5-(1-methylbutyl)-2-thioxo-4,6(1H,5H)-pyrimidinedione, Monosodium salt</t>
  </si>
  <si>
    <t>3,4,5,6,9,9-Hexachloro-1a,2,2a,3,6,6a,7,7a-octahydro-[2,7:3,6-dimethanonaphth[2,3-b]oxirene,[1a alpha,2 beta,2a beta,3 alpha,6 alpha,6a beta,7 beta,7a alpha]</t>
  </si>
  <si>
    <t>Purity:  NR - NR | Organism Age:  NR - NR NR | Duration (Days):  NR - NR Day(s) | Conc 2 (Standardized):  Formulation 0.0026 (NR - NR) AI mg/L | Conc 3 (Standardized):  NR (NR - NR) NR</t>
  </si>
  <si>
    <t>Jarvinen,A.W., D.K. Tanner, and E.R. Kline</t>
  </si>
  <si>
    <t>Toxicity of Chlorpyrifos, Endrin, or Fenvalerate to Fathead Minnows Following Episodic or Continuous Exposure</t>
  </si>
  <si>
    <t>Ecotoxicol. Environ. Saf.15(1): 78-95</t>
  </si>
  <si>
    <t>Brungs,W.A., and G.W. Bailey</t>
  </si>
  <si>
    <t>Influence of Suspended Solids on the Acute Toxicity of Endrin to Fathead Minnows</t>
  </si>
  <si>
    <t>Proc. 21st Ind. Waste Conf. , Purdue Univ. Eng. Bull 121, Part 150(2): 4-12</t>
  </si>
  <si>
    <t>Purity:  NR - NR | Organism Age:  NR - NR NR | Duration (Days):  NR - NR Day(s) | Conc 2 (Standardized):  Formulation 0.0014 (NR - NR) AI mg/L | Conc 3 (Standardized):  NR (NR - NR) NR</t>
  </si>
  <si>
    <t>Purity:  NR - NR | Organism Age:  NR - NR NR | Duration (Days):  NR - NR Day(s) | Conc 2 (Standardized):  Formulation 0.0029 (NR - NR) AI mg/L | Conc 3 (Standardized):  NR (NR - NR) NR</t>
  </si>
  <si>
    <t>Purity:  NR - NR | Organism Age:  NR - NR NR | Duration (Days):  NR - NR Day(s) | Conc 2 (Standardized):  Formulation 0.0011 (NR - NR) AI mg/L | Conc 3 (Standardized):  NR (NR - NR) NR</t>
  </si>
  <si>
    <t>1,1'-(2,2,2-Trichloroethylidene)bis[4-methoxybenzene]</t>
  </si>
  <si>
    <t>Merna,J.W., and P.J. Eisele</t>
  </si>
  <si>
    <t>The Effects of Methoxychlor on Aquatic Biota</t>
  </si>
  <si>
    <t>EPA-R3-73-046, U.S.EPA, Washington, DC:59 p.</t>
  </si>
  <si>
    <t>Merna,J.W., M.E. Bender, and J.R. Novy</t>
  </si>
  <si>
    <t>The Effects of Methoxychlor on Fishes. 1. Acute Toxicity and Breakdown Studies</t>
  </si>
  <si>
    <t>Trans. Am. Fish. Soc.101(2): 298-301</t>
  </si>
  <si>
    <t>1,1'-(2,2-Dichloroethylidene)bis[4-chlorobenzene]</t>
  </si>
  <si>
    <t>Hydrocyanic acid</t>
  </si>
  <si>
    <t>Broderius,S.J., L.L.,Jr. Smith, and D.T. Lind</t>
  </si>
  <si>
    <t>Relative Toxicity of Free Cyanide and Dissolved Sulfide Forms to the Fathead Minnow (Pimephales promelas)</t>
  </si>
  <si>
    <t>J. Fish. Res. Board Can.34(12): 2323-2332</t>
  </si>
  <si>
    <t>Acetonitrile</t>
  </si>
  <si>
    <t>Reagent or practical grade</t>
  </si>
  <si>
    <t>Henderson,C., Q.H. Pickering, and A.E. Lemke</t>
  </si>
  <si>
    <t>The Effect of Some Organic Cyanides (Nitriles) on Fish</t>
  </si>
  <si>
    <t>Proceedings of the 15th Industrial Waste Conference, Purdue University65(2): 120-130</t>
  </si>
  <si>
    <t>Purity:  98 - 100 | Organism Age:  NR - NR NR | Duration (Days):  NR - NR Day(s) | Conc 2 (Standardized):  NR (NR - NR) NR | Conc 3 (Standardized):  NR (NR - NR) NR</t>
  </si>
  <si>
    <t>Purity:  NR - NR | Organism Age:  26 - 31 Day(s) | Duration (Days):  NR - NR Day(s) | Conc 2 (Standardized):  NR (NR - NR) NR | Conc 3 (Standardized):  NR (NR - NR) NR</t>
  </si>
  <si>
    <t>Acetaldehyde</t>
  </si>
  <si>
    <t>Purity:  NR - NR | Organism Age:  27 - 33 Day(s) | Duration (Days):  NR - NR Day(s) | Conc 2 (Standardized):  NR (NR - NR) NR | Conc 3 (Standardized):  NR (NR - NR) NR</t>
  </si>
  <si>
    <t>Methylene chloride</t>
  </si>
  <si>
    <t>Dill,D.C., P.G. Murphy, and M.A. Mayes</t>
  </si>
  <si>
    <t>Toxicity of Methylene Chloride to Life Stages of the Fathead Minnow, Pimephales promelas Rafinesque</t>
  </si>
  <si>
    <t>Bull. Environ. Contam. Toxicol.39(5): 869-876</t>
  </si>
  <si>
    <t>Aquatic - not reported</t>
  </si>
  <si>
    <t>Minnesota Mining</t>
  </si>
  <si>
    <t>96-Hour LC50 Aquatic Test on Fathead Minnows with Cover Letter</t>
  </si>
  <si>
    <t>EPA/OTS Doc.#878210636:28 p.</t>
  </si>
  <si>
    <t>Ethylene oxide</t>
  </si>
  <si>
    <t>Conway,R.A., G.T. Waggy, M.H. Spiegel, and R.L. Berglund</t>
  </si>
  <si>
    <t>Environmental Fate and Effects of Ethylene Oxide</t>
  </si>
  <si>
    <t>Environ. Sci. Technol.17(2): 107-112</t>
  </si>
  <si>
    <t>1,1-Dichloroethene</t>
  </si>
  <si>
    <t>Dill,D.C., W.M. McCarty, H.C. Alexander, and E.A. Bartlett</t>
  </si>
  <si>
    <t>Toxicity of 1,1-Dichloroethylene (Vinylidene Chloride) to Aquatic Organisms</t>
  </si>
  <si>
    <t>EPA-600/3-80-057, U.S.EPA, Duluth, MN:17 p.</t>
  </si>
  <si>
    <t>Acetyl chloride</t>
  </si>
  <si>
    <t>Iodoform</t>
  </si>
  <si>
    <t>Nitromethane</t>
  </si>
  <si>
    <t>N,N,N-Trimethylmethanaminium, Chloride</t>
  </si>
  <si>
    <t>2-Methyl-2-propanol</t>
  </si>
  <si>
    <t>2,2,2-Trifluoroethanol</t>
  </si>
  <si>
    <t>1,1-Dimethylethyl hydroperoxide</t>
  </si>
  <si>
    <t>Hours post hatch</t>
  </si>
  <si>
    <t>Corrales,J., L.A. Kristofco, W.B. Steele, G.N. Saari, J. Kostal, E.S. Williams, M. Mills, E.P. Gallagher, T.J. Kavanagh</t>
  </si>
  <si>
    <t>Toward the Design of Less Hazardous Chemicals: Exploring Comparative Oxidative Stress in Two Common Animal Models</t>
  </si>
  <si>
    <t>Chem. Res. Toxicol.30(4): 893-904</t>
  </si>
  <si>
    <t>Purity:  NR - NR | Organism Age:  NR - NR Hours post hatch | Duration (Days):  NR - NR Day(s) | Conc 2 (Standardized):  NR (NR - NR) NR | Conc 3 (Standardized):  NR (NR - NR) NR</t>
  </si>
  <si>
    <t>3,3-Dimethyl-2-butanone</t>
  </si>
  <si>
    <t>Purity:  NR - NR | Organism Age:  28 - 29 Day(s) | Duration (Days):  NR - NR Day(s) | Conc 2 (Standardized):  NR (NR - NR) NR | Conc 3 (Standardized):  NR (NR - NR) NR</t>
  </si>
  <si>
    <t>2,2-Dichloropropanoic acid</t>
  </si>
  <si>
    <t>1,1,1,2,2-Pentachloroethane</t>
  </si>
  <si>
    <t>Trichloroacetic acid</t>
  </si>
  <si>
    <t>&lt;1</t>
  </si>
  <si>
    <t>Year(s)</t>
  </si>
  <si>
    <t>Dennis,W.H.,Jr., E.P. Meier, A.B. Rosencrance, W.F. Randall, M.T. Reagan, and D.H. Rosenblatt</t>
  </si>
  <si>
    <t>Chemical Degradation of Military Standard Formulations of Organophosphorus and Carbamate Pesticides.  II.  Degradation of Diazinon by Sodium Hypochlorite</t>
  </si>
  <si>
    <t>U.S.Army Med.Bioeng.Res.Dev.Lab., Tech.Rep.No.7904, Fort Detrick, MD:40 p.</t>
  </si>
  <si>
    <t>Purity:  NR - NR | Organism Age:  NR - NR Year(s) | Duration (Days):  NR - NR Day(s) | Conc 2 (Standardized):  NR (NR - NR) NR | Conc 3 (Standardized):  NR (NR - NR) NR</t>
  </si>
  <si>
    <t>Dennis,W.H.J., E.P. Meier, W.F. Randall, A.B. Rosencrance, and D.H. Rosenblatt</t>
  </si>
  <si>
    <t>Degradation of Diazinon by Sodium Hypochlorite. Chemistry and Aquatic Toxicity</t>
  </si>
  <si>
    <t>Environ. Sci. Technol.13(5): 594-598</t>
  </si>
  <si>
    <t>1,4,5,6,7,8,8-Heptachloro-3a,4,7,7a-tetrahydro-4,7-methano-1H-indene</t>
  </si>
  <si>
    <t>Purity:  NR - NR | Organism Age:  NR - NR NR | Duration (Days):  NR - NR Day(s) | Conc 2 (Standardized):  Formulation 0.13 (NR - NR) AI mg/L | Conc 3 (Standardized):  NR (NR - NR) NR</t>
  </si>
  <si>
    <t>Purity:  NR - NR | Organism Age:  NR - NR NR | Duration (Days):  NR - NR Day(s) | Conc 2 (Standardized):  Formulation 0.078 (NR - NR) AI mg/L | Conc 3 (Standardized):  NR (NR - NR) NR</t>
  </si>
  <si>
    <t>Hydroxytriphenylstannane</t>
  </si>
  <si>
    <t>Jarvinen,A.W., D.K. Tanner, E.R. Kline, and M.L. Knuth</t>
  </si>
  <si>
    <t>Acute and Chronic Toxicity of Triphenyltin Hydroxide to Fathead Minnows (Pimephales promelas) Following Brief or Continuous Exposure</t>
  </si>
  <si>
    <t>Environ. Pollut.52(4): 289-301</t>
  </si>
  <si>
    <t>Becker,E.</t>
  </si>
  <si>
    <t>Ableitung von Qualitatszielen zum Schutz Oberirdischer Binnengewasser fur Organozinnverbindungen:  Dibutylzinnverbindungen, Tetrabutylzinn, Tributylzinnverbindungen, Triphenylzinnverbindungen</t>
  </si>
  <si>
    <t>Umweltbundesamt, Entwurf fur den BLAK QZ, Stand 26.3.:</t>
  </si>
  <si>
    <t>1,2,3,4,5,5-Hexachloro-1,3-cyclopentadiene</t>
  </si>
  <si>
    <t>E.G. and G. Bionomics</t>
  </si>
  <si>
    <t>Acute Toxicity of Hexachlorocyclopentadiene to Bluegill (Lepomis macrochirus), Channel Catfish (Ictalurus punctatus), Fathead Minnow (Pimephales promelas) and the Water Flea (Daphnia magna)</t>
  </si>
  <si>
    <t>Toxicity Test Rep.Submitted to Velsicol Chem.Corp., Chicago, IL:15 p.</t>
  </si>
  <si>
    <t>Henderson,C.</t>
  </si>
  <si>
    <t>Bioassay Investigations for International Joint Commmission</t>
  </si>
  <si>
    <t>Robert A.Taft Sanitary Engineering Center, U. S. Department of Health, Education and Welfare, Cincinnati, OH:17 p.</t>
  </si>
  <si>
    <t>Spehar,R.L., G.D. Veith, D.L. DeFoe, and B.V. Bergstedt</t>
  </si>
  <si>
    <t>Toxicity and Bioaccumulation of Hexachlorocyclopentadiene, Hexachloronorbornadiene and Heptachloronorbornene in Larval and Early Juvenile Fathead Minnows, Pimephales promelas</t>
  </si>
  <si>
    <t>Bull. Environ. Contam. Toxicol.21(4/5): 576-583</t>
  </si>
  <si>
    <t>5,5-Dimethyl-2,4-imidazolidinedione</t>
  </si>
  <si>
    <t>3a,4,7,7a-Tetrahydro-4,7-methano-1H-indene</t>
  </si>
  <si>
    <t>Bentley,R.E., G.A. LeBlanc, T.A. Hollister, and B.H. Sleight III</t>
  </si>
  <si>
    <t>Acute Toxicity of Diisopropylmethyl Phosphonate and Dicyclopentadiene to Aquatic Organisms</t>
  </si>
  <si>
    <t>Contract No.DAMD-17-75-C-5073, Final Rep., U.S.Army Med.Res.Dev.Command, Washington, DC:98 p.</t>
  </si>
  <si>
    <t>3-Methyl-3-pentanol</t>
  </si>
  <si>
    <t>3-Methyl-1-pentyn-3-ol</t>
  </si>
  <si>
    <t>Veith,G.D., R.L. Lipnick, and C.L. Russom</t>
  </si>
  <si>
    <t>The Toxicity of Acetylenic Alcohols to the Fathead Minnow, Pimephales promelas: Narcosis and Proelectrophile Activation</t>
  </si>
  <si>
    <t>Xenobiotica19(5): 555-565</t>
  </si>
  <si>
    <t>Purity:  NR - NR | Organism Age:  29 - 33 Day(s) | Duration (Days):  NR - NR Day(s) | Conc 2 (Standardized):  NR (NR - NR) NR | Conc 3 (Standardized):  NR (NR - NR) NR</t>
  </si>
  <si>
    <t>Pentaerythritol tetranitrate</t>
  </si>
  <si>
    <t>% v/v</t>
  </si>
  <si>
    <t>Bentley,R.E., B.H. Sleight III, and K.J. Macek</t>
  </si>
  <si>
    <t>Preliminary Evaluation of the Acute Toxicity of Desensitized Primer Compounds and Primer Waste Effluents to Representative Aquatic Organisms</t>
  </si>
  <si>
    <t>U.S.Army Med.Res.Dev.Command, Washington, D.C.:35 p.</t>
  </si>
  <si>
    <t>1-Ethynyl cyclohexanol</t>
  </si>
  <si>
    <t>Delnav</t>
  </si>
  <si>
    <t>Triethyl phosphate</t>
  </si>
  <si>
    <t>Phosphorotrithioic acid S,S,S-tributyl ester</t>
  </si>
  <si>
    <t>2-Butoxyethanol, 1,1',1''-Phosphate</t>
  </si>
  <si>
    <t>3,5,5-trimethyl-2-cyclohexen-1-one</t>
  </si>
  <si>
    <t>Marine Bioassay Laboratories</t>
  </si>
  <si>
    <t>Flow-Through Early-Life Stage Toxicity Tests with Fathead Minnows (Pimephales promelas)</t>
  </si>
  <si>
    <t>Report Prepared for U.S. EPA, Contract No. 68-03-2947,  Marine Bioassay Laboratories, Watsonville, CA:72 p.</t>
  </si>
  <si>
    <t>Cairns,M.A., and A.V. Nebeker</t>
  </si>
  <si>
    <t>Toxicity of Acenaphthene and Isophorone to Early Stages of Fathead Minnows</t>
  </si>
  <si>
    <t>Arch. Environ. Contam. Toxicol.11(6): 703-707</t>
  </si>
  <si>
    <t>Purity:  NR - NR | Organism Age:  6 - 8 Week(s) | Duration (Days):  NR - NR Day(s) | Conc 2 (Standardized):  NR (NR - NR) NR | Conc 3 (Standardized):  NR (NR - NR) NR</t>
  </si>
  <si>
    <t>The Academy of Natural Sciences</t>
  </si>
  <si>
    <t>Early Life Stage Studies Using the Fathead Minnow (Pimephales promelas) to Assess the Effects of Isophorone and Acenaphthene</t>
  </si>
  <si>
    <t>Div.Limnol.Ecol., Philadelphia, PA, Manuscript Submission to U.S.EPA, Cincinnati, OH:27 p.</t>
  </si>
  <si>
    <t>Isoprene</t>
  </si>
  <si>
    <t>2-Methyl-1-propanol</t>
  </si>
  <si>
    <t>1,2-Dichloropropane</t>
  </si>
  <si>
    <t>1,2-Propanediamine</t>
  </si>
  <si>
    <t>2-Butanol</t>
  </si>
  <si>
    <t>2-Butanone</t>
  </si>
  <si>
    <t>1-Amino-2-propanol</t>
  </si>
  <si>
    <t>First Quarterly Progress Report to EPA, University of Wisconsin, Superior, WI:45 p.</t>
  </si>
  <si>
    <t>Lactonitrile</t>
  </si>
  <si>
    <t>1,1,2-Trichloroethane</t>
  </si>
  <si>
    <t>1,1,2-Trichloroethene</t>
  </si>
  <si>
    <t>2-Propenamide</t>
  </si>
  <si>
    <t>Electrophoresis Grade</t>
  </si>
  <si>
    <t>Krautter,G.R., R.W. Mast, H.C. Alexander, C.H. Wolf, M.A. Friedman, F.J. Koschier, and C.M. Thompson</t>
  </si>
  <si>
    <t>Acute Aquatic Toxicity Tests with Acrylamide Monomer and Macroinvertebrates and Fish</t>
  </si>
  <si>
    <t>Environ. Toxicol. Chem.5(4): 373-377</t>
  </si>
  <si>
    <t>Environmental Behavior of Aqueous Acrylamide: Biodegradability and Fish Toxicity</t>
  </si>
  <si>
    <t>Dow Chemical Co., Tech.Rep.Form No.192-476-76, Midland, MI:36-</t>
  </si>
  <si>
    <t>Thiosemicarbazide</t>
  </si>
  <si>
    <t>Methyl acetate</t>
  </si>
  <si>
    <t>1,1,2,2-Tetrachloroethane</t>
  </si>
  <si>
    <t>2-Nitropropane</t>
  </si>
  <si>
    <t>beta-Ionone</t>
  </si>
  <si>
    <t>4,4'-(1-Methylethylidene)bis[2,6-dibromophenol]</t>
  </si>
  <si>
    <t>Great Lakes Chemical Corp.</t>
  </si>
  <si>
    <t>Acute Toxicity of Tetrabromobisphenol A to Fathead Minnow (Pimephales promelas) Under Flow-Through Conditions with Attachments and Cover Letter Dated 111788</t>
  </si>
  <si>
    <t>EPA/OTS 40-8898095:85 p.</t>
  </si>
  <si>
    <t>Cytec Industries</t>
  </si>
  <si>
    <t>Tetrabromobisphenol A: Report of Analytical Results - CAM Bioassay Screen in Pimephales promelas and Fathead Minnows with Cover Letter Dated 122292</t>
  </si>
  <si>
    <t>EPA/OTS 86-930000091:5 p.</t>
  </si>
  <si>
    <t>Purity:  1 - 3 | Organism Age:  NR - NR NR | Duration (Days):  NR - NR Day(s) | Conc 2 (Standardized):  NR (NR - NR) NR | Conc 3 (Standardized):  NR (NR - NR) NR</t>
  </si>
  <si>
    <t>4,4'-(1-Methylethylidene)bis[2,6-dichlorophenol]</t>
  </si>
  <si>
    <t>4,4'-(1-Methylethylidene)bisphenol</t>
  </si>
  <si>
    <t>Alexander,H.C., D.C. Dill, L.W. Smith, P.D. Guiney, and P. Dorn</t>
  </si>
  <si>
    <t>Bisphenol A:  Acute Aquatic Toxicity</t>
  </si>
  <si>
    <t>Environ. Toxicol. Chem.7(1): 19-26</t>
  </si>
  <si>
    <t>4-Chloro-alpha-(4-chlorophenyl)-alpha-methylbenzenemethanol</t>
  </si>
  <si>
    <t>1-Methyl-1-phenylethyl hydroperoxide</t>
  </si>
  <si>
    <t>4-(1,1-Dimethylpropyl)phenol</t>
  </si>
  <si>
    <t>1,8-Diamino-p-menthane</t>
  </si>
  <si>
    <t>2-Methyl-2-propenoic acid, Methyl ester</t>
  </si>
  <si>
    <t>1,3-Dichloro-2-(dichloromethyl)benzene</t>
  </si>
  <si>
    <t>First Q.Rep., U.S.EPA Coop.Agreement No.CR 809234-01-0, Ctr.for Lake Superior Environ.Stud., Univ.of Wisconsin, Superior, WI:52 p.</t>
  </si>
  <si>
    <t>2,4,6-Trinitroresorcinol</t>
  </si>
  <si>
    <t>Acenaphthene</t>
  </si>
  <si>
    <t>Holcombe,G.W., G.L. Phipps, and J.T. Fiandt</t>
  </si>
  <si>
    <t>Toxicity of Selected Priority Pollutants to Various Aquatic Organisms</t>
  </si>
  <si>
    <t>Ecotoxicol. Environ. Saf.7(4): 400-409</t>
  </si>
  <si>
    <t>Purity:  NR - NR | Organism Age:  32 - 33 Day(s) | Duration (Days):  NR - NR Day(s) | Conc 2 (Standardized):  NR (NR - NR) NR | Conc 3 (Standardized):  NR (NR - NR) NR</t>
  </si>
  <si>
    <t>3-Methylindole</t>
  </si>
  <si>
    <t>[2R-(2-alpha, 6a-alpha, 12a-alpha)]-1,2,12,12a-Tetrahydro-8,9-dimethoxy-2-(1-methylethenyl)-[1]-benzopyrano[3,4-b]furo[2,3-h][1]benzopyran-6(6aH)-one</t>
  </si>
  <si>
    <t>Clinical grade</t>
  </si>
  <si>
    <t>Cohen,J.M., L.J. Kamphake, A.E. Lemke, C. Henderson, and R.L. Woodward</t>
  </si>
  <si>
    <t>Effect of Fish Poisons on Water Supplies.  Part 1.  Removal of Toxic Materials</t>
  </si>
  <si>
    <t>J. Am. Water Works Assoc.52(12): 1551-1566</t>
  </si>
  <si>
    <t>Gilderhus,P.A.</t>
  </si>
  <si>
    <t>Effects of an Aquatic Plant and Suspended Clay on the Activity of Fish Toxicants</t>
  </si>
  <si>
    <t>N. Am. J. Fish. Manag.2:301-306</t>
  </si>
  <si>
    <t>Marking,L.L., and T.D. Bills</t>
  </si>
  <si>
    <t>Toxicity of Rotenone to Fish in Standardized Laboratory Tests</t>
  </si>
  <si>
    <t>Invest.Fish Control No.72, Fish Wildl.Serv., Bur.Sport Fish.Wildl., U.S.D.I., Washington, D.C.:11 p.</t>
  </si>
  <si>
    <t>Purity:  NR - NR | Organism Age:  35 - 45 Day(s) | Duration (Days):  NR - NR Day(s) | Conc 2 (Standardized):  NR (NR - NR) NR | Conc 3 (Standardized):  NR (NR - NR) NR</t>
  </si>
  <si>
    <t>1,2-Benzenedicarboxylic acid, 1,2-Diphenyl ester</t>
  </si>
  <si>
    <t>1,2-Benzenedicarboxylic acid, 1,2-Diethyl ester</t>
  </si>
  <si>
    <t>Adams,W.J., G.R. Biddinger, K.A. Robillard, and J.W. Gorsuch</t>
  </si>
  <si>
    <t>A Summary of the Acute Toxicity of 14 Phthalate Esters to Representative Aquatic Organisms</t>
  </si>
  <si>
    <t>Environ. Toxicol. Chem.14(9): 1569-1574</t>
  </si>
  <si>
    <t>Chemical Manufacturers Association</t>
  </si>
  <si>
    <t>Exhibit III: Acute Toxicity of Fourteen Phthalate Esters to Fathead Minnows (Pimephales promelas)</t>
  </si>
  <si>
    <t>EPA/OTS 40-8326129:44 p.</t>
  </si>
  <si>
    <t>1,2-Benzenedicarboxylic acid, 1,2-Dibutyl ester</t>
  </si>
  <si>
    <t>Chemical analysis reported</t>
  </si>
  <si>
    <t>&gt;=99</t>
  </si>
  <si>
    <t>DeFoe,D.L., G.W. Holcombe, D.E. Hammermeister, and K.E. Biesinger</t>
  </si>
  <si>
    <t>Solubility and Toxicity of Eight Phthalate Esters to Four Aquatic Organisms</t>
  </si>
  <si>
    <t>Environ. Toxicol. Chem.9(5): 623-636</t>
  </si>
  <si>
    <t>Purity:  NR - NR | Organism Age:  29 - 34 Day(s) | Duration (Days):  NR - NR Day(s) | Conc 2 (Standardized):  NR (NR - NR) NR | Conc 3 (Standardized):  NR (NR - NR) NR</t>
  </si>
  <si>
    <t>McCarthy,J.F., and D.K. Whitmore</t>
  </si>
  <si>
    <t>Chronic Toxicity of Di-n-butyl and Di-n-octyl Phthalate to Daphnia magna and the Fathead Minnow</t>
  </si>
  <si>
    <t>Environ. Toxicol. Chem.4(2): 167-179</t>
  </si>
  <si>
    <t>1,2-Benzenedicarboxylic acid, 1,2-Dihexyl ester</t>
  </si>
  <si>
    <t>6,7-Dihydrodipyrido[1,2-a:2',1'-c]pyrazinediium bromide (1:2)</t>
  </si>
  <si>
    <t>Surber,E.W., and Q.H. Pickering</t>
  </si>
  <si>
    <t>Acute Toxicity of Endothal, Diquat, Hyamine, Dalapon, and Silvex to Fish</t>
  </si>
  <si>
    <t>Prog. Fish-Cult.24(4): 164-171</t>
  </si>
  <si>
    <t>1,2-Benzenedicarboxylic acid, 1-Butyl 2-(phenylmethyl) ester</t>
  </si>
  <si>
    <t>Commercial grade</t>
  </si>
  <si>
    <t>Gledhill,W.E., R.G. Kaley, W.J. Adams, O. Hicks, P.R. Michael, V.W. Saeger, and G.A. LeBlanc</t>
  </si>
  <si>
    <t>An Environmental Safety Assessment of Butyl Benzyl Phthalate</t>
  </si>
  <si>
    <t>Environ. Sci. Technol.14(3): 301-305</t>
  </si>
  <si>
    <t>Butyl 2-ethylhexylester 1,2-benzenedicarboxylic acid</t>
  </si>
  <si>
    <t>O,O-Dimethyl S-[(4-oxo-1,2,3-benzotriazin-3(4H)-yl)methyl] ester, Phosphorodithioic acid</t>
  </si>
  <si>
    <t>Stay,F.S., and A.W. Jarvinen</t>
  </si>
  <si>
    <t>Use of Microcosm and Fish Toxicity Data to Select Mesocosm Treatment Concentrations</t>
  </si>
  <si>
    <t>Arch. Environ. Contam. Toxicol.28(4): 451-458</t>
  </si>
  <si>
    <t>Adelman,I.R., and L.L.,Jr. Smith</t>
  </si>
  <si>
    <t>Standard Test Fish Development.  Part I.  Fathead Minnows (Pimephales promelas) and Goldfish (Carassius auratus) as Standard Fish in Bioassays and Their Reaction to Potential Reference Toxicants</t>
  </si>
  <si>
    <t>EPA-600/3-76-061A, U.S.EPA, Duluth, MN:77 p.</t>
  </si>
  <si>
    <t>Purity:  NR - NR | Organism Age:  70 - 74 Day(s) | Duration (Days):  NR - NR Day(s) | Conc 2 (Standardized):  NR (NR - NR) NR | Conc 3 (Standardized):  NR (NR - NR) NR</t>
  </si>
  <si>
    <t xml:space="preserve">Lentic </t>
  </si>
  <si>
    <t>Field artificial</t>
  </si>
  <si>
    <t>Takacs,P.</t>
  </si>
  <si>
    <t>Evaluation of Probabilistic Ecological Risk Assessment Methodology Using Aquatic Microcosms and Azinphos-Methyl</t>
  </si>
  <si>
    <t>M.S.Thesis, Univ.of Guelph, Ontario, Canada:211 p.</t>
  </si>
  <si>
    <t>Adelman,I.R., L.L.,Jr. Smith, and G.D. Siesennop</t>
  </si>
  <si>
    <t>Acute Toxicity of Sodium Chloride, Pentachlorophenol, Guthion, and Hexavalent Chromium to Fathead Minnows (Pimephales promelas) and Goldfish (Carassius auratus)</t>
  </si>
  <si>
    <t>J. Fish. Res. Board Can.33(2): 203-208</t>
  </si>
  <si>
    <t>Standard Test Fish Development Part II. Chronic Toxicity of Guthion to the Fathead Minnow (Pimephales promelas Refinesque)</t>
  </si>
  <si>
    <t>EPA-600/3-76-061B, U.S.EPA, Duluth, MN:22 p.</t>
  </si>
  <si>
    <t>1-Nitronaphthalene</t>
  </si>
  <si>
    <t>9H-Fluorene</t>
  </si>
  <si>
    <t>Finger,S.E., E.F. Little, M.G. Henry, J.F. Fairchild, and T.P. Boyle</t>
  </si>
  <si>
    <t>Comparison of Laboratory and Field Assessment of Fluorene - Part 1: Effects of Fluorene on the Survival, Growth, Reproduction, and Behavior of Aquatic Organisms in Laboratory Tests</t>
  </si>
  <si>
    <t>ASTM Spec. Tech. Publ.:120-133</t>
  </si>
  <si>
    <t>Carbazole</t>
  </si>
  <si>
    <t>2-Hydroxy-N-phenylbenzamide</t>
  </si>
  <si>
    <t>1,1,2,3,4,4-Hexachloro-1,3-butadiene</t>
  </si>
  <si>
    <t>L-Arabinopyranose</t>
  </si>
  <si>
    <t>2,3,4,5,6-Pentachlorophenol</t>
  </si>
  <si>
    <t>Spehar,R.L., H.P. Nelson, M.J. Swanson, and J.W. Renoos</t>
  </si>
  <si>
    <t>Pentachlorophenol Toxicity to Amphipods and Fathead Minnows at Different Test pH Values</t>
  </si>
  <si>
    <t>Environ. Toxicol. Chem.4:389-397</t>
  </si>
  <si>
    <t>Hedtke,S.F., C.W. West, K.N. Allen, T.J. Norberg-King, and D.I. Mount</t>
  </si>
  <si>
    <t>Toxicity of Pentachlorophenol to Aquatic Organisms Under Naturally Varying and Controlled Environmental Conditions</t>
  </si>
  <si>
    <t>Environ. Toxicol. Chem.5(6): 531-542</t>
  </si>
  <si>
    <t>Purity:  NR - NR | Organism Age:  26 - 30 Day(s) | Duration (Days):  NR - NR Day(s) | Conc 2 (Standardized):  NR (NR - NR) NR | Conc 3 (Standardized):  NR (NR - NR) NR</t>
  </si>
  <si>
    <t>Ho,T.F.L., and J.R. Bolton</t>
  </si>
  <si>
    <t>Toxicity Changes During the UV Treatment of Pentachlorophenol in Dilute Aqueous Solution</t>
  </si>
  <si>
    <t>Water Res.32(2): 489-497</t>
  </si>
  <si>
    <t>Cleveland,L., D.R. Buckler, F.L. Mayer, and D.R. Branson</t>
  </si>
  <si>
    <t>Toxicity of Three Preparations of Pentachlorophenol to Fathead Minnows - a Comparative Study</t>
  </si>
  <si>
    <t>Environ. Toxicol. Chem.1(3): 205-212</t>
  </si>
  <si>
    <t>[R-(R*,R*)]-2,3-Dihydroxybutanedioic acid, Diethyl ester</t>
  </si>
  <si>
    <t>2,4,6-Trichlorophenol</t>
  </si>
  <si>
    <t>Purity:  NR - NR | Organism Age:  38 - 47 Day(s) | Duration (Days):  NR - NR Day(s) | Conc 2 (Standardized):  NR (NR - NR) NR | Conc 3 (Standardized):  NR (NR - NR) NR</t>
  </si>
  <si>
    <t>4-Nitro-3-(trifluoromethyl)phenol</t>
  </si>
  <si>
    <t>Effects of Contaminants on Toxicity of the Lampricides TFM and Bayer 73 to Three Species of Fish</t>
  </si>
  <si>
    <t>J. Great Lakes Res.11(2): 171-178</t>
  </si>
  <si>
    <t>Field grade</t>
  </si>
  <si>
    <t>Fingerling</t>
  </si>
  <si>
    <t>ul/L</t>
  </si>
  <si>
    <t>Marking,L.L., and L.E. Olson</t>
  </si>
  <si>
    <t>Toxicity of the Lampricide 3-Trifluoromethyl-4-Nitrophenol (TFM) to Nontarget Fish in Static Tests</t>
  </si>
  <si>
    <t>Invest.Fish Control No.60, Fish Wildl.Serv., Bur.Sport Fish.Wildl., USDI, Washington, DC:27 p.</t>
  </si>
  <si>
    <t>Kane,A.S., T.M. Stockdale, and D.L. Johnson</t>
  </si>
  <si>
    <t>3-Trifluoromethyl-4-Nitrophenol (TFM) Control of Tadpoles in Culture Ponds</t>
  </si>
  <si>
    <t>Prog. Fish-Cult.47(4): 231-237</t>
  </si>
  <si>
    <t>2-Aminobenzamide</t>
  </si>
  <si>
    <t>1-Methyl-2-nitrobenzene</t>
  </si>
  <si>
    <t>Liu,D.H.W., R.J. Spanggord, H.C. Bailey, G.W.,Jr. Newell, G. Pearson, and M.C. Warner</t>
  </si>
  <si>
    <t>Acute Toxicity of TNT Wastewater Components to the Fathead Minnow (Pimephales promelas)</t>
  </si>
  <si>
    <t>In: R.G.Burford (Ed.), Symposium: Int.Congress on Toxicology, Toronto, Ontario, Canada:527 p.</t>
  </si>
  <si>
    <t>Bailey,H.C., and R.J. Spanggord</t>
  </si>
  <si>
    <t>The Relationship Between the Toxicity and Structure of Nitroaromatic Chemicals</t>
  </si>
  <si>
    <t>ASTM Spec. Tech. Publ.:98-107</t>
  </si>
  <si>
    <t>Purity:  95 - 99 | Organism Age:  NR - NR NR | Duration (Days):  NR - NR Day(s) | Conc 2 (Standardized):  NR (NR - NR) NR | Conc 3 (Standardized):  NR (NR - NR) NR</t>
  </si>
  <si>
    <t>Pearson,J.G., J.P. Glennon, J.J. Barkley, and J.W. Highfill</t>
  </si>
  <si>
    <t>An Approach to the Toxicological Evaluation of a Complex Industrial Wastewater</t>
  </si>
  <si>
    <t>ASTM Spec. Tech. Publ.:284-301</t>
  </si>
  <si>
    <t>2-Nitrophenol</t>
  </si>
  <si>
    <t>2-(1-Methylpropyl)-4,6-dinitrophenol</t>
  </si>
  <si>
    <t>Skelley,J.R.</t>
  </si>
  <si>
    <t>Toxicity of 2-Sec-Butyl-4,6-Dinitrophenol (Dinoseb)and Monosodium Methanearsonate (MSMA), Individuallyand in a Mixture, to Channel Catfish</t>
  </si>
  <si>
    <t>Environ. Toxicol. Chem.8(7): 623-628</t>
  </si>
  <si>
    <t>Call,D.J., L.T. Brooke, R.J. Kent, S.H. Poirier, M.L. Knuth, P.J. Shubat, and E.J. Slick</t>
  </si>
  <si>
    <t>Toxicity, Uptake, and Elimination of the Herbicides Alachlor and Dinoseb in Freshwater Fish</t>
  </si>
  <si>
    <t>J. Environ. Qual.13(3): 493-498</t>
  </si>
  <si>
    <t>Gersich,F.M., and M.A. Mayes</t>
  </si>
  <si>
    <t>Acute Toxicity Tests with Daphnia magna Straus and Pimephales promelas Rafinesque in Support of National Pollutant Discharge Elimination Permit</t>
  </si>
  <si>
    <t>Water Res.20(7): 939-941</t>
  </si>
  <si>
    <t>4-Methyl-2-nitrobenzenamine</t>
  </si>
  <si>
    <t>5-Methyl-2-(1-methylethyl)phenol</t>
  </si>
  <si>
    <t>Salicylaldehyde</t>
  </si>
  <si>
    <t>Purity:  NR - NR | Organism Age:  29 - 32 Day(s) | Duration (Days):  NR - NR Day(s) | Conc 2 (Standardized):  NR (NR - NR) NR | Conc 3 (Standardized):  NR (NR - NR) NR</t>
  </si>
  <si>
    <t>1-Methylnaphthalene</t>
  </si>
  <si>
    <t>1-Naphthalenol</t>
  </si>
  <si>
    <t>[1,1'-Biphenyl]-2-ol</t>
  </si>
  <si>
    <t>3,5-Dibromo-2-hydroxybenzaldehyde</t>
  </si>
  <si>
    <t>Naphthalene</t>
  </si>
  <si>
    <t>Bergman,H.L., and A.D. Anderson</t>
  </si>
  <si>
    <t>Effects of Aqueous Effluents from In Situ Fossil Fuel Processing Technologies on Aquatic Systems</t>
  </si>
  <si>
    <t>Contract No.EY-77-C-04-3913, University of Wyoming, Laramie, WY:73 p.</t>
  </si>
  <si>
    <t>Millemann,R.E., W.J. Birge, J.A. Black, R.M. Cushman, K.L. Daniels, P.J. Franco, J.M. Giddings, J.F. McCarthy, and A.J.</t>
  </si>
  <si>
    <t>Comparative Acute Toxicity to Aquatic Organisms of Components of Coal-Derived Synthetic Fuels</t>
  </si>
  <si>
    <t>Trans. Am. Fish. Soc.113(1): 74-85</t>
  </si>
  <si>
    <t>Purity:  NR - NR | Organism Age:  1 - 2 Month(s) | Duration (Days):  NR - NR Day(s) | Conc 2 (Standardized):  NR (NR - NR) NR | Conc 3 (Standardized):  NR (NR - NR) NR</t>
  </si>
  <si>
    <t>~16</t>
  </si>
  <si>
    <t>BioDynamics Inc.</t>
  </si>
  <si>
    <t>A Flow-Through Acute Fish Toxicity Test of Naphthalene</t>
  </si>
  <si>
    <t>EPA/OTS Doc.#86-870000910:26 p.</t>
  </si>
  <si>
    <t>DeGraeve,G.M., R.G. Elder, D.C. Woods, and H.L. Bergman</t>
  </si>
  <si>
    <t>Effects of Naphthalene and Benzene on Fathead Minnows and Rainbow Trout</t>
  </si>
  <si>
    <t>Arch. Environ. Contam. Toxicol.11(4): 487-490</t>
  </si>
  <si>
    <t>Quinoline</t>
  </si>
  <si>
    <t>Purity:  NR - NR | Organism Age:  29 - 31 Day(s) | Duration (Days):  NR - NR Day(s) | Conc 2 (Standardized):  NR (NR - NR) NR | Conc 3 (Standardized):  NR (NR - NR) NR</t>
  </si>
  <si>
    <t>1-Methoxy-2-nitrobenzene</t>
  </si>
  <si>
    <t>N,N-Diethylcyclohexylamine</t>
  </si>
  <si>
    <t>N,N-Diethyl-aniline</t>
  </si>
  <si>
    <t>2-(N-Ethyl-m-toluidino)ethanol</t>
  </si>
  <si>
    <t>3,3'-Dichloro-[1,1'-biphenyl]-4,4'-diamine</t>
  </si>
  <si>
    <t>1-Phenyl-3-pyrazolidinone</t>
  </si>
  <si>
    <t>1,1'-Biphenyl</t>
  </si>
  <si>
    <t>Static Acute Fish Toxicities Comparison</t>
  </si>
  <si>
    <t>EPA/OTS Doc.#878213738:25 p.</t>
  </si>
  <si>
    <t>[1,1'-Biphenyl]-4,4'-diamine</t>
  </si>
  <si>
    <t>Lemke,A.E.</t>
  </si>
  <si>
    <t>Static Bioassays with Benzidine</t>
  </si>
  <si>
    <t>Nov.20, Memo to D.I.Mount, U.S.EPA, Duluth, MN:1 p.</t>
  </si>
  <si>
    <t>2-(2,4,5-Trichlorophenoxy)propanoic acid</t>
  </si>
  <si>
    <t>Salt water</t>
  </si>
  <si>
    <t>Benzoic acid, Ethyl ester</t>
  </si>
  <si>
    <t>Marchini,S., M.D. Hoglund, S.J. Broderius, and M.L. Tosato</t>
  </si>
  <si>
    <t>Comparison of the Susceptibility of Daphnids and Fish to Benzene Derivatives</t>
  </si>
  <si>
    <t>Sci. Total Environ.Suppl.:799-808</t>
  </si>
  <si>
    <t>1-Phenyl-1,3-butanedione</t>
  </si>
  <si>
    <t>4-Aminobenzoic acid ethyl ester</t>
  </si>
  <si>
    <t>Bills,T.D., G.E. Howe, and L.L. Marking</t>
  </si>
  <si>
    <t>Effects of Water Temperature, Hardness, and pH on the Toxicity of Benzocaine to Eleven Freshwater Fishes</t>
  </si>
  <si>
    <t>Invest.Fish Control No.102, Fish Wildl.Serv., Bur.Sport Fish.Wildl., U.S.D.I., Washington, DC:6 p.</t>
  </si>
  <si>
    <t>(E,E)-1-[5-(1,3-benzodioxol-5-yl)-1-oxo-2,4-pentadienyl]piperidine</t>
  </si>
  <si>
    <t>Salicylaldehyde, Oxime</t>
  </si>
  <si>
    <t>2-(2,4-Dichlorophenoxy)acetic acid</t>
  </si>
  <si>
    <t>Results of Freshwater Exposures with the Chemicals 2,4-D and Diazinon to the Larval Leopard Frog (Rana pipiens), Juvenile Fathead Minnows (Pimephales promelas), Larval Midge (Chironomus riparius) and Adult Oligochaete W</t>
  </si>
  <si>
    <t>February 15th Memo to R.Spehar, U.S.EPA, Duluth, MN:6 p.</t>
  </si>
  <si>
    <t>Alexander,H.C., F.M. Gersich, and M.A. Mayes</t>
  </si>
  <si>
    <t>Acute Toxicity of Four Phenoxy Herbicides to Aquatic Organisms</t>
  </si>
  <si>
    <t>Bull. Environ. Contam. Toxicol.35(3): 314-321</t>
  </si>
  <si>
    <t>4-(4-Chloro-2-methylphenoxy)butanoic acid</t>
  </si>
  <si>
    <t>4-(2,4-Dichlorophenoxy)butanoic acid</t>
  </si>
  <si>
    <t>Schoettger,R.A.</t>
  </si>
  <si>
    <t>Fish-Pesticide Research Laboratory</t>
  </si>
  <si>
    <t>In: Prog. in Sport Fish. Res., U.S. Dep. Interior, Bur. Sport Fish. and Wildl. Res., Publ. No.106:2-40</t>
  </si>
  <si>
    <t>2,4-Dihydroxybenzaldehyde</t>
  </si>
  <si>
    <t>1H-Indene</t>
  </si>
  <si>
    <t>1H-Benzotriazole</t>
  </si>
  <si>
    <t>Pillard,D.A., J.S. Cornell, D.L. DuFresne, and M.T. Hernandez</t>
  </si>
  <si>
    <t>Toxicity of Benzotriazole and Benzotriazole Derivatives to Three Aquatic Species</t>
  </si>
  <si>
    <t>Water Res.35(2): 557-560</t>
  </si>
  <si>
    <t>Purity:  NR - NR | Organism Age:  5 - 7 Day(s) | Duration (Days):  NR - NR Day(s) | Conc 2 (Standardized):  NR (NR - NR) NR | Conc 3 (Standardized):  NR (NR - NR) NR</t>
  </si>
  <si>
    <t>Benzothiazole</t>
  </si>
  <si>
    <t>&gt;96</t>
  </si>
  <si>
    <t>1,2-Xylene</t>
  </si>
  <si>
    <t>Purity:  NR - NR | Organism Age:  55 - 57 Day(s) | Duration (Days):  NR - NR Day(s) | Conc 2 (Standardized):  NR (NR - NR) NR | Conc 3 (Standardized):  NR (NR - NR) NR</t>
  </si>
  <si>
    <t>2-Methylphenol</t>
  </si>
  <si>
    <t>&gt;97</t>
  </si>
  <si>
    <t>DeGraeve,G.M., D.L. Geiger, J.S. Meyer, and H.L. Bergman</t>
  </si>
  <si>
    <t>Acute and Embryo-Larval Toxicity of Phenolic Compounds to Aquatic Biota</t>
  </si>
  <si>
    <t>Arch. Environ. Contam. Toxicol.9(5): 557-568</t>
  </si>
  <si>
    <t>1,2-Dichlorobenzene</t>
  </si>
  <si>
    <t>Sijm,D.T.H.M., M. Schipper, and A. Opperhuizen</t>
  </si>
  <si>
    <t>Toxicokinetics of Halogenated Benzenes in Fish: Lethal Body Burden as a Toxicological End Point</t>
  </si>
  <si>
    <t>Environ. Toxicol. Chem.12:1117-1127</t>
  </si>
  <si>
    <t>Curtis,M.W., T.L. Copeland, and C.H. Ward</t>
  </si>
  <si>
    <t>Acute Toxicity of 12 Industrial Chemicals to Freshwater and Saltwater Organisms</t>
  </si>
  <si>
    <t>Water Res.13(2): 137-141</t>
  </si>
  <si>
    <t>Aquatic Toxicity of Substances Proposed for Spill Prevention Regulation</t>
  </si>
  <si>
    <t>In: Proc. Natl. Conf. Control of Hazardous Material Spills, Miami Beach, FL:99-103</t>
  </si>
  <si>
    <t>ortho-Chloroaniline</t>
  </si>
  <si>
    <t>1-Fluoro-2-methylbenzene</t>
  </si>
  <si>
    <t>2-Chlorophenol</t>
  </si>
  <si>
    <t>1,2,4-Trimethylbenzene</t>
  </si>
  <si>
    <t>3,4-Dimethylphenol</t>
  </si>
  <si>
    <t>3,4-Dichlorotoluene</t>
  </si>
  <si>
    <t>3,4-Dichlorobenzenamine</t>
  </si>
  <si>
    <t>Call,D.J., S.H. Poirier, M.L. Knuth, S.L. Harting, and C.A. Lindberg</t>
  </si>
  <si>
    <t>Toxicity of 3,4-Dichloroaniline to Fathead Minnows, Pimephales promelas, in Acute and Early Life-Stage Exposures</t>
  </si>
  <si>
    <t>Bull. Environ. Contam. Toxicol.38(2): 352-358</t>
  </si>
  <si>
    <t>Purity:  NR - NR | Organism Age:  28 - 34 Day(s) | Duration (Days):  NR - NR Day(s) | Conc 2 (Standardized):  NR (NR - NR) NR | Conc 3 (Standardized):  NR (NR - NR) NR</t>
  </si>
  <si>
    <t>Monsanto Co.</t>
  </si>
  <si>
    <t>Acute Toxicity of ACD to Fathead Minnows (Pimephales promelas)</t>
  </si>
  <si>
    <t>EPA/OTS Doc.#878211017:44 p.</t>
  </si>
  <si>
    <t>Purity:  93 - 99 | Organism Age:  NR - NR NR | Duration (Days):  NR - NR Day(s) | Conc 2 (Standardized):  NR (NR - NR) NR | Conc 3 (Standardized):  NR (NR - NR) NR</t>
  </si>
  <si>
    <t>Comparative Toxicity of Aniline with Cover Letter</t>
  </si>
  <si>
    <t>EPA/OTS Doc.# 878211204:1500 p.</t>
  </si>
  <si>
    <t>4-Methyl-1,3-benzenediamine</t>
  </si>
  <si>
    <t>1,2,4,5-Tetrachlorobenzene</t>
  </si>
  <si>
    <t>2,4,5-Trichlorophenol</t>
  </si>
  <si>
    <t>Spehar,R.L.</t>
  </si>
  <si>
    <t>Criteria Document Data. Memorandum to D.J. Call, Center for Lake Superior Environmental Studies, University of Wisconsin-Superior. September 16, 1986</t>
  </si>
  <si>
    <t>Memo to D.J.Call, U.S.EPA, Duluth, MN /Center for Lake Superior Environ.Studies, Univ.of Wisconsin-Superior, Superior, WI:17 p.</t>
  </si>
  <si>
    <t>Prop-2-en-1-yl 2-methylprop-2-enoate</t>
  </si>
  <si>
    <t>Russom,C.L., R.A. Drummond, and A.D. Hoffman</t>
  </si>
  <si>
    <t>Acute Toxicity and Behavioral Effects of Acrylates and Methacrylates to Juvenile Fathead Minnows</t>
  </si>
  <si>
    <t>Bull. Environ. Contam. Toxicol.41:589-596</t>
  </si>
  <si>
    <t>2-Phenyloxirane</t>
  </si>
  <si>
    <t>2,3-Dibromo-1-propanol</t>
  </si>
  <si>
    <t>2-Methylbutyraldehyde</t>
  </si>
  <si>
    <t>1,2,3-Trichloropropane</t>
  </si>
  <si>
    <t>3-Pentanone</t>
  </si>
  <si>
    <t>Purity:  NR - NR | Organism Age:  27 - 28 Day(s) | Duration (Days):  NR - NR Day(s) | Conc 2 (Standardized):  NR (NR - NR) NR | Conc 3 (Standardized):  NR (NR - NR) NR</t>
  </si>
  <si>
    <t>2-Butanone, Oxime</t>
  </si>
  <si>
    <t>2-(Diisopropylamino)ethanol</t>
  </si>
  <si>
    <t>2,4-Dinitrobenzenamine</t>
  </si>
  <si>
    <t>2,2'-Methylenebis[4-chlorophenol]</t>
  </si>
  <si>
    <t>2-Methoxy-4-(2-propenyl)phenol</t>
  </si>
  <si>
    <t>2-Furancarboxaldehyde</t>
  </si>
  <si>
    <t>N,N,N-Trimethylbenzenaminium iodide (1:1)</t>
  </si>
  <si>
    <t>4-(1,1-Dimethylethyl)phenol</t>
  </si>
  <si>
    <t>Cumene</t>
  </si>
  <si>
    <t>1-Phenylethanone</t>
  </si>
  <si>
    <t>Benzoyl chloride</t>
  </si>
  <si>
    <t>Nitrobenzene</t>
  </si>
  <si>
    <t>1-(3-Aminophenyl)ethanone</t>
  </si>
  <si>
    <t>1-Methyl-3-nitrobenzene</t>
  </si>
  <si>
    <t>Citrazinic acid</t>
  </si>
  <si>
    <t>1,3,5-Trinitrobenzene</t>
  </si>
  <si>
    <t>Liu,D.H.W., R.J. Spanggord, H.C. Bailey, H.S. Javitz, and D.C.L. Jones</t>
  </si>
  <si>
    <t>Toxicity of TNT Wastewaters to Aquatic Organisms:  Final Report.  Volume I.  Acute Toxicity of LAP Wastewater and 2,4,6-Trinitrotoluene</t>
  </si>
  <si>
    <t>Contract No.DAMD17-75-C-5056, SRI Intl., Menlo Park, CA:82 p.</t>
  </si>
  <si>
    <t>Van der Schalie,W.H.</t>
  </si>
  <si>
    <t>The Acute and Chronic Toxicity of 3,5-Dinitroaniline, 1,3-Dinitrobenzene, and 1,3,5-Trinitrobenzene to Freshwater Aquatic</t>
  </si>
  <si>
    <t>Tech.Rep.8305, U.S.Army Med.Bioeng.Res.&amp; Dev.Lab., Frederick, MD:53 p.</t>
  </si>
  <si>
    <t>Purity:  NR - NR | Organism Age:  39 - 112 Week(s) | Duration (Days):  NR - NR Day(s) | Conc 2 (Standardized):  NR (NR - NR) NR | Conc 3 (Standardized):  NR (NR - NR) NR</t>
  </si>
  <si>
    <t>2-Methyl-4-nitrobenzenamine</t>
  </si>
  <si>
    <t>2-Methyl-5-nitrobenzenamine</t>
  </si>
  <si>
    <t>m-Nitrobenzaldehyde</t>
  </si>
  <si>
    <t>1,3-Dinitrobenzene</t>
  </si>
  <si>
    <t>1-Methyl-4-(1-methylethyl)-1,3-cyclohexadiene</t>
  </si>
  <si>
    <t>Broderius,S., D. Hammermeister, C. Russom, D. Barnidge, D. Brooke, G. Elonen, M. Hoglund, M. Kahl, G. Mielke, and J. Th</t>
  </si>
  <si>
    <t>Toxicity of Eight Terpenes to Fathead Minnows (Pimephales promelas), Daphnids (Daphnia magna), and Algae (Selanastrum capricornutum).</t>
  </si>
  <si>
    <t>Manuscript: ASCI Corporation and the U.S.EPA Environmental Research Laboratory-Duluth, MN:57 p.</t>
  </si>
  <si>
    <t>N,N-Dimethyl-p-toluidine</t>
  </si>
  <si>
    <t>1-Methyl-4-nitrobenzene</t>
  </si>
  <si>
    <t>4-Nitrobenzenamine</t>
  </si>
  <si>
    <t>4-Nitrophenol</t>
  </si>
  <si>
    <t>4-(Dimethylamino)benzaldehyde</t>
  </si>
  <si>
    <t>1,4-Dinitrobenzene</t>
  </si>
  <si>
    <t>2-(Diethylamino)ethanol</t>
  </si>
  <si>
    <t>Ethylbenzene</t>
  </si>
  <si>
    <t>Ethenylbenzene</t>
  </si>
  <si>
    <t xml:space="preserve">Cushman,J.R., G.A. Rausina, G. Cruzan, J. Gilbert, E. Williams, M.C. Harrass, J.V. Sousa, A.E. Putt, N.A. Garvey, J.P. </t>
  </si>
  <si>
    <t>Ecotoxicity Hazard Assessment of Styrene</t>
  </si>
  <si>
    <t>Ecotoxicol. Environ. Saf.37:173-180</t>
  </si>
  <si>
    <t>(Chloromethyl)benzene</t>
  </si>
  <si>
    <t>Benzylamine</t>
  </si>
  <si>
    <t>Benzonitrile</t>
  </si>
  <si>
    <t>Benzenemethanol</t>
  </si>
  <si>
    <t>Benzaldehyde</t>
  </si>
  <si>
    <t>N-Methylaniline</t>
  </si>
  <si>
    <t>Cyclohexanone, Oxime</t>
  </si>
  <si>
    <t>2-Pyridinecarbonitrile</t>
  </si>
  <si>
    <t>2-Ethylpyridine</t>
  </si>
  <si>
    <t>2,2-Dimethyl-1,3-dioxolane-4-methanol</t>
  </si>
  <si>
    <t>1,3,5,7-Tetraazatricyclo[3.3.1.137]decane</t>
  </si>
  <si>
    <t>N-(4-Chlorophenyl)-N'-(3,4-dichlorophenyl)urea</t>
  </si>
  <si>
    <t>Initial Submission:  Acute Toxicity of TCC to Fathead Minnows with Cover Letter Dated 081492</t>
  </si>
  <si>
    <t>EPA/OTS Doc.#88-920008373:35 p.</t>
  </si>
  <si>
    <t>1-Bromo-4-phenoxybenzene</t>
  </si>
  <si>
    <t>1,1'-Oxybisbenzene</t>
  </si>
  <si>
    <t>N,N'-Diphenylthiourea</t>
  </si>
  <si>
    <t>N-Ethyl-m-toluidine</t>
  </si>
  <si>
    <t>N,N-Dipropyl-1-propanamine</t>
  </si>
  <si>
    <t>Triethanolamine</t>
  </si>
  <si>
    <t>Benzyl-tert-butanol</t>
  </si>
  <si>
    <t>Hexanedioic acid, 1,6-Bis(2-ethylhexyl) ester</t>
  </si>
  <si>
    <t>Felder,J.D., W.J. Adams, and V.W. Saeger</t>
  </si>
  <si>
    <t>Assessment of the Safety of Dioctyl Adipate in Freshwater Environments</t>
  </si>
  <si>
    <t>Environ. Toxicol. Chem.5(8): 777-784</t>
  </si>
  <si>
    <t>1-(2-Hydroxyethyl)piperazine</t>
  </si>
  <si>
    <t>N,N-Dimethylbenzylamine</t>
  </si>
  <si>
    <t>N-(4-Hydroxyphenyl)acetamide</t>
  </si>
  <si>
    <t>4-Butylaniline</t>
  </si>
  <si>
    <t>4-Nonylphenol</t>
  </si>
  <si>
    <t>TenEyck,M.C., and T.P. Markee</t>
  </si>
  <si>
    <t>Toxicity of Nonylphenol, Nonylphenol Monoethoxylate, and Nonylphenol Diethoxylate and Mixtures of These Compounds to Pimephales promelas (Fathead Minnow) and Ceriodaphnia dubia</t>
  </si>
  <si>
    <t>Arch. Environ. Contam. Toxicol.53(4): 599-606</t>
  </si>
  <si>
    <t>Spehar,R.L., L.T. Brooke, T.P. Markee, and M.D. Kahl</t>
  </si>
  <si>
    <t>Comparative Toxicity and Bioconcentration of Nonylphenol in Freshwater Organisms</t>
  </si>
  <si>
    <t>Environ. Toxicol. Chem.29(9): 2104-2111</t>
  </si>
  <si>
    <t>2-Ethylhexanol</t>
  </si>
  <si>
    <t>4-Chlorobenzaldehyde</t>
  </si>
  <si>
    <t>Purity:  NR - NR | Organism Age:  28 - 31 Day(s) | Duration (Days):  NR - NR Day(s) | Conc 2 (Standardized):  NR (NR - NR) NR | Conc 3 (Standardized):  NR (NR - NR) NR</t>
  </si>
  <si>
    <t>5-Ethyl-2-methylpyridine</t>
  </si>
  <si>
    <t>5-Diethylamino-2-pentanone</t>
  </si>
  <si>
    <t>Purity:  NR - NR | Organism Age:  33 - 34 Day(s) | Duration (Days):  NR - NR Day(s) | Conc 2 (Standardized):  NR (NR - NR) NR | Conc 3 (Standardized):  NR (NR - NR) NR</t>
  </si>
  <si>
    <t>Propanedioic acid, Diethyl ester</t>
  </si>
  <si>
    <t>2,4-Dimethylphenol</t>
  </si>
  <si>
    <t>Holcombe,G., and G. Phipps</t>
  </si>
  <si>
    <t>Memorandum to N.Thomas, C. Stephan, B. Spehar and S. Broderius, U.S. EPA. March 2, 1987. 2,4-Dimethylphenol and Methyl Parathion Multiple Species Acute Test Results for Criteria Document Development</t>
  </si>
  <si>
    <t>Memo to N.Thomas, C.Stephan, B.Spehar, and S.Broderius, U.S.EPA, Duluth, MN:</t>
  </si>
  <si>
    <t xml:space="preserve">(2E)-2-Butenedioic acid 1,4-dibutyl ester  </t>
  </si>
  <si>
    <t>Purity:  NR - NR | Organism Age:  44 - 48 Day(s) | Duration (Days):  NR - NR Day(s) | Conc 2 (Standardized):  NR (NR - NR) NR | Conc 3 (Standardized):  NR (NR - NR) NR</t>
  </si>
  <si>
    <t>Dibutyl adipate</t>
  </si>
  <si>
    <t>(2E)-3,7-Dimethyl-2,6-octadien-1-ol</t>
  </si>
  <si>
    <t>1,4-Dibromobenzene</t>
  </si>
  <si>
    <t>4-Bromobenzenamine</t>
  </si>
  <si>
    <t>1,4-Dimethylbenzene</t>
  </si>
  <si>
    <t>4-Methylphenol</t>
  </si>
  <si>
    <t>1,4-Dichlorobenzene</t>
  </si>
  <si>
    <t>&gt;=7</t>
  </si>
  <si>
    <t>A Study to Assess the Influence of Age on the Response of Fathead Minnows in Static Acute Toxicity Tests with Cover Letter</t>
  </si>
  <si>
    <t>EPA/OTS 878221113:31 p.</t>
  </si>
  <si>
    <t>Carlson,A.R., and P.A. Kosian</t>
  </si>
  <si>
    <t>Toxicity of Chlorinated Benzenes to Fathead Minnows (Pimephales promelas)</t>
  </si>
  <si>
    <t>Arch. Environ. Contam. Toxicol.16(2): 129-135</t>
  </si>
  <si>
    <t>4-Chlorobenzenamine</t>
  </si>
  <si>
    <t>Julin,A.M., and H.O. Sanders</t>
  </si>
  <si>
    <t>Toxicity of the IGR, Diflubenzuron, to Freshwater Invertebrates and Fishes</t>
  </si>
  <si>
    <t>Mosq. News38(2): 256-259</t>
  </si>
  <si>
    <t>4-Chlorophenol</t>
  </si>
  <si>
    <t>4-Methylbenzenamine</t>
  </si>
  <si>
    <t>2,5-Cyclohexadiene-1,4-dione</t>
  </si>
  <si>
    <t>2-Propenoic acid, 2-Methylpropyl ester</t>
  </si>
  <si>
    <t>(Chloromethyl)oxirane</t>
  </si>
  <si>
    <t>1,2-Dibromoethane</t>
  </si>
  <si>
    <t>Unmeasured values (some measured values reported in article)</t>
  </si>
  <si>
    <t>Kszos,L.A., S.S. Talmage, G.W. Morris, B.K. Konetsky, and T. Rottero</t>
  </si>
  <si>
    <t>Derivation of Aquatic Screening Benchmarks for 1,2-Dibromoethane</t>
  </si>
  <si>
    <t>Arch. Environ. Contam. Toxicol.45(1): 66-71</t>
  </si>
  <si>
    <t>1-Bromopropane</t>
  </si>
  <si>
    <t>2-Propenal</t>
  </si>
  <si>
    <t>Aquatic Toxicity Test Information on Acrolein with Fathead Minnows (Pimephales promelas) and Flagfish (Jordanella floridae)</t>
  </si>
  <si>
    <t>U.S.EPA, Duluth, MN:5 p.</t>
  </si>
  <si>
    <t>Sabourin,T.D.</t>
  </si>
  <si>
    <t>A Summary of the Results of Toxicity Tests Performed by Battelle Between March and August in 1986</t>
  </si>
  <si>
    <t>Battelle Columbus Labs, Columbus, OH:2 p.</t>
  </si>
  <si>
    <t>3-Chloro-1-propene</t>
  </si>
  <si>
    <t>1,2-Dichloroethane</t>
  </si>
  <si>
    <t>2-Chloroethanol</t>
  </si>
  <si>
    <t>Propylamine</t>
  </si>
  <si>
    <t>Propanenitrile</t>
  </si>
  <si>
    <t>2-Propenenitrile</t>
  </si>
  <si>
    <t>Methods for Aquatic Toxicity Tests Conducted with Acrolein and DEHP as well as the Methods and Results for Acrylonitrile Tests</t>
  </si>
  <si>
    <t>September 18 Memo to D.Call, University of Wisconsin, Superior, WI:16 p.</t>
  </si>
  <si>
    <t>Purity:  NR - NR | Organism Age:  1.5 - 2 Month(s) | Duration (Days):  NR - NR Day(s) | Conc 2 (Standardized):  NR (NR - NR) NR | Conc 3 (Standardized):  NR (NR - NR) NR</t>
  </si>
  <si>
    <t>Chloroacetonitrile</t>
  </si>
  <si>
    <t>1,2-Ethanediamine</t>
  </si>
  <si>
    <t>2-Propen-1-ol</t>
  </si>
  <si>
    <t>2-Propyn-1-ol</t>
  </si>
  <si>
    <t>1,2-Ethanediol</t>
  </si>
  <si>
    <t>Greene,M.W., and R.M. Kocan</t>
  </si>
  <si>
    <t>Toxicological Mechanisms of a Multicomponent Agricultural Seed Protectant in the Rainbow Trout (Oncorhynchus mykiss) and Fathead Minnow (Pimephales promelas)</t>
  </si>
  <si>
    <t>Can. J. Fish. Aquat. Sci.54:1387-1390</t>
  </si>
  <si>
    <t>Purity:  NR - NR | Organism Age:  90 - 100 Day(s) | Duration (Days):  NR - NR Day(s) | Conc 2 (Standardized):  NR (NR - NR) NR | Conc 3 (Standardized):  NR (NR - NR) NR</t>
  </si>
  <si>
    <t>Glyoxal</t>
  </si>
  <si>
    <t>Acetaldehyde, Oxime</t>
  </si>
  <si>
    <t>2-Methyl-2,4-pentanediol</t>
  </si>
  <si>
    <t>2,4,4-Trimethyl-2-pentanamine</t>
  </si>
  <si>
    <t>tert-Butyl sulfide</t>
  </si>
  <si>
    <t>Tetraethyl ester diphosphoric acid</t>
  </si>
  <si>
    <t>N,N-Dimethyl-N-octadecyl-1-octadecanaminium chloride (1:1)</t>
  </si>
  <si>
    <t>Versteeg,D.J., and S.J. Shorter</t>
  </si>
  <si>
    <t>Effect of Organic Carbon on the Uptake and Toxicity of Quaternary Ammonium Compounds to the Fathead Minnow, Pimephales promelas</t>
  </si>
  <si>
    <t>Environ. Toxicol. Chem.11(4): 571-580</t>
  </si>
  <si>
    <t>Purity:  NR - NR | Organism Age:  2 - 6 Week(s) | Duration (Days):  NR - NR Day(s) | Conc 2 (Standardized):  NR (NR - NR) NR | Conc 3 (Standardized):  NR (NR - NR) NR</t>
  </si>
  <si>
    <t>2-Pentanone</t>
  </si>
  <si>
    <t>Vinyl acetate</t>
  </si>
  <si>
    <t>4-Methyl-2-pentanone</t>
  </si>
  <si>
    <t>2,2'-Oxybispropane</t>
  </si>
  <si>
    <t>1,3-Dimethylbenzene</t>
  </si>
  <si>
    <t>3-Methylphenol</t>
  </si>
  <si>
    <t>1,3-Benzenediol</t>
  </si>
  <si>
    <t>Bromobenzene</t>
  </si>
  <si>
    <t>Methylbenzene</t>
  </si>
  <si>
    <t>Devlin,E.W., J.D. Brammer, and R.L. Puyear</t>
  </si>
  <si>
    <t>Acute Toxicity of Toluene to Three Age Groups of Fathead Minnows (Pimephales promelas)</t>
  </si>
  <si>
    <t>Bull. Environ. Contam. Toxicol.29(1): 12-17</t>
  </si>
  <si>
    <t>Protolarvae</t>
  </si>
  <si>
    <t>Devlin,E.W.</t>
  </si>
  <si>
    <t xml:space="preserve">Developmental Studies on the Fathead Minnow (Pimephales promelas Raf.): I. The Prehatching Development of the Fathead Minnow.  II.  The Acute Effects of Toluene on Three Age Groups of Fathead Minnows.  III.  The Effect </t>
  </si>
  <si>
    <t>Ph.D. Thesis, North Dakota State University, Fargo, ND:138 p.</t>
  </si>
  <si>
    <t>Days post-hatch</t>
  </si>
  <si>
    <t>Purity:  NR - NR | Organism Age:  NR - NR Days post-hatch | Duration (Days):  NR - NR Day(s) | Conc 2 (Standardized):  NR (NR - NR) NR | Conc 3 (Standardized):  NR (NR - NR) NR</t>
  </si>
  <si>
    <t>Embryo</t>
  </si>
  <si>
    <t>&gt;99.8</t>
  </si>
  <si>
    <t>4-Methylpyridine</t>
  </si>
  <si>
    <t>Chlorobenzene</t>
  </si>
  <si>
    <t>Cyclohexanol</t>
  </si>
  <si>
    <t>Cyclohexanone</t>
  </si>
  <si>
    <t>Purity:  NR - NR | Organism Age:  29 - 30 Day(s) | Duration (Days):  NR - NR Day(s) | Conc 2 (Standardized):  NR (NR - NR) NR | Conc 3 (Standardized):  NR (NR - NR) NR</t>
  </si>
  <si>
    <t>Phenol</t>
  </si>
  <si>
    <t>United States Pharmacopeia Grade</t>
  </si>
  <si>
    <t>Ruesink,R.G., and L.L.,Jr. Smith</t>
  </si>
  <si>
    <t>The Relationship of the 96-Hour LC50 to the Lethal Threshold Concentration of Hexavalent Chromium, Phenol, and Sodium Pentachlorophenate for Fathead Minnows (Pimephales promelas Rafinesque)</t>
  </si>
  <si>
    <t>Trans. Am. Fish. Soc.104(3): 567-570</t>
  </si>
  <si>
    <t>DeGraeve,G.M., R.L. Overcast, and H.L. Bergman</t>
  </si>
  <si>
    <t>Toxicity of Underground Coal Gasification Condenser Water and Selected Constituents to Aquatic Biota</t>
  </si>
  <si>
    <t>Arch. Environ. Contam. Toxicol.9(5): 543-555</t>
  </si>
  <si>
    <t>Purity:  NR - NR | Organism Age:  3 - 8 Month(s) | Duration (Days):  NR - NR Day(s) | Conc 2 (Standardized):  NR (NR - NR) NR | Conc 3 (Standardized):  NR (NR - NR) NR</t>
  </si>
  <si>
    <t>3-Methylpyridine</t>
  </si>
  <si>
    <t>1-Methylpiperazine</t>
  </si>
  <si>
    <t>2-Methylpyridine</t>
  </si>
  <si>
    <t>2-Methylpiperazine</t>
  </si>
  <si>
    <t>Butanoic acid, butyl ester</t>
  </si>
  <si>
    <t>4-(Aminoiminomethyl)-1-tetrazene-1-carboximidic acid 2-nitrosohydrazide</t>
  </si>
  <si>
    <t>Pentanoic acid</t>
  </si>
  <si>
    <t>Acetic acid, Propyl ester</t>
  </si>
  <si>
    <t>1,3-Dibromopropane</t>
  </si>
  <si>
    <t>1-Bromobutane</t>
  </si>
  <si>
    <t>Purity:  NR - NR | Organism Age:  27 - 32 Day(s) | Duration (Days):  NR - NR Day(s) | Conc 2 (Standardized):  NR (NR - NR) NR | Conc 3 (Standardized):  NR (NR - NR) NR</t>
  </si>
  <si>
    <t>Butylamine</t>
  </si>
  <si>
    <t>3-Butenenitrile</t>
  </si>
  <si>
    <t>1,3-Propanediamine</t>
  </si>
  <si>
    <t>Malononitrile</t>
  </si>
  <si>
    <t>2-Methoxyethanamine</t>
  </si>
  <si>
    <t>Dimethoxymethane</t>
  </si>
  <si>
    <t>Diethylamine</t>
  </si>
  <si>
    <t>Pyrrole</t>
  </si>
  <si>
    <t>Tetrahydrofuran</t>
  </si>
  <si>
    <t>Furan</t>
  </si>
  <si>
    <t>Bis(1,1-dimethylethyl)disulfide</t>
  </si>
  <si>
    <t>5-Methyl-2-hexanone</t>
  </si>
  <si>
    <t>(Z)-2-Butenedioic acid</t>
  </si>
  <si>
    <t>Decanedioic acid, Diethyl ester</t>
  </si>
  <si>
    <t>2-Heptanone</t>
  </si>
  <si>
    <t>Hexane</t>
  </si>
  <si>
    <t>1,4-Dichlorobutane</t>
  </si>
  <si>
    <t>1-Pentanamine</t>
  </si>
  <si>
    <t>Pentanal</t>
  </si>
  <si>
    <t>Union Carbide Corp.</t>
  </si>
  <si>
    <t>Letter from Union Carbide Submitting Ecotoxicological Studies on a Number of Chemicals with Cover Letter Dated 022593</t>
  </si>
  <si>
    <t>EPA/OTS 86-930000141:18 p.</t>
  </si>
  <si>
    <t>2-Butyne-1,4-diol</t>
  </si>
  <si>
    <t>2-(Ethylamino)ethanol</t>
  </si>
  <si>
    <t>Cyclohexane</t>
  </si>
  <si>
    <t>Pyridine</t>
  </si>
  <si>
    <t>Purity:  95 - 96 | Organism Age:  NR - NR Day(s) | Duration (Days):  NR - NR Day(s) | Conc 2 (Standardized):  NR (NR - NR) NR | Conc 3 (Standardized):  NR (NR - NR) NR</t>
  </si>
  <si>
    <t>1,3,5-Trioxane</t>
  </si>
  <si>
    <t>6-Methyl-5-hepten-2-one</t>
  </si>
  <si>
    <t>2-Octanone</t>
  </si>
  <si>
    <t>2-Ethoxyethanol, Acetate</t>
  </si>
  <si>
    <t>1-Bromohexane</t>
  </si>
  <si>
    <t>1-Hexanamine</t>
  </si>
  <si>
    <t>1-Hexanol</t>
  </si>
  <si>
    <t>Pentanedial</t>
  </si>
  <si>
    <t>1-Hexanethiol</t>
  </si>
  <si>
    <t>2,2'-Iminobisethanol</t>
  </si>
  <si>
    <t>&gt;=</t>
  </si>
  <si>
    <t>2,2'-Oxybisethanol</t>
  </si>
  <si>
    <t>1-(Propylsulfanyl)propane</t>
  </si>
  <si>
    <t>1-Heptanamine</t>
  </si>
  <si>
    <t>Hexanedinitrile</t>
  </si>
  <si>
    <t>1-Heptanol</t>
  </si>
  <si>
    <t>1-Bromooctane</t>
  </si>
  <si>
    <t>Octylamine</t>
  </si>
  <si>
    <t>1-Octanol</t>
  </si>
  <si>
    <t>&lt;=24</t>
  </si>
  <si>
    <t>2-(2-Ethoxyethoxy)ethanol</t>
  </si>
  <si>
    <t>1,1'-[Methylenebis(oxy)]bis[2-chloroethane]</t>
  </si>
  <si>
    <t>Nonanoic acid</t>
  </si>
  <si>
    <t>2-Undecanone</t>
  </si>
  <si>
    <t>1-Nonanamine</t>
  </si>
  <si>
    <t>2,2'-[1,2-Ethanediylbis(oxy)]bisethanol</t>
  </si>
  <si>
    <t>1-Decanol</t>
  </si>
  <si>
    <t>1-Undecanol</t>
  </si>
  <si>
    <t>1-Dodecanol</t>
  </si>
  <si>
    <t>Oleic acid</t>
  </si>
  <si>
    <t>2-(1-Methylethoxy)phenol, 1-(N-Methylcarbamate)</t>
  </si>
  <si>
    <t>2-Methyl-3-butyn-2-ol</t>
  </si>
  <si>
    <t>2,2,2-Trichloroethanol</t>
  </si>
  <si>
    <t>6,7,8,9,10,10-Hexachloro-1,5,5a,6,9,9a-hexahydro-6,9-methano-2,4,3-benzodioxathiepin 3-oxide</t>
  </si>
  <si>
    <t>Interlaboratory Comparison Acute Testing Set</t>
  </si>
  <si>
    <t>EPA-600/3-81-005, U.S.EPA, Duluth, MN:29 p.</t>
  </si>
  <si>
    <t>Nebeker,A.V., J.K. McCrady, R. Mshar, and C.K. McAuliffe</t>
  </si>
  <si>
    <t>Relative Sensitivity of Daphnia magna, Rainbow Trout and Fathead Minnows to Endosulfan</t>
  </si>
  <si>
    <t>Environ. Toxicol. Chem.2(1): 69-72</t>
  </si>
  <si>
    <t>Kleiner,C.F., R.L. Anderson, and D.K. Tanner</t>
  </si>
  <si>
    <t>Toxicity of Fenitrothion to Fathead Minnows (Pimephales promelas) and Alternative Exposure Duration Studies with Fenitrothion and Endosulfan</t>
  </si>
  <si>
    <t>Arch. Environ. Contam. Toxicol.13:573-578</t>
  </si>
  <si>
    <t>Purity:  NR - NR | Organism Age:  30 - 40 Day(s) | Duration (Days):  NR - NR Day(s) | Conc 2 (Standardized):  NR (NR - NR) NR | Conc 3 (Standardized):  NR (NR - NR) NR</t>
  </si>
  <si>
    <t>4-Chloro-alpha-(4-chlorophenyl)-alpha-(trichloromethyl)benzenemethanol</t>
  </si>
  <si>
    <t>Holcombe,G.W., G.L. Phipps, and D.K. Tanner</t>
  </si>
  <si>
    <t>The Acute Toxicity of Kelthane, Dursban, Disulfoton, Pydrin, and Permethrin to Fathead Minnows Pimephales promelas and Rainbow Trout Salmo gairdneri</t>
  </si>
  <si>
    <t>Environ. Pollut. A.29(3): 167-178</t>
  </si>
  <si>
    <t>Triphenyl ester phosphoric acid</t>
  </si>
  <si>
    <t>Mayer,F.L., W.J. Adams, M.T. Finley, P.R. Michael, P.M. Mehrle, and V.W. Saeger</t>
  </si>
  <si>
    <t>Phosphate Ester Hydraulic Fluids: An Aquatic Environmental Assessment of Pydrauls 50E and 115E</t>
  </si>
  <si>
    <t>ASTM Spec. Tech. Publ.:103-123</t>
  </si>
  <si>
    <t>EPA/OTS</t>
  </si>
  <si>
    <t>Technical and Toxicological Information on Various Materials from the FMC Corp</t>
  </si>
  <si>
    <t>EPA/OTS 40-7942486:370 p.</t>
  </si>
  <si>
    <t>Phosphorothioic acid, O,O-Diethyl O(4-methylsulfinyl)phenyl)ester</t>
  </si>
  <si>
    <t>2-Methyl-2-(methylthio)propanol O-[(methylamino)carbonyl]oxime</t>
  </si>
  <si>
    <t>Mortality (Delayed)</t>
  </si>
  <si>
    <t>Pickering,Q.H., and W.T. Gilliam</t>
  </si>
  <si>
    <t>Toxicity of Aldicarb and Fonofos to the Early-Life Stage of the Fathead Minnow</t>
  </si>
  <si>
    <t>Arch. Environ. Contam. Toxicol.11(6): 699-702</t>
  </si>
  <si>
    <t>1,2-Benzenedicarboxylic acid, 1,2-Bis(2-ethylhexyl)ester</t>
  </si>
  <si>
    <t>1,2-Benzenedicarboxylic acid, 1,2-dioctyl ester</t>
  </si>
  <si>
    <t>Phenyl salicylate</t>
  </si>
  <si>
    <t>Salicylic acid, Ethyl ester</t>
  </si>
  <si>
    <t>1,2,3,4,5,6-Hexachlorobenzene</t>
  </si>
  <si>
    <t>2,3,5,6-Tetrachloro-2,5-cyclohexadiene-1,4-dione</t>
  </si>
  <si>
    <t>2,4,6-Tribromophenol</t>
  </si>
  <si>
    <t>2-Methyl-1,3,5-trinitrobenzene</t>
  </si>
  <si>
    <t>Liu,D.H.W., R.J. Spanggord, and H.C. Bailey</t>
  </si>
  <si>
    <t>Toxicity of TNT Wastewater (Pink Water) to Aquatic Organisms</t>
  </si>
  <si>
    <t>Contract No.DAMD 17-75-C-5056, Defense Tech.Inf.Ctr., No.ADA031067, U.S.Army Med.Res.Develop.Command, Washington, DC:33-</t>
  </si>
  <si>
    <t>Smock,L.A., D.L. Stoneburner, and J.R. Clark</t>
  </si>
  <si>
    <t>The Toxic Effects of Trinitrotoluene (TNT) and its Primary Degradation Products on Two Species of Algae and the Fathead Minnow</t>
  </si>
  <si>
    <t>Water Res.10(6): 537-543</t>
  </si>
  <si>
    <t>Bailey,H.C., and D.H.W. Liu</t>
  </si>
  <si>
    <t>Lumbriculus variegatus, a Benthic Oligochaete, as a Bioassay Organism</t>
  </si>
  <si>
    <t>ASTM Spec. Tech. Publ.:205-215</t>
  </si>
  <si>
    <t>Yoo,L.J., G.R. Lotufo, A.B. Gibson, J.A. Steevens, and J.G. Sims</t>
  </si>
  <si>
    <t>Toxicity and Bioaccumulation of 2,4,6-Trinitrotoluene in Fathead Minnow (Pimephales promelas)</t>
  </si>
  <si>
    <t>Environ. Toxicol. Chem.25(12): 3253-3260</t>
  </si>
  <si>
    <t>1,2-Benzenedicarboxylic acid, Ditridecyl ester</t>
  </si>
  <si>
    <t>4-Amino-2-nitrotoluene</t>
  </si>
  <si>
    <t>4-Amino-2-nitrophenol</t>
  </si>
  <si>
    <t>Diphenylmethanone</t>
  </si>
  <si>
    <t>2,2'-Iminodi-N-phenylethanol</t>
  </si>
  <si>
    <t>Purity:  NR - NR | Organism Age:  34 - 36 Day(s) | Duration (Days):  NR - NR Day(s) | Conc 2 (Standardized):  NR (NR - NR) NR | Conc 3 (Standardized):  NR (NR - NR) NR</t>
  </si>
  <si>
    <t>4-(Diethylamino)benzaldehyde</t>
  </si>
  <si>
    <t>5-[2-(Octylsulfinyl)propyl]-1,3-benzodioxole</t>
  </si>
  <si>
    <t>&gt;88</t>
  </si>
  <si>
    <t>1,2-Benzenediol</t>
  </si>
  <si>
    <t>1,2,4-Trichlorobenzene</t>
  </si>
  <si>
    <t>Purity:  NR - NR | Organism Age:  38 - 43 Day(s) | Duration (Days):  NR - NR Day(s) | Conc 2 (Standardized):  NR (NR - NR) NR | Conc 3 (Standardized):  NR (NR - NR) NR</t>
  </si>
  <si>
    <t>Effects of Lowered Dissolved Oxygen Concentration on the Toxicity of 1,2,4-Trichlorobenzene to Fathead Minnows</t>
  </si>
  <si>
    <t>Bull. Environ. Contam. Toxicol.38:667-673</t>
  </si>
  <si>
    <t>2,4-Dichlorophenol</t>
  </si>
  <si>
    <t>1-Methylpyrrolidine</t>
  </si>
  <si>
    <t>2,4-Dinitrotoluene</t>
  </si>
  <si>
    <t>3-Ethoxy-4-hydroxybenzaldehyde</t>
  </si>
  <si>
    <t>4-Hydroxy-3-methoxybenzaldehyde</t>
  </si>
  <si>
    <t>N,N-Dimethyl-N-[2-[2-[4-(1,1,3,3-tetramethylbutyl)phenoxy]ethoxy]ethyl]benzenemethanaminium, Chloride</t>
  </si>
  <si>
    <t>Sulfanilic acid</t>
  </si>
  <si>
    <t>N,N-Dimethylbenzenamine</t>
  </si>
  <si>
    <t>1-Chloro-3-nitrobenzene</t>
  </si>
  <si>
    <t>2-[(Dimethoxyphosphinothioyl)thio]butanedioic acid 1,4-diethyl ester</t>
  </si>
  <si>
    <t>Eaton,J.G.</t>
  </si>
  <si>
    <t>Chronic Malathion Toxicity to the Bluegill (Lepomis macrochirus Rafinesque)</t>
  </si>
  <si>
    <t>Water Res.4(10): 673-684</t>
  </si>
  <si>
    <t>Hexahydro-1,3,5-trinitro-1,3,5-triazine</t>
  </si>
  <si>
    <t>Bentley,R.E., J.W. Dean, S.J. Ells, T.A. Hollister, G.A. LeBlanc, S. Sauter, and B.H. Sleight</t>
  </si>
  <si>
    <t>Laboratory Evaluation of the Toxicity of Cyclotrimethylene Trinitramine (RDX) to Aquatic Organisms</t>
  </si>
  <si>
    <t>U.S.Army Med.Res.Develop.Command, Frederick, MD:86 p.</t>
  </si>
  <si>
    <t>The Acute and Chronic Toxicity of Hexahydro-1,3,5-Trinitro-1,3,5-Triazine (RDX) to the Fathead Minnow (Pimephales promelas)</t>
  </si>
  <si>
    <t>Chemosphere29(3): 567-579</t>
  </si>
  <si>
    <t>Purity:  NR - NR | Organism Age:  15 - 17 Day(s) | Duration (Days):  NR - NR Day(s) | Conc 2 (Standardized):  NR (NR - NR) NR | Conc 3 (Standardized):  NR (NR - NR) NR</t>
  </si>
  <si>
    <t>2-Chloro-4-nitroaniline</t>
  </si>
  <si>
    <t>4-(1-Methylethyl)benzaldehyde</t>
  </si>
  <si>
    <t>Phosphorothioic acid O,O-dimethyl O-(3-methyl-4-nitrophenyl)ester</t>
  </si>
  <si>
    <t>6-Chloro-N,N'-diethyl-1,3,5-triazine-2,4-diamine</t>
  </si>
  <si>
    <t>N-phenylbenzenamine</t>
  </si>
  <si>
    <t>2-Phenoxyethanol</t>
  </si>
  <si>
    <t>2-Ethylhexanal</t>
  </si>
  <si>
    <t>4-Ethylphenol</t>
  </si>
  <si>
    <t>2-Methylvaleraldehyde</t>
  </si>
  <si>
    <t>Diethyl succinate</t>
  </si>
  <si>
    <t>1,4-Benzenediol</t>
  </si>
  <si>
    <t>1,2-Dihydro-3,6-pyridazinedione</t>
  </si>
  <si>
    <t>2,4-Pentanedione</t>
  </si>
  <si>
    <t>Ethyl hexanoate</t>
  </si>
  <si>
    <t>Butanal</t>
  </si>
  <si>
    <t>Butyl ester, Acetic acid</t>
  </si>
  <si>
    <t>1,4-Dioxane</t>
  </si>
  <si>
    <t>Dow Chem Co.</t>
  </si>
  <si>
    <t>Summaries of Environmental Data on Phenol, 1,4-Dioxane and Acrylonitrile with Attached Reports and Cover Letter Dated 101389</t>
  </si>
  <si>
    <t>EPA/OTS Doc. #FYI-OTS-1089-0719:1071 p.</t>
  </si>
  <si>
    <t>Hexanedioic acid</t>
  </si>
  <si>
    <t>1-Dodecanamine</t>
  </si>
  <si>
    <t>2-(Hydroxymethyl)-2-nitro-1,3-propanediol</t>
  </si>
  <si>
    <t>Phosphoric acid tributyl ester</t>
  </si>
  <si>
    <t>5,5-Dimethyl-1,3-cyclohexanedione</t>
  </si>
  <si>
    <t>1-Chloro-2-propanol</t>
  </si>
  <si>
    <t>2-Propanone, Oxime</t>
  </si>
  <si>
    <t>Acetic acid, Potassium salt (1:1)</t>
  </si>
  <si>
    <t>Corsi,S.R., S.W. Geis, G. Bowman, G.G. Failey, and T.D. Rutter</t>
  </si>
  <si>
    <t>Aquatic Toxicity of Airfield-Pavement Deicer Materials and Implications for Airport Runoff</t>
  </si>
  <si>
    <t>Environ. Sci. Technol.43(1): 40-46</t>
  </si>
  <si>
    <t>1,1,2,2-Tetrachloroethene</t>
  </si>
  <si>
    <t>96 Hour LC50 to Fathead Minnows</t>
  </si>
  <si>
    <t>EPA/OTS 86-870001016:4 p.</t>
  </si>
  <si>
    <t>2,2-Dichloropropanoic acid sodium salt</t>
  </si>
  <si>
    <t>N-Chloro-4-methylbenzenesulfonamide, Sodium salt</t>
  </si>
  <si>
    <t>Bills,T.D., L.L. Marking, V.K. Dawson, and G.E. Howe</t>
  </si>
  <si>
    <t>Effects of Organic Matter and Loading Rates of Fish on the Toxicity of Chloramine-T</t>
  </si>
  <si>
    <t>Invest.Fish Control No.97, Fish Wildl.Serv., Bur.Sport Fish.Wildl., U.S.D.I., Washington, D.C.:4 p.</t>
  </si>
  <si>
    <t>Bills,T.D., L.L. Marking, V.K. Dawson, and J.J. Rach</t>
  </si>
  <si>
    <t>Effects of Environmental Factors on the Toxicity of Chloramine-T to Fish</t>
  </si>
  <si>
    <t>Invest.Fish Control No.96, Fish Wildl.Serv., Bur.Sport Fish.Wildl., U.S.D.I., Washington, D.C.:6 p.</t>
  </si>
  <si>
    <t>alpha-Ethynyl-alpha-methylbenzenemethanol</t>
  </si>
  <si>
    <t>Dimethylcarbamodithioic acid potassium salt</t>
  </si>
  <si>
    <t>1,2-Benzisothiazol-3(2H)-one 1,1-dioxide sodium salt (1:1)</t>
  </si>
  <si>
    <t>Anthraquinone Vat Green 1 CI No. 59825</t>
  </si>
  <si>
    <t>Little,L.W., J.C. Lamb III, M.A. Chillingworth, and W.B. Durkin</t>
  </si>
  <si>
    <t>Acute Toxicity of Selected Commercial Dyes to the Fathead Minnow and Evaluation of Biological Treatment for Reduction of Toxicity</t>
  </si>
  <si>
    <t>In: Proceedings of the 29th Industrial Waste Conference, Lafayette, IN:524-534</t>
  </si>
  <si>
    <t>Little,L.W., and J.C. Lamb III</t>
  </si>
  <si>
    <t>Acute Toxicity of 46 Selected Dyes to the Fathead Minnow, Pimephales promelas</t>
  </si>
  <si>
    <t>Dyes and the Environment - Reports on Selected Dyes and Their Effects, American Dye Manufacturers Institute:123 p.</t>
  </si>
  <si>
    <t>Anthraquinone Vat Yellow 2 CI No. 67300</t>
  </si>
  <si>
    <t>Anthraquinone Vat Blue 6 CI No. 69825</t>
  </si>
  <si>
    <t>1,2-Benzenedicarboxylic acid, 1,2-Dimethyl ester</t>
  </si>
  <si>
    <t>2,3,4,5,6-Pentachlorophenol sodium salt (1:1)</t>
  </si>
  <si>
    <t>Effect of Size or Age of Goldfish and Fathead Minnows on Use of Pentachlorophenol as a Reference Toxicant</t>
  </si>
  <si>
    <t>Water Res.10(8): 685-687</t>
  </si>
  <si>
    <t>Acute Toxicity of Selected Toxicants to Six Species of Fish</t>
  </si>
  <si>
    <t>EPA-600/3-76-008, U.S.EPA, Duluth, MN:125 p.</t>
  </si>
  <si>
    <t>Lanno,R.P., B.E. Hickie, and D.G. Dixon</t>
  </si>
  <si>
    <t>Feeding and Nutritional Considerations in Aquatic Toxicology</t>
  </si>
  <si>
    <t>Hydrobiologia188/189:525-531</t>
  </si>
  <si>
    <t>Hall,W.S., R.L. Paulson, L.W.,Jr. Hall, and D.T. Burton</t>
  </si>
  <si>
    <t>Acute Toxicity of Cadmium and Sodium Pentachlorophenate to Daphnids and Fish</t>
  </si>
  <si>
    <t>Bull. Environ. Contam. Toxicol.37(2): 308-316</t>
  </si>
  <si>
    <t>Purity:  NR - NR | Organism Age:  14 - 30 Day(s) | Duration (Days):  NR - NR Day(s) | Conc 2 (Standardized):  NR (NR - NR) NR | Conc 3 (Standardized):  NR (NR - NR) NR</t>
  </si>
  <si>
    <t>Anthraquinone Vat Brown 3 CI No. 69015</t>
  </si>
  <si>
    <t>Dibenzofuran</t>
  </si>
  <si>
    <t>3a,4,7,7a-Tetrahydro-2-[(trichloromethyl)thio]-1H-isoindole-1,3-(2H)-dione</t>
  </si>
  <si>
    <t>Hermanutz,R.O., L.H. Mueller, and K.D. Kempfert</t>
  </si>
  <si>
    <t>Captan Toxicity to Fathead Minnows (Pimephales promelas), Bluegills (Lepomis macrochirus), and Brook Trout (Salvelinus fontinalis)</t>
  </si>
  <si>
    <t>J. Fish. Res. Board Can.30(12): 1811-1817</t>
  </si>
  <si>
    <t>2-[(Trichloromethyl)thio]-1H-isoindole-1,3(2H)dione</t>
  </si>
  <si>
    <t>4-Aminosalicylate</t>
  </si>
  <si>
    <t>N,N-Diethyl-3-methylbenzamide</t>
  </si>
  <si>
    <t>2-Naphthol</t>
  </si>
  <si>
    <t>6-Methyl-1H-benzotriazole</t>
  </si>
  <si>
    <t>N,N,N',N'-Tetramethylthioperoxydicarbonic diamide ([(H2N)C(S)]2S2)</t>
  </si>
  <si>
    <t>(SP-4-1)-Bis(dimethylcarbamodithioato-kappaS,kappaS')Copper</t>
  </si>
  <si>
    <t>(T-4)-Bis(dimethylcarbamodithioato-kappaS,kappaS')zinc</t>
  </si>
  <si>
    <t>Propionic acid, Sodium salt</t>
  </si>
  <si>
    <t>Purity:  NR - NR | Organism Age:  28 - 30 Day(s) | Duration (Days):  NR - NR Day(s) | Conc 2 (Standardized):  NR (NR - NR) NR | Conc 3 (Standardized):  NR (NR - NR) NR</t>
  </si>
  <si>
    <t>1-Methyl-4-(1-methylethenyl)cyclohexene</t>
  </si>
  <si>
    <t>Nitrilotriacetic acid</t>
  </si>
  <si>
    <t>1-(2-Aminoethyl)piperazine</t>
  </si>
  <si>
    <t>N-(4-Chlorophenyl)urea</t>
  </si>
  <si>
    <t>Ethyl acrylate</t>
  </si>
  <si>
    <t>Butanedioic acid, Dibutyl ester</t>
  </si>
  <si>
    <t>2-Butenedioic acid (2Z)-, 1,4-Diethyl ester</t>
  </si>
  <si>
    <t>Diethyl adipate</t>
  </si>
  <si>
    <t>2-Aminoethanol</t>
  </si>
  <si>
    <t>Formic acid sodium salt</t>
  </si>
  <si>
    <t>Acetic acid ethyl ester</t>
  </si>
  <si>
    <t>2,6-Dimethylmorpholine</t>
  </si>
  <si>
    <t>1,3-Diethyl benzene</t>
  </si>
  <si>
    <t>1,3-Dichloropropane</t>
  </si>
  <si>
    <t>Hexanoic acid</t>
  </si>
  <si>
    <t>Acetic acid, Copper(2+) salt</t>
  </si>
  <si>
    <t>Dissolved</t>
  </si>
  <si>
    <t>Hexyl acetate</t>
  </si>
  <si>
    <t>1,1'-Oxybisbutane</t>
  </si>
  <si>
    <t>1-Nonanol</t>
  </si>
  <si>
    <t>N-Hexyl-1-hexanamine</t>
  </si>
  <si>
    <t>Sodium cyanide (Na(CN))</t>
  </si>
  <si>
    <t>Labile</t>
  </si>
  <si>
    <t>Broderius,S.J., and L.L.,Jr. Smith</t>
  </si>
  <si>
    <t>Relationship Between pH and Acute Toxicity of Free Cyanide and Dissolved Sulfide Forms to the Fathead Minnow</t>
  </si>
  <si>
    <t>In: R.A.Tubb (Ed.), EPA 600/3-77-085, Recent Advances in Fish Toxicology, U.S.EPA, Corvallis, OR:88-117</t>
  </si>
  <si>
    <t>Purity:  NR - NR | Organism Age:  NR - NR Week(s) | Duration (Days):  NR - NR Day(s) | Conc 2 (Standardized):  Total 0.083 (0.08 - 0.087) AI mg/L | Conc 3 (Standardized):  NR (NR - NR) NR</t>
  </si>
  <si>
    <t>Smith,L.L.,Jr., S.J. Broderius, D.M. Oseid, G.L. Kimball, and W.M. Koenst</t>
  </si>
  <si>
    <t>Acute Toxicity of Hydrogen Cyanide to Freshwater Fishes</t>
  </si>
  <si>
    <t>Arch. Environ. Contam. Toxicol.7(3): 325-337</t>
  </si>
  <si>
    <t>Purity:  NR - NR | Organism Age:  NR - NR Week(s) | Duration (Days):  NR - NR Day(s) | Conc 2 (Standardized):  Total 0.104 (0.096 - 0.112) AI mg/L | Conc 3 (Standardized):  NR (NR - NR) NR</t>
  </si>
  <si>
    <t>Purity:  NR - NR | Organism Age:  NR - NR Week(s) | Duration (Days):  NR - NR Day(s) | Conc 2 (Standardized):  Total 0.124 (0.106 - 0.144) AI mg/L | Conc 3 (Standardized):  NR (NR - NR) NR</t>
  </si>
  <si>
    <t>Purity:  NR - NR | Organism Age:  NR - NR Week(s) | Duration (Days):  NR - NR Day(s) | Conc 2 (Standardized):  Total 0.122 (0.115 - 0.128) AI mg/L | Conc 3 (Standardized):  NR (NR - NR) NR</t>
  </si>
  <si>
    <t>Doudoroff,P.</t>
  </si>
  <si>
    <t>Some Experiments on the Toxicity of Complex Cyanide to Fish</t>
  </si>
  <si>
    <t>Sewage Ind. Wastes28(8): 1020-1040</t>
  </si>
  <si>
    <t>Swim-up</t>
  </si>
  <si>
    <t>Lethal and Sublethal Effects of Binary Mixtures of Cyanide and Hexavalent Chromium, Zinc, or Ammonia to the Fathead Minnow (Pimephales promelas) and Rainbow Trout (Salmo gairdneri)</t>
  </si>
  <si>
    <t>J. Fish. Res. Board Can.36(2): 164-172</t>
  </si>
  <si>
    <t>Purity:  NR - NR | Organism Age:  NR - NR Week(s) | Duration (Days):  NR - NR Day(s) | Conc 2 (Standardized):  Total 0.115 (0.102 - 0.13) AI mg/L | Conc 3 (Standardized):  NR (NR - NR) NR</t>
  </si>
  <si>
    <t>Purity:  NR - NR | Organism Age:  NR - NR Week(s) | Duration (Days):  NR - NR Day(s) | Conc 2 (Standardized):  Total 0.109 (0.105 - 0.113) AI mg/L | Conc 3 (Standardized):  NR (NR - NR) NR</t>
  </si>
  <si>
    <t>1,1a,3,3a,4,5,5,5a,5b,6-Decachlorooctahydro-1,3,4-metheno-2H-cyclobuta[cd]pentalen-2-one</t>
  </si>
  <si>
    <t>Buckler,D.R., A.,Jr. Witt, F.L. Mayer, and J.N. Huckins</t>
  </si>
  <si>
    <t>Acute and Chronic Effects of Kepone and Mirex on the Fathead Minnow</t>
  </si>
  <si>
    <t>Trans. Am. Fish. Soc.110(2): 270-280</t>
  </si>
  <si>
    <t>7-Oxabicyclo[2.2.1]heptane-2,3-dicarboxylic acid</t>
  </si>
  <si>
    <t>2-Hydroxy-3-methoxybenzaldehyde</t>
  </si>
  <si>
    <t>2(3H)-Benzothiazolethione</t>
  </si>
  <si>
    <t>Toxicologic Investigation of:  Ureka White</t>
  </si>
  <si>
    <t>EPA/OTS Doc.#878215064:190 p.</t>
  </si>
  <si>
    <t>%</t>
  </si>
  <si>
    <t>Acute Toxicity of Nitro Products and Effluents to Fathead Minnows (Pimephales promelas) and Daphnids (Ceriodaphnia dubia and Daphnia magna) with Cover Letter Dated 04/13/94</t>
  </si>
  <si>
    <t>EPA/OTS Doc.#86940000356:222 p.</t>
  </si>
  <si>
    <t>Purity:  NR - NR | Organism Age:  1 - 14 Day(s) | Duration (Days):  NR - NR Day(s) | Conc 2 (Standardized):  NR (NR - NR) NR | Conc 3 (Standardized):  NR (NR - NR) NR</t>
  </si>
  <si>
    <t>2-Methyl-1,3-pentanediol</t>
  </si>
  <si>
    <t>3-Methoxyphenol</t>
  </si>
  <si>
    <t>N,N'-1,2-Ethanediylbis[N-(carboxymethyl)glycine sodium salt (1:3)</t>
  </si>
  <si>
    <t>4-Methoxyphenol</t>
  </si>
  <si>
    <t>Sulfuric acid monododecyl ester sodium salt (1:1)</t>
  </si>
  <si>
    <t>Newsome,C.S.</t>
  </si>
  <si>
    <t>Susceptibility of Various Fish Species at Different Stages of Development to Aquatic Pollutants</t>
  </si>
  <si>
    <t>In: Environment and Quality of Life, Principles for the Interpretation of the Results of Testing Procedures in Ecotoxicology, EUR 7549, 342, Comm.Eur.Commun., Luxembourge, Belgium:284-295</t>
  </si>
  <si>
    <t>Potassium cyanide (K(CN))</t>
  </si>
  <si>
    <t>Goode,J.W., G. Rausina, M.L. Keplinger, and J.C. Calandra</t>
  </si>
  <si>
    <t>Acute Static and Subacute Dynamic Toxicity Studies Conducted with Free and Combined Cyanide in Rainbow Trout and Fathead Minnows</t>
  </si>
  <si>
    <t>Toxicol. Appl. Pharmacol.37(1): 118-</t>
  </si>
  <si>
    <t>Octamethylphosphoramide</t>
  </si>
  <si>
    <t>Fluoranthene</t>
  </si>
  <si>
    <t>Horne,J.D., and B.R. Oblad</t>
  </si>
  <si>
    <t>Aquatic Toxicity Studies of Six Priority Pollutants</t>
  </si>
  <si>
    <t>EPA Contract No. 68-01-6201. NUS Corporation. Houston Environmental Center, Houston, TX:104 p.</t>
  </si>
  <si>
    <t>Diamond,S.A.</t>
  </si>
  <si>
    <t>Characterization of Acute and Chronic Toxicity of Fluoranthene and the Potential for Acquisition Enhanced Tolerance in Fathead Minnows (Pimephales promelas)</t>
  </si>
  <si>
    <t>Ph.D.Thesis, Miami University, Oxford, OH:151 p.</t>
  </si>
  <si>
    <t>Purity:  NR - NR | Organism Age:  0 - 48 Hour(s) | Duration (Days):  NR - NR Day(s) | Conc 2 (Standardized):  NR (NR - NR) NR | Conc 3 (Standardized):  NR (NR - NR) NR</t>
  </si>
  <si>
    <t>Acute and Chronic Toxicity of Fluoranthene, with and Without Additional Ultraviolet Light, to Twelve Species of Freshwater Organisms</t>
  </si>
  <si>
    <t>U.S.EPA Contract No.68-C1-0034, U.S.EPA, Duluth, MN:51 p.</t>
  </si>
  <si>
    <t>Spehar,R.L., S. Poucher, L.T. Brooke, D.J. Hansen, D. Champlin, and D.A. Cox</t>
  </si>
  <si>
    <t>Comparative Toxicity of Fluoranthene to Freshwater and Saltwater Species Under Fluorescent and Ultraviolet Light</t>
  </si>
  <si>
    <t>Arch. Environ. Contam. Toxicol.37(4): 496-502</t>
  </si>
  <si>
    <t>Purity:  NR - NR | Organism Age:  25 - 35 Day(s) | Duration (Days):  NR - NR Day(s) | Conc 2 (Standardized):  NR (NR - NR) NR | Conc 3 (Standardized):  NR (NR - NR) NR</t>
  </si>
  <si>
    <t>Phthalazine</t>
  </si>
  <si>
    <t>Lande,S.S., M.T. Elnabarawy, E.A. Reiner, A.N. Welter, and R.R. Robideau</t>
  </si>
  <si>
    <t>Laboratory Assessment of Environmental Impact of Phthalazine</t>
  </si>
  <si>
    <t>Bull. Environ. Contam. Toxicol.38(2): 332-336</t>
  </si>
  <si>
    <t>Acridine</t>
  </si>
  <si>
    <t>Blaylock,B.G., M.L. Frank, and J.F. McCarthy</t>
  </si>
  <si>
    <t>Comparative Toxicity of Copper and Acridine to Fish, Daphnia and Algae</t>
  </si>
  <si>
    <t>Environ. Toxicol. Chem.4(1): 63-71</t>
  </si>
  <si>
    <t>Benzofuran</t>
  </si>
  <si>
    <t>Azulene</t>
  </si>
  <si>
    <t>Sweet,L.I., and P.G. Meier</t>
  </si>
  <si>
    <t>Lethal and Sublethal Effects of Azulene and Longifolene to Microtox, Ceriodaphnia dubia, Daphnia magna, and Pimephales promelas</t>
  </si>
  <si>
    <t>Bull. Environ. Contam. Toxicol.58(2): 268-274</t>
  </si>
  <si>
    <t>1,4-Diazabicyclo[2.2.2]octane</t>
  </si>
  <si>
    <t>Adamantane</t>
  </si>
  <si>
    <t>O,O-Dimethyl O-(4-nitrophenyl) ester phosphorothioic acid</t>
  </si>
  <si>
    <t>Jarvinen,A.W., and D.K. Tanner</t>
  </si>
  <si>
    <t>Toxicity of Selected Controlled Release and Corresponding Unformulated Technical Grade Pesticides to the Fathead Minnow Pimephales promelas</t>
  </si>
  <si>
    <t>Environ. Pollut. A.27(3): 179-195</t>
  </si>
  <si>
    <t>O,O-Diethyl S-[(ethylthio)methyl])ester, Phosphorodithioic acid</t>
  </si>
  <si>
    <t>Phosphorodithioic acid, O,O-Diethyl-S-[2-(ethylthio)ethyl] ester</t>
  </si>
  <si>
    <t>Phosphorothioic acid, O,O-Dimethyl O-(2,4,5-trichlorophenyl)ester</t>
  </si>
  <si>
    <t>Phosphoric acid 1,2-dibromo-2,2-dichloroethyl dimethyl ester</t>
  </si>
  <si>
    <t>Acetic acid, Lead(2+) salt (2:1)</t>
  </si>
  <si>
    <t>The Acute Toxicity of Some Heavy Metals to Different Species of Warm Water Fishes</t>
  </si>
  <si>
    <t>Proc. Ind. Waste Conf.10:453-463</t>
  </si>
  <si>
    <t>Hydrazine</t>
  </si>
  <si>
    <t>Velte,J.S.</t>
  </si>
  <si>
    <t>Acute Toxicity of Hydrazine Hydrate to the Fathead Minnow (Pimephales promelas) and Daphnid (Daphnia pulex)</t>
  </si>
  <si>
    <t>Bull. Environ. Contam. Toxicol.33(5): 598-604</t>
  </si>
  <si>
    <t>N1,N4-Bis(3-aminopropyl)-1,4-butanediamine hydrochloride (1:4)</t>
  </si>
  <si>
    <t>1,1,2,2,3,3,4,4,5,5,6,6,7,7,8,8,8-Heptadecafluoro-1-octanesulfonyl fluoride</t>
  </si>
  <si>
    <t>3M Co.</t>
  </si>
  <si>
    <t>Letter from 3M Co to USEPA Re Additional Information on Perfluorooctane Sulfonates &amp; Related Compounds with Studies Attached &amp; Dated 051800</t>
  </si>
  <si>
    <t>EPA/OTS FYI-0500-1378:7883 p.</t>
  </si>
  <si>
    <t>(1R,4S,4aS,5S,8R,8aR)-rel-1,2,3,4,10,10-Hexachloro-1,4,4a,5,8,8a-hexahydro-1,4:5,8-dimethanonaphthalene</t>
  </si>
  <si>
    <t>Purity:  NR - NR | Organism Age:  NR - NR NR | Duration (Days):  NR - NR Day(s) | Conc 2 (Standardized):  Formulation 0.032 (NR - NR) AI mg/L | Conc 3 (Standardized):  NR (NR - NR) NR</t>
  </si>
  <si>
    <t>Purity:  NR - NR | Organism Age:  NR - NR NR | Duration (Days):  NR - NR Day(s) | Conc 2 (Standardized):  Formulation 0.037 (NR - NR) AI mg/L | Conc 3 (Standardized):  NR (NR - NR) NR</t>
  </si>
  <si>
    <t>5-(1-Methylbutyl)-5-(2-propenyl-2,4,6(1H,3H,5H)-pyrimidinetrione, Monosodium salt</t>
  </si>
  <si>
    <t>Diethyl 4-nitrophenyl ester phosphoric acid</t>
  </si>
  <si>
    <t>5-Bromo-6-methyl-3-(1-methylpropyl)-2,4(1H,3H)-pyrimidinedione</t>
  </si>
  <si>
    <t>Call,D.J., L.T. Brooke, R.J. Kent, M.L. Knuth, S.H. Poirier, J.M. Huot, and A.R. Lima</t>
  </si>
  <si>
    <t>Bromacil and Diuron Herbicides: Toxicity, Uptake, and Elimination in Freshwater Fish</t>
  </si>
  <si>
    <t>Arch. Environ. Contam. Toxicol.16(5): 607-613</t>
  </si>
  <si>
    <t>4-(Dimethylamino)-3,5-dimethylphenol, Methylcarbamate(ester)</t>
  </si>
  <si>
    <t>Mauck,W.L., L.E. Olson, and J.W. Hogan</t>
  </si>
  <si>
    <t>Effects of Water Quality on Deactivation and Toxicity of Mexacarbate (Zectran) to Fish</t>
  </si>
  <si>
    <t>Arch. Environ. Contam. Toxicol.6(4): 385-393</t>
  </si>
  <si>
    <t>O-Ethyl O-(2,4,5-trichlorophenyl)ester ethylphosphonothioic acid</t>
  </si>
  <si>
    <t>2,5-Dinitrophenol</t>
  </si>
  <si>
    <t>N'-(3,4-Dichlorophenyl)-N,N-dimethylurea</t>
  </si>
  <si>
    <t>1,1'-Oxybis[4-fluorobenzene]</t>
  </si>
  <si>
    <t>1,2-Ethanediamine, Dihydrochloride</t>
  </si>
  <si>
    <t>O,O-Diethyl O-[6-methyl-2-(1-methylethyl)-4-pyrimidinyl] ester phosphorothioic acid</t>
  </si>
  <si>
    <t xml:space="preserve">Werner,I., L.A. Deanovic, D.E. Hinton, J.D. Henderson, G.H. De Oliveira, B.W. Wilson, W. Krueger, W.W. Wallender, M.N. </t>
  </si>
  <si>
    <t>Toxicity of Stormwater Runoff After Dormant Spray Application of Diazinon and Esfenvalerate (Asana) in a French Prune Orchard, Glenn County, California, USA</t>
  </si>
  <si>
    <t>Bull. Environ. Contam. Toxicol.68(1): 29-36</t>
  </si>
  <si>
    <t>Allison,D.T., and R.O. Hermanutz</t>
  </si>
  <si>
    <t>Toxicity of Diazinon to Brook Trout and Fathead Minnows</t>
  </si>
  <si>
    <t>EPA-600/3-77-060, U.S.EPA, Duluth, MN:69 p.</t>
  </si>
  <si>
    <t>Posner,S., and S. Reimer</t>
  </si>
  <si>
    <t>The Determination of TLM Values of Diazinon on Fingerling Fish</t>
  </si>
  <si>
    <t>U.S.EPA-OPP Registration Standard:</t>
  </si>
  <si>
    <t>Denton,D.L., C.E. Wheelock, S.A. Murray, L.A. Deanovic, B.D. Hammock, and D.E. Hinton</t>
  </si>
  <si>
    <t>Joint Acute Toxicity of Esfenvalerate and Diazinon to Larval Fathead Minnows (Pimephales promelas)</t>
  </si>
  <si>
    <t>Environ. Toxicol. Chem.22(2): 336-341</t>
  </si>
  <si>
    <t>Meier,E.P., W.H. Dennis, A.B. Rosencrance, W.F. Randall, W.J. Cooper, and M.C. Warner</t>
  </si>
  <si>
    <t>Sulfotepp, a Toxic Impurity in Formulations of Diazinon</t>
  </si>
  <si>
    <t>Bull. Environ. Contam. Toxicol.23(1-2): 158-164</t>
  </si>
  <si>
    <t>2,2,3,3,4,4,5,5,6,6,7,7,8,8,8-Pentadecafluorooctanoic acid</t>
  </si>
  <si>
    <t>Information on Perfluorooctanoic Acid and Supplemental Information on Perfluorooctane Sulfonates and Related Compounds [FX-1001 DATA]</t>
  </si>
  <si>
    <t>EPA/OTS Doc. #FYI-OTS-0500-1378:4297 p.</t>
  </si>
  <si>
    <t>Purity:  95 - 98 | Organism Age:  NR - NR NR | Duration (Days):  NR - NR Day(s) | Conc 2 (Standardized):  NR (NR - NR) NR | Conc 3 (Standardized):  NR (NR - NR) NR</t>
  </si>
  <si>
    <t>Information on Perfluorooctanoic Acid and Supplemental Information on Perfluorooctane Sulfonates and Related Compounds [FC-26 DATA]</t>
  </si>
  <si>
    <t>Purity:  96.5 - 100 | Organism Age:  NR - NR NR | Duration (Days):  NR - NR Day(s) | Conc 2 (Standardized):  NR (NR - NR) NR | Conc 3 (Standardized):  NR (NR - NR) NR</t>
  </si>
  <si>
    <t>1-Fluoro-4-nitrobenzene</t>
  </si>
  <si>
    <t>a,a,a-Trifluoro-m-tolunitrile</t>
  </si>
  <si>
    <t>4-Fluoroaniline</t>
  </si>
  <si>
    <t>Trifluoroacetic acid, Ethyl ester</t>
  </si>
  <si>
    <t>2,6-Difluorobenzoic acid</t>
  </si>
  <si>
    <t>2-Chloro-6-fluorobenzaldehyde</t>
  </si>
  <si>
    <t>a,a,a-4-Tetrafluoro-o-toluidine</t>
  </si>
  <si>
    <t>2-Fluorobenzaldehyde</t>
  </si>
  <si>
    <t>a,a,a-Trifluoro-o-tolunitrile</t>
  </si>
  <si>
    <t>a,a,a-Trifluoro-m-tolualdehyde</t>
  </si>
  <si>
    <t>4-Fluoro-N-methylaniline</t>
  </si>
  <si>
    <t>(1S,2R,4S)-1,7,7-Trimethylbicyclo[2.2.1]heptan-2-ol</t>
  </si>
  <si>
    <t>(1S)-1,7,7-Trimethyl-bicyclo[2.1.1]heptan-2-one</t>
  </si>
  <si>
    <t>(1R,4R)-1,7,7-Trimethylbicyclo[2.2.1]heptan-2-one</t>
  </si>
  <si>
    <t>1,3,3-Trimethyl-2-oxabicyclo[2.2.2]octane</t>
  </si>
  <si>
    <t>[1R-(1 alpha, 4a beta, 4b alpha, 10a alpha]-1,2,3,4a,4b alpha, 10a alpha]-1,2,3,4,4a,4b,5,6,7,9,10,10a-dodecahydro-1,4a-dimethyl-7-(1-methylethylidene)-1-phenanthrenecarboxylic acid</t>
  </si>
  <si>
    <t>[1S-(1 alpha, 3a beta, 4 alpha, 8a beta)]-Decahydro-4,8,8-trimethyl-9-methylene-1,4-methanoazulene</t>
  </si>
  <si>
    <t>Indane</t>
  </si>
  <si>
    <t>2,3-Dihydrobenzofuran</t>
  </si>
  <si>
    <t>Carbonic acid disodium salt</t>
  </si>
  <si>
    <t>Mount,D.R., D.D. Gulley, J.R. Hockett, T.D. Garrison, and J.M. Evans</t>
  </si>
  <si>
    <t>Statistical Models to Predict the Toxicity of Major Ions to Ceriodaphnia dubia, Daphnia magna and Pimephales promelas (Fathead Minnows)</t>
  </si>
  <si>
    <t>Environ. Toxicol. Chem.16(10): 2009-2019</t>
  </si>
  <si>
    <t>Purity:  NR - NR | Organism Age:  1 - 7 Day(s) | Duration (Days):  NR - NR Day(s) | Conc 2 (Standardized):  NR (NR - NR) NR | Conc 3 (Standardized):  NR (NR - NR) NR</t>
  </si>
  <si>
    <t>Exo-norborneol</t>
  </si>
  <si>
    <t>Norbornylene</t>
  </si>
  <si>
    <t>2,6-Pyridinedicarboxylic acid</t>
  </si>
  <si>
    <t>3-Pyridinecarboxaldehyde</t>
  </si>
  <si>
    <t>Phosphorothioic acid, O-(3-Chloro-4-nitrophenyl) O,O-dimethyl ester</t>
  </si>
  <si>
    <t>5-Nonanone</t>
  </si>
  <si>
    <t>Acetyl bromide</t>
  </si>
  <si>
    <t>Phosphoric acid, Trimethyl ester</t>
  </si>
  <si>
    <t>Carbonic acid, Cadmium salt (1:1)</t>
  </si>
  <si>
    <t>Neonate</t>
  </si>
  <si>
    <t>7-19</t>
  </si>
  <si>
    <t>Erten-Unal,M., B.G. Wixson, N. Gale, and J.L. Pitt</t>
  </si>
  <si>
    <t>Evaluation of Toxicity, Bioavailability and Speciation of Lead, Zinc and Cadmium in Mine/Mill Wastewaters</t>
  </si>
  <si>
    <t>Chem. Spec. Bioavail.10(2): 37-46</t>
  </si>
  <si>
    <t>Gale,N.L., B.G. Wixson, and M. Erten</t>
  </si>
  <si>
    <t>An Evaluation of the Acute Toxicity of Lead, Zinc, and Cadmium in Missouri Ozark Groundwater</t>
  </si>
  <si>
    <t>Trace Subst. Environ. Health25:169-183</t>
  </si>
  <si>
    <t>2,3-Dimethyl-1,3-butadiene</t>
  </si>
  <si>
    <t>Abietic acid</t>
  </si>
  <si>
    <t>Flavone</t>
  </si>
  <si>
    <t>2,4,6-Trimethylphenol</t>
  </si>
  <si>
    <t>1,2-Dinitrobenzene</t>
  </si>
  <si>
    <t>2-Methylbenzonitrile</t>
  </si>
  <si>
    <t>2-Methylbenzaldehyde</t>
  </si>
  <si>
    <t>Benzoic acid, Sodium salt (1:1)</t>
  </si>
  <si>
    <t>2-Methyl-4,6-dinitrophenol</t>
  </si>
  <si>
    <t>Amylbenzene</t>
  </si>
  <si>
    <t>Thiocyanic acid, Sodium salt</t>
  </si>
  <si>
    <t>1,1-Dimethylethyl ester acetic acid</t>
  </si>
  <si>
    <t>(T-4)-bis(Acetato-kappaO)dioxouranium</t>
  </si>
  <si>
    <t>Toxicity of Less Common Metals to Fishes</t>
  </si>
  <si>
    <t>Ind. Wastes5:12-</t>
  </si>
  <si>
    <t>1,3-Dichlorobenzene</t>
  </si>
  <si>
    <t>1,3-Dichloro-1-propene</t>
  </si>
  <si>
    <t>Cobalt(II)formate</t>
  </si>
  <si>
    <t>1-(Butylsulfanyl)butane</t>
  </si>
  <si>
    <t>1-(2-Hydroxy-4-methoxyphenyl)ethanone</t>
  </si>
  <si>
    <t>2-Nitrobenzaldehyde</t>
  </si>
  <si>
    <t>Third Quarterly Prog.Rep.to EPA, EPA Coop.Agreement No.CR 806864030, Univ.of Wisconsin, Superior, WI:37 p.</t>
  </si>
  <si>
    <t>4-Nitrobenzaldehyde</t>
  </si>
  <si>
    <t>N-Nitroguanidine</t>
  </si>
  <si>
    <t>Purity:  NR - NR | Organism Age:  16 - 17 Day(s) | Duration (Days):  NR - NR Day(s) | Conc 2 (Standardized):  NR (NR - NR) NR | Conc 3 (Standardized):  NR (NR - NR) NR</t>
  </si>
  <si>
    <t>Acetic acid, Zinc salt</t>
  </si>
  <si>
    <t>Phosphorodithioic acid, S,S'-Methylene O,O,O',O'-tetraethyl ester</t>
  </si>
  <si>
    <t>3-Methyl-2-butanone</t>
  </si>
  <si>
    <t>N-[4-[[4-(Dimethylamino)phenyl]phenylmethylene]-2,5-cyclohexadien-1-ylidene]-N-methylmethanaminium chloride (1:1)</t>
  </si>
  <si>
    <t>2-Methyl-6-nitrobenzenamine</t>
  </si>
  <si>
    <t>2,6-Dinitrophenol</t>
  </si>
  <si>
    <t>2,6-Dimethylphenol</t>
  </si>
  <si>
    <t>5-Methyl-2-nitrobenzenamine</t>
  </si>
  <si>
    <t>1,2-Dibromobenzene</t>
  </si>
  <si>
    <t>Carbonic acid, Dipotassium salt</t>
  </si>
  <si>
    <t>2,2-Dimethyl-3-(2-methyl-1-propenyl)cyclopropanecarboxylic acid 2-methyl-4-oxo-3-(2-propenyl)-2-cyclopenten-1-yl ester</t>
  </si>
  <si>
    <t>2,4-Diisocyanate-1-methylbenzene</t>
  </si>
  <si>
    <t>1-Methyl-4-(1-methylethylidene)-cyclohexene</t>
  </si>
  <si>
    <t>N-2-Propen-1-ylbenzenamine</t>
  </si>
  <si>
    <t>4-Ethylaniline</t>
  </si>
  <si>
    <t>3-Methylbutanal</t>
  </si>
  <si>
    <t>2-Hexanone</t>
  </si>
  <si>
    <t>2,4-Hexadiene</t>
  </si>
  <si>
    <t>Thiocyanic acid, Mercury (2+) salt</t>
  </si>
  <si>
    <t>2-Tridecanone</t>
  </si>
  <si>
    <t>Manool</t>
  </si>
  <si>
    <t>Tetraethylstannane</t>
  </si>
  <si>
    <t>Lead(2+)salt carbamic acid (1:1)</t>
  </si>
  <si>
    <t>3-Methyl-2-butanamine</t>
  </si>
  <si>
    <t>2,4-Dimethyl-3-pentanol</t>
  </si>
  <si>
    <t>2,3-Dinitrotoluene</t>
  </si>
  <si>
    <t>2-Amino-6-nitrotoluene</t>
  </si>
  <si>
    <t>2,6-Dinitrotoluene</t>
  </si>
  <si>
    <t>2,4,6-Trinitrobenzaldehyde</t>
  </si>
  <si>
    <t>N,N-Diphenylformamide</t>
  </si>
  <si>
    <t>Diethyl benzylmalonate</t>
  </si>
  <si>
    <t>Pentabromophenol</t>
  </si>
  <si>
    <t>1,2,3,4,5,6-Hexachlorocyclohexane</t>
  </si>
  <si>
    <t>Purity:  NR - NR | Organism Age:  NR - NR NR | Duration (Days):  NR - NR Day(s) | Conc 2 (Standardized):  Formulation 13 (NR - NR) AI mg/L | Conc 3 (Standardized):  NR (NR - NR) NR</t>
  </si>
  <si>
    <t>Purity:  NR - NR | Organism Age:  NR - NR NR | Duration (Days):  NR - NR Day(s) | Conc 2 (Standardized):  Formulation 15 (NR - NR) AI mg/L | Conc 3 (Standardized):  NR (NR - NR) NR</t>
  </si>
  <si>
    <t>1,2,3,4,5-Pentachlorobenzene</t>
  </si>
  <si>
    <t>2,4,6-Triiodophenol</t>
  </si>
  <si>
    <t>3,4-Dinitrotoluene</t>
  </si>
  <si>
    <t>2,4-Dimethoxybenzaldehyde</t>
  </si>
  <si>
    <t>N-(2-Hydroxyphenyl)acetamide</t>
  </si>
  <si>
    <t>2-Chloro-4-methylbenzenamine</t>
  </si>
  <si>
    <t>2-Chloro-1,4-benzenediol</t>
  </si>
  <si>
    <t>2-Pyrrolidinone</t>
  </si>
  <si>
    <t>1,5-Dimethyl-2,4-dinitrobenzene</t>
  </si>
  <si>
    <t>2,4-Dinitro-5-methylphenol</t>
  </si>
  <si>
    <t>4-Ethoxy-2-nitrobenzenamine</t>
  </si>
  <si>
    <t>3,5-Dinitrotoluene</t>
  </si>
  <si>
    <t>3,5-Dinitrobenzenamine</t>
  </si>
  <si>
    <t>2,5-Dinitrotoluene</t>
  </si>
  <si>
    <t>3-Nitrobenzonitrile</t>
  </si>
  <si>
    <t>4-Nitrobenzoic acid methyl ester</t>
  </si>
  <si>
    <t>4-Nitrobenzonitrile</t>
  </si>
  <si>
    <t>4-Nitrobenzamide</t>
  </si>
  <si>
    <t>4-Nitrophenyl phenyl ether</t>
  </si>
  <si>
    <t>1,1'-[Sulfinylbis(methylene)]bisbenzene</t>
  </si>
  <si>
    <t>N-(3-Hydroxyphenyl)acetamide</t>
  </si>
  <si>
    <t>Hydroxyethylmorpholine</t>
  </si>
  <si>
    <t>Purity:  NR - NR | Organism Age:  32 - 34 Day(s) | Duration (Days):  NR - NR Day(s) | Conc 2 (Standardized):  NR (NR - NR) NR | Conc 3 (Standardized):  NR (NR - NR) NR</t>
  </si>
  <si>
    <t>1,4-Bis(chloromethyl)benzene</t>
  </si>
  <si>
    <t>Diethyl fumarate</t>
  </si>
  <si>
    <t>2,5-Dimethylfuran</t>
  </si>
  <si>
    <t>3-Chloro-1-propanol</t>
  </si>
  <si>
    <t>1,5-Dichloropentane</t>
  </si>
  <si>
    <t>1-Bromoheptane</t>
  </si>
  <si>
    <t>Dipropyldisulfide</t>
  </si>
  <si>
    <t>Octanedinitrile</t>
  </si>
  <si>
    <t>Dibromoacetic acid</t>
  </si>
  <si>
    <t>Mayes,M.A., F.A. Blanchard, D.L. Hopkins, and I.T. Takahashi</t>
  </si>
  <si>
    <t>Static Acute Toxicity of Dibromonitrilopropionamide and Selected Degradation Products to the Fathead Minnow (Pimephales promelas Rafinesque)</t>
  </si>
  <si>
    <t>Environ. Toxicol. Chem.4(6): 823-830</t>
  </si>
  <si>
    <t>4-((2-Hydroxy-1-naphthalenyl)azo)-benzenesulfonic acid, Monosodium salt</t>
  </si>
  <si>
    <t>1,2,3,4-Tetrachlorobenzene</t>
  </si>
  <si>
    <t>2,3,4-Trichloroaniline</t>
  </si>
  <si>
    <t>1,2,3,5-Tetrachlorobenzene</t>
  </si>
  <si>
    <t>2,4,6-Trichloroaniline</t>
  </si>
  <si>
    <t>5-Chlorosalicylaldehyde</t>
  </si>
  <si>
    <t>4-Propylphenol</t>
  </si>
  <si>
    <t>Pentafluorobenzaldehyde</t>
  </si>
  <si>
    <t>4-Nitro-3-(trifluoromethyl)phenol, Sodium salt (1:1)</t>
  </si>
  <si>
    <t>2,2-Dichloroacetamide</t>
  </si>
  <si>
    <t>N,N-Diethylacetamide</t>
  </si>
  <si>
    <t>2-Octanamine</t>
  </si>
  <si>
    <t>2,2'-Oxybisethanol, Dinitrate</t>
  </si>
  <si>
    <t>Fisher,D.J., D.T. Burton, and R.L. Paulson</t>
  </si>
  <si>
    <t>Comparative Acute Toxicity of Diethyleneglycol Dinitrate to Freshwater Aquatic Organisms</t>
  </si>
  <si>
    <t>Environ. Toxicol. Chem.8(6): 545-550</t>
  </si>
  <si>
    <t>2-Decanone</t>
  </si>
  <si>
    <t>1,1'-Oxybispentane</t>
  </si>
  <si>
    <t>4-Methyloxazole</t>
  </si>
  <si>
    <t>2-Methylimidazole</t>
  </si>
  <si>
    <t>5-Methyl-2-nitrophenol</t>
  </si>
  <si>
    <t>2-Adamantanone</t>
  </si>
  <si>
    <t>5-Hexyldihydro-2(3H)-furanone</t>
  </si>
  <si>
    <t>4,6-Dimethoxy-2-hydroxybenzaldehyde</t>
  </si>
  <si>
    <t>N-(3,4-Dichlorophenyl)propanamide</t>
  </si>
  <si>
    <t>Call,D.J., L.T. Brooke, R.J. Kent, M.L. Knuth, C. Anderson, and C. Moriarity</t>
  </si>
  <si>
    <t>Toxicity, Bioconcentration, and Metabolism of the Herbicide Propanil (3',4'-Dichloropropionanilide) in Freshwater Fish</t>
  </si>
  <si>
    <t>Arch. Environ. Contam. Toxicol.12:175-182</t>
  </si>
  <si>
    <t>S-[(1,3-Dihydro-1,3-dioxo-2H-isoindol-2-yl)methyl]O,O-dimethyl ester, Phosphorodithioic acid</t>
  </si>
  <si>
    <t>2,4,6-Tris(1,1-dimethylethyl)phenol</t>
  </si>
  <si>
    <t xml:space="preserve"> Phosphorodithioic acid, O,O-Dimethyl ester</t>
  </si>
  <si>
    <t>3,4-Dichloro-1-butene</t>
  </si>
  <si>
    <t>N,N-Dibutylformamide</t>
  </si>
  <si>
    <t>2-Butyn-1-ol</t>
  </si>
  <si>
    <t>2,5-Dimethyl-2,4-hexadiene</t>
  </si>
  <si>
    <t>Tricyclo[3.3.1.13,7]decan-1-amine</t>
  </si>
  <si>
    <t>3-Cyano-4,6-dimethyl-2-hydroxypyridine</t>
  </si>
  <si>
    <t>Pentafluoroaniline</t>
  </si>
  <si>
    <t>(Triethoxysilyl)benzene</t>
  </si>
  <si>
    <t>Carbofenthion</t>
  </si>
  <si>
    <t>Triphenylphosphine oxide</t>
  </si>
  <si>
    <t>Phosphoric acid, Dimethyl ester</t>
  </si>
  <si>
    <t>2-Hydroxyethyl acrylate</t>
  </si>
  <si>
    <t>1-Octyn-3-ol</t>
  </si>
  <si>
    <t>2-Nonanone</t>
  </si>
  <si>
    <t>trans-1,2-Dichlorocyclohexane</t>
  </si>
  <si>
    <t>2,3,6-Trimethylnaphthalene</t>
  </si>
  <si>
    <t>p-Phenoxyphenol</t>
  </si>
  <si>
    <t>N2-Ethyl-N4-(1-methylethyl)-6-(methylthio)-1,3,5-triazine-2,4-diamine</t>
  </si>
  <si>
    <t>2-Methyl-2-propenoic acid, 2-Hydroxyethyl ester</t>
  </si>
  <si>
    <t>Phosphonic acid, dimethyl ester</t>
  </si>
  <si>
    <t>1-Hydroxymethanesulfonic acid sodium salt (1:1)</t>
  </si>
  <si>
    <t>3-Bromothiophene</t>
  </si>
  <si>
    <t>2,4-Dichlorobenzaldehyde</t>
  </si>
  <si>
    <t>Purity:  NR - NR | Organism Age:  27 - 30 Day(s) | Duration (Days):  NR - NR Day(s) | Conc 2 (Standardized):  NR (NR - NR) NR | Conc 3 (Standardized):  NR (NR - NR) NR</t>
  </si>
  <si>
    <t>Phenyl disulfide</t>
  </si>
  <si>
    <t>3-Aminobenzoic acid ethyl ester methanesulfonate</t>
  </si>
  <si>
    <t>1,1,1,3,3,3-Hexafluoro-2-propanol</t>
  </si>
  <si>
    <t>1,5-Hexadien-3-ol</t>
  </si>
  <si>
    <t>3-Butyn-1-ol</t>
  </si>
  <si>
    <t xml:space="preserve">(3Z)-3-Hexen-1-ol  </t>
  </si>
  <si>
    <t>(E)-3-Hexen-1-ol</t>
  </si>
  <si>
    <t>2-Acetyl-1-methylpyrrole</t>
  </si>
  <si>
    <t>2,4'-Dichloroacetophenone</t>
  </si>
  <si>
    <t>4-Phenylpyridine</t>
  </si>
  <si>
    <t>Ethylphosphonodithioic acid, O-Ethyl S-phenyl ester</t>
  </si>
  <si>
    <t>1,1'-Sulfinylbis-benzene</t>
  </si>
  <si>
    <t>2,5-Diphenylfuran</t>
  </si>
  <si>
    <t>N,N-Dimethyl-alpha-phenylbenzeneacetamide</t>
  </si>
  <si>
    <t>2-Hydroxypropyl acrylate</t>
  </si>
  <si>
    <t>2-Chloro-N,N,N-trimethylethanaminium chloride (1:1)</t>
  </si>
  <si>
    <t>4-Amino-5-hydroxy-3-((4-nitrophenyl)azo)-6-(phenylazo)-2,7-naphthalene disulfonic acid, Disodium salt</t>
  </si>
  <si>
    <t>N-(Phosphonomethyl)glycine</t>
  </si>
  <si>
    <t>2-Amino-5-bromopyridine</t>
  </si>
  <si>
    <t>Benzylphosphonic acid, Diethyl ester</t>
  </si>
  <si>
    <t>Carbamic acid, Monoammonium salt</t>
  </si>
  <si>
    <t>Phosphorothioic acid, O,O-Dimethyl ester</t>
  </si>
  <si>
    <t>1-(4-Pyridinyl)ethanone</t>
  </si>
  <si>
    <t>4-Chlorobenzoic acid, Methyl ester</t>
  </si>
  <si>
    <t>Butoxybenzene</t>
  </si>
  <si>
    <t>Methyl 4-cyanobenzoate</t>
  </si>
  <si>
    <t>Hydroxymethylmercury</t>
  </si>
  <si>
    <t>Acute Toxicity, Uptake and Histopathology of Aqueous Methyl Mercury to Fathead Minnow Embryos</t>
  </si>
  <si>
    <t>Ecotoxicology15(1): 97-110</t>
  </si>
  <si>
    <t>4,5-Dichloro-3H-1,2-dithiol-3-one</t>
  </si>
  <si>
    <t>2,6-Dichlorobenzonitrile</t>
  </si>
  <si>
    <t>3,4,5,6-Tetrachlorocatechol</t>
  </si>
  <si>
    <t>2-Bromo-1-(2,5-dimethoxyphenyl)ethanone</t>
  </si>
  <si>
    <t>Arsenic pentoxide</t>
  </si>
  <si>
    <t>De Foe,D.L.</t>
  </si>
  <si>
    <t>Arsenic (V) Test Results</t>
  </si>
  <si>
    <t>U.S.EPA, Duluth, MN (Memo to R.L.Spehar, U.S.EPA, Duluth, MN):9 p.</t>
  </si>
  <si>
    <t>Palawski,D., J.B. Hunn, and F.J. Dwyer</t>
  </si>
  <si>
    <t>Sensitivity of Young Striped Bass to Organic and Inorganic Contaminants in Fresh and Saline Waters</t>
  </si>
  <si>
    <t>Trans. Am. Fish. Soc.114(5): 748-753</t>
  </si>
  <si>
    <t>Arsenic trisulfide (As2S3)</t>
  </si>
  <si>
    <t>Cadmium oxide</t>
  </si>
  <si>
    <t>Cadmium sulfide</t>
  </si>
  <si>
    <t>Antimony trioxide</t>
  </si>
  <si>
    <t>Molybdenum trioxide (MoO3)</t>
  </si>
  <si>
    <t>Zinc oxide (ZnO)</t>
  </si>
  <si>
    <t>Vanadium oxide (V2O5)</t>
  </si>
  <si>
    <t>Dioxo[sulfato(2-)-kO] uranium</t>
  </si>
  <si>
    <t>Lead sulfide</t>
  </si>
  <si>
    <t>Zinc sulfide</t>
  </si>
  <si>
    <t>Lead oxide (PbO)</t>
  </si>
  <si>
    <t>Cresol</t>
  </si>
  <si>
    <t>4-((3-((Dimethylphenyl)azo)-2,4-dihydroxyphenyl)azo)benzene sulfonic acid, Monosodium salt</t>
  </si>
  <si>
    <t>Dibromoalbenzo(b,def)chrysene-7,14-dione</t>
  </si>
  <si>
    <t>C.I. Direct Yellow 11</t>
  </si>
  <si>
    <t>C.I. Sulfur Black 1</t>
  </si>
  <si>
    <t>Thiazin Vat Blue 43 C.I. No. 53630</t>
  </si>
  <si>
    <t>Dimethylbenzene</t>
  </si>
  <si>
    <t>(29H,31H-Phthalocyaninedisulfonate (2-)-N29,N20,N31,N32)copper, Disodium salt</t>
  </si>
  <si>
    <t>Boron sodium oxide (B4Na2O7)</t>
  </si>
  <si>
    <t>Phosphoric acid, Tris(methylphenyl) ester</t>
  </si>
  <si>
    <t>Standard</t>
  </si>
  <si>
    <t>Special Grade</t>
  </si>
  <si>
    <t>Copper chloride</t>
  </si>
  <si>
    <t>Carlson,A.R., H. Nelson, and D. Hammermeister</t>
  </si>
  <si>
    <t>Development and Validation of Site-Specific Water Quality Criteria for Copper</t>
  </si>
  <si>
    <t>Environ. Toxicol. Chem.5:997-1012</t>
  </si>
  <si>
    <t>Calcium sulfide (Ca(Sx))</t>
  </si>
  <si>
    <t>Antimycin A</t>
  </si>
  <si>
    <t>ar-Dodecyl-ar,N,N,N,N',N',N'-heptamethylbenzenedimethanaminium chloride (1:2) mixt. with ar-dodecyl-ar,N,N,N-tetramethylbenzenemethanaminium chloride (1:1)</t>
  </si>
  <si>
    <t>5-Chloro-N-(2-chloro-4-nitrophenyl)-2-hydrozybenzamide, compd. with 2-aminoethanol (1:1)</t>
  </si>
  <si>
    <t>Marking,L.L., and J.W. Hogan</t>
  </si>
  <si>
    <t>Toxicity of Bayer 73 to Fish</t>
  </si>
  <si>
    <t>Invest.Fish Control No.19, Res.Publ.No.36, USDI Fish Wildl.Serv., Bur.Sport Fish.Wildl., Washington, DC:3-13</t>
  </si>
  <si>
    <t>(2R,3R)-rel-2,3-Diphenyloxirane</t>
  </si>
  <si>
    <t>Newman,J.W., D.L. Denton, C. Morisseau, C.S. Koger, C.E. Wheelock, D.E. Hinton, and B.D. Hammock</t>
  </si>
  <si>
    <t>Evaluation of Fish Models of Soluble Epoxide Hydrolase Inhibition</t>
  </si>
  <si>
    <t>Environ. Health Perspect.109(1): 61-66</t>
  </si>
  <si>
    <t>Diisopropylmethyl phosphonate</t>
  </si>
  <si>
    <t>Tetrabutylstannane</t>
  </si>
  <si>
    <t>2-Amino-4-(methylseleno)butanoic acid</t>
  </si>
  <si>
    <t>Graham,R.V.</t>
  </si>
  <si>
    <t>A Comparison of the Environmental Cycling and Toxicity of Selenite and Selenomethionine</t>
  </si>
  <si>
    <t>Ph.D.Thesis, University of Tennessee, Knoxville, TN:216 p.</t>
  </si>
  <si>
    <t>3,4-Dimethyl-1-pentyn-3-ol</t>
  </si>
  <si>
    <t>N-Vinylcarbazole</t>
  </si>
  <si>
    <t>3-Benzyloxyaniline</t>
  </si>
  <si>
    <t>2,3-Dihydro-2,2-dimethyl-7-benzofuranol 7-(N-methylcarbamate)</t>
  </si>
  <si>
    <t>2,6-Dinitro-N,N-dipropyl-4-(trifluoromethyl)benzenamine</t>
  </si>
  <si>
    <t>Mercuric acetate</t>
  </si>
  <si>
    <t>2-Methoxy-2-methylpropane</t>
  </si>
  <si>
    <t>1,9-Decadiene</t>
  </si>
  <si>
    <t>Oxydipropionitrile</t>
  </si>
  <si>
    <t>p-Phenylazophenol</t>
  </si>
  <si>
    <t>&gt;90</t>
  </si>
  <si>
    <t>4-Hydroxy-3,5-diiodobenzonitrile</t>
  </si>
  <si>
    <t>3,5-Dibromo-4-hydroxybenzonitrile</t>
  </si>
  <si>
    <t>(1R,4aS,10aR)-1,2,3,4,4a,9,10,10a-octahydro-1,4a-dimethyl-7-(1-methylethyl)-1-phenanthrenecarboxylic acid</t>
  </si>
  <si>
    <t>Zanella,E.</t>
  </si>
  <si>
    <t>Effect of pH on Acute Toxicity of Dehydroabietic Acid and Chlorinated Dehydroabietic Acid to Fish and Daphnia</t>
  </si>
  <si>
    <t>Bull. Environ. Contam. Toxicol.30(2): 133-140</t>
  </si>
  <si>
    <t>2-Allylphenol</t>
  </si>
  <si>
    <t>Akton</t>
  </si>
  <si>
    <t>5-Bromosalicylaldehyde</t>
  </si>
  <si>
    <t>1,4,5,6,7,7-Hexachlorobicyclo[2.2.1]hept-5-ene-2,3-dicarboxylic acid, Dibutyl ester</t>
  </si>
  <si>
    <t>1,4,5,6,7,7-Hexachlorobicyclo[2.2.1]hept-5-ene-2,3-dicarboxylic acid, Dimethyl ester</t>
  </si>
  <si>
    <t>3-Hydroxy-4-((1-hydroxy-2-naphthalenyl)azo)-7-nitro-1-naphthalenesulfonic acid, Monosodium salt</t>
  </si>
  <si>
    <t>1,2,3,4,5-Pentachloro-6-methoxybenzene</t>
  </si>
  <si>
    <t>N-Butyl-N-ethyl-2,6-dinitro-4-(trifluoromethyl)benzenamine</t>
  </si>
  <si>
    <t>3-Chloro-2-chloromethyl-1-propene</t>
  </si>
  <si>
    <t>3,5-Dichloro-4-hydroxybenzonitrile</t>
  </si>
  <si>
    <t>2,4,5,6-Tetrachloro-1,3-benzenedicarbonitrile</t>
  </si>
  <si>
    <t>Sherrard,R.M., C.L. Murray-Gulde, J.H.,Jr. Rodgers, and Y.T. Shah</t>
  </si>
  <si>
    <t>Comparative Toxicity of Chlorothalonil: Ceriodaphnia dubia and Pimephales promelas</t>
  </si>
  <si>
    <t>Ecotoxicol. Environ. Saf.56(3): 327-333</t>
  </si>
  <si>
    <t>Comparative Toxicity of Chlorothalonil and Chlorpyrifos:  Ceriodaphnia dubia and Pimephales promelas</t>
  </si>
  <si>
    <t>Environ. Toxicol.17(6): 503-512</t>
  </si>
  <si>
    <t>6-Chloro-N-ethyl-N'-(1-methylethyl)-1,3,5-triazine-2,4-diamine</t>
  </si>
  <si>
    <t>Jop,K.M.</t>
  </si>
  <si>
    <t>(Atrazine Technical) - Acute Toxicity to Fathead Minnows (Pimephales promelas) Under Static Conditions</t>
  </si>
  <si>
    <t>SLI Rep.No.91-1-3630, Springborn Lab.Inc., Environ.Sci.Div., Wareham, MA:46 p.</t>
  </si>
  <si>
    <t>Dionne,E.</t>
  </si>
  <si>
    <t>Chronic Toxicity to the Fathead Minnow (Pimephales promelas) During a Full Life-Cycle Exposure</t>
  </si>
  <si>
    <t>Lab.Study #92-7-4324,CIBA-GEIGY Corp., Greensboro, NC:439 p.</t>
  </si>
  <si>
    <t>Macek,K.J., K.S. Buxton, S. Sauter, S. Gnilka, and J.W. Dean</t>
  </si>
  <si>
    <t>Chronic Toxicity of Atrazine to Selected Aquatic Invertebrates and Fishes</t>
  </si>
  <si>
    <t>EPA-600/3-76-047, U.S.EPA, Duluth, MN:50 p.</t>
  </si>
  <si>
    <t>4-Amino-3,5,6-trichloro-2-pyridinecarboxylic acid</t>
  </si>
  <si>
    <t>Mayes,M.A., and D.C. Dill</t>
  </si>
  <si>
    <t>The Acute Toxicity of Picloram, Picloram Potassium Salt, and Picloram Triisopropanolamine Salt to Aquatic Organisms</t>
  </si>
  <si>
    <t>Environ. Toxicol. Chem.3(2): 263-269</t>
  </si>
  <si>
    <t>2-(2,4-Dichlorophenoxy)acetic acid, 2-Butoxyethyl ester</t>
  </si>
  <si>
    <t>2-Chloro-6-(trichloromethyl)pyridine</t>
  </si>
  <si>
    <t>4-Amino-3-[2-[4'-[2-(2,4-diaminophenyl)diazenyl][1,1'-biphenyl]-4-yl]diazenyl]-5-hydroxy-6-(2-phenyldiazenyl)-2,7-naphthalenedisulfonic acid sodium salt (1:2)</t>
  </si>
  <si>
    <t>1,4-Benzenedicarboxylic acid, 1,4-Dibutyl ester</t>
  </si>
  <si>
    <t>4,4'-Oxybisphenol</t>
  </si>
  <si>
    <t>2-(2,4-Dichlorophenoxy)acetic acid compd. with N-methylmethanamine (1:1)</t>
  </si>
  <si>
    <t>Sac fry, yolk sac fry</t>
  </si>
  <si>
    <t>Eyed egg or stage, eyed embryo</t>
  </si>
  <si>
    <t>2-(2,4,5-Trichlorophenoxy)acetic acid compd. with N,N-diethylethanamine (1:1)</t>
  </si>
  <si>
    <t>2,6-Dichlorobenzamide</t>
  </si>
  <si>
    <t>1-Decanamine</t>
  </si>
  <si>
    <t>3-Butyn-2-ol</t>
  </si>
  <si>
    <t>4-(Dimethylamino)-3-methylphenol, Methylcarbamate (ester)</t>
  </si>
  <si>
    <t>Laboratory Grade</t>
  </si>
  <si>
    <t>2,4,5-Tribromo-1H-imidazole</t>
  </si>
  <si>
    <t>2-Chlorobiphenyl</t>
  </si>
  <si>
    <t>Dill,D.C., M.A. Mayes, C.G. Mendoza, G.U. Boggs, and J.A. Emmitte</t>
  </si>
  <si>
    <t>Comparison of the Toxicities of Biphenyl, Monochlorobiphenyl, and 2,2',4,4'-Tetrachlorobiphenyl to Fish and Daphnids</t>
  </si>
  <si>
    <t>ASTM Spec. Tech. Publ.:245-256</t>
  </si>
  <si>
    <t>3-Chloro-1,1'-biphenyl</t>
  </si>
  <si>
    <t>N4,N4-Diethyl-2-methyl-1,4-benzenediamine hydrochloride (1:1)</t>
  </si>
  <si>
    <t>Bis(hydroxymethyl)phosphinic acid</t>
  </si>
  <si>
    <t xml:space="preserve">P-Phenylphosphonothioic acid O-ethyl O-(4-nitrophenyl) ester </t>
  </si>
  <si>
    <t>4-Pentyn-2-ol</t>
  </si>
  <si>
    <t>4-Chlorocatechol</t>
  </si>
  <si>
    <t>Purity:  90 - 95 | Organism Age:  NR - NR Day(s) | Duration (Days):  NR - NR Day(s) | Conc 2 (Standardized):  NR (NR - NR) NR | Conc 3 (Standardized):  NR (NR - NR) NR</t>
  </si>
  <si>
    <t>2,4-Dihydroxybenzoic acid, Methyl ester</t>
  </si>
  <si>
    <t>N,N-Dimethyl-N'-(octahydro-4,7-methano-1H-inden-5-yl)urea</t>
  </si>
  <si>
    <t>Methylarsonic acid, Monosodium salt</t>
  </si>
  <si>
    <t>N,N-Dimethyl-N'-[3-(trifluoromethyl)phenyl]urea</t>
  </si>
  <si>
    <t>Pentachloropyridine</t>
  </si>
  <si>
    <t>N1,N1-Diethyl-1,4-benzenediamine hydrochloride (1:1)</t>
  </si>
  <si>
    <t>Hexahydro-1H-azepine-1-carbothioic acid, S-Ethyl ester</t>
  </si>
  <si>
    <t>(1R,2S,5R)-5-Methyl-2-(1-methylethyl)cyclohexanol</t>
  </si>
  <si>
    <t>1-[(4-Methylphenyl)sulfonyl]-1H-imidazole</t>
  </si>
  <si>
    <t>1-(2,4-Dichlorophenyl)ethanone</t>
  </si>
  <si>
    <t>Ethyl[phosphato(3-)-kappaO]mercurate(2-) hydrogen (1:2)</t>
  </si>
  <si>
    <t>Nonanenitrile</t>
  </si>
  <si>
    <t>&gt;=98</t>
  </si>
  <si>
    <t>2,3,5-Trimethyl naphthalene</t>
  </si>
  <si>
    <t>S-[(6-Chloro-2-oxo-3(2H)-benzoxazolyl)methyl]O,O-diethyl ester phosphorodithioic acid</t>
  </si>
  <si>
    <t>2-(2,4,5-Trichlorophenoxy)propanoic acid 2-butoxy-1-methylethyl ester</t>
  </si>
  <si>
    <t>a,a,a-4-Tetrafluoro-m-toluidine</t>
  </si>
  <si>
    <t>trans-2-Phenyl-1-cyclohexanol</t>
  </si>
  <si>
    <t>2-Ethoxyethyl methacrylate</t>
  </si>
  <si>
    <t>1,1a,2,2,3,3a,4,5,5,5a,5b,6-Dodecachlorooctahydro-1,3,4-metheno-1H-cyclobuta[cd]pentalene</t>
  </si>
  <si>
    <t>2,3,6-Trimethylphenol</t>
  </si>
  <si>
    <t>Dodecanenitrile</t>
  </si>
  <si>
    <t>2-Methoxybenzamide</t>
  </si>
  <si>
    <t>2,4-Dichlorobenzamide</t>
  </si>
  <si>
    <t>2-Methyl-2-propenoic acid, (Tetrahydro-2-furanyl)methyl ester</t>
  </si>
  <si>
    <t>4,5-Dichloro-2-methoxyphenol</t>
  </si>
  <si>
    <t>Anthraquinone Disperse Blue 3 CI No. 61505</t>
  </si>
  <si>
    <t>Trimethoxysilane</t>
  </si>
  <si>
    <t>Benzyl methacrylate</t>
  </si>
  <si>
    <t>Hexyl acrylate</t>
  </si>
  <si>
    <t>2-Chloro-9-hydroxy-9H-fluorene-9-carboxylic acid, Methyl ester</t>
  </si>
  <si>
    <t>4-Amino-3,5,6-trichloro-2-pyridinecarboxylic acid, Potassium salt (1:1)</t>
  </si>
  <si>
    <t>3,3'-[[1,1'-Biphenyl]-4,4'-diylbis(2,1-diazenediyl)]bis[5-amino-4-hydroxy-2,7-naphthalenedisulfonic acid sodium salt (1:4)</t>
  </si>
  <si>
    <t>7-(Benzoylamine)-4-hydroxy-3-((4-((4-sulfophenyl)azo)phenyl)azo)-2-naphthalenesulfonic acid, Disodium salt</t>
  </si>
  <si>
    <t xml:space="preserve">4-(1,1-Dimethylethyl)phenol-1-(N-methylcarbamate) </t>
  </si>
  <si>
    <t>Octahydro-1,3,5,7-tetranitro-1,3,5,7-tetrazocine</t>
  </si>
  <si>
    <t>Acute Toxicity of 1,3,5,7-Tetranitrooctahydro-1,3, 5,7-Tetrazocine (HMX) to Aquatic Organisms</t>
  </si>
  <si>
    <t>U. S. Army Medical Research and Development Command, Washington, D.C.:23 p.</t>
  </si>
  <si>
    <t>2,2,3,3,4,4,5,5,5-Nonafluoropentanoic acid</t>
  </si>
  <si>
    <t>Hoke,R.A., L.D. Bouchelle, B.D. Ferrell, and R.C. Buck</t>
  </si>
  <si>
    <t>Comparative Acute Freshwater Hazard Assessment and Preliminary PNEC Development for Eight Fluorinated Acids</t>
  </si>
  <si>
    <t>Chemosphere87(7): 725-733</t>
  </si>
  <si>
    <t>1-Benzylpiperazine</t>
  </si>
  <si>
    <t>6,7-Dihydrodipyrido (1,2-a:2',1'-c)pyrazinediium</t>
  </si>
  <si>
    <t>3,7-bis(Diethylamino)-1-ethoxyphenoxazin-5-ium, Chloride</t>
  </si>
  <si>
    <t>1,1,2,2,3,3,4,4,5,5,6,6,7,7,8,8,8-Heptadecafluoro-1-octanesulfonic acid potassium salt</t>
  </si>
  <si>
    <t>&gt;=126</t>
  </si>
  <si>
    <t>Drottar,K.R., and H.O. Krueger</t>
  </si>
  <si>
    <t>PFOS: A 96-Hour Static Acute Toxicity Test with the Fathead Minnow (Pimephales promelas)</t>
  </si>
  <si>
    <t>Project 454A-102, Wildlife International Ltd., Easton, MD:58 p.</t>
  </si>
  <si>
    <t>N-[4-[(2-Hydroxy-5-methylphenyl)azo]phenyl]acetamide</t>
  </si>
  <si>
    <t>3-(3-Pyridyl)-1-propanol</t>
  </si>
  <si>
    <t>4,8-Diamino-9,10-dihydro-1,5-dihydroxy-9,10-dioxo-2,6-anthracenedisulfonic acid, Disodium salt</t>
  </si>
  <si>
    <t>1-Tridecanamine</t>
  </si>
  <si>
    <t>2,2'-(1,2-Ethmediyl)bis(5-((4-ethoxyphenyl)azo)benzene sulfonic acid, Disodium salt</t>
  </si>
  <si>
    <t>2-Amino-4'-chlorobenzophenone</t>
  </si>
  <si>
    <t>2,5-Dichlorobenzoic acid, Methyl ester</t>
  </si>
  <si>
    <t>Phosphorothioic acid, O,O-Diethyl O-(3,5,6-trichloro-2-pyridinyl) ester</t>
  </si>
  <si>
    <t>5-Bromovanillin</t>
  </si>
  <si>
    <t>2,2'-(1,2-Ethenediyl)bis(5-((4-hydroxyphenyl)azo)benzenesulfonic acid, Disodium salt</t>
  </si>
  <si>
    <t>Cyclohexyl acrylate</t>
  </si>
  <si>
    <t>1,3-Benzenedicarboxylic acid, 1,3-Dibutyl ester</t>
  </si>
  <si>
    <t>N,N'-(2-Hydroxy-1,3-propanediyl)bis[N-(carboxymethyl)glycine</t>
  </si>
  <si>
    <t>Anthraquinone Disperse Blue 7 CI No. 62500</t>
  </si>
  <si>
    <t>Triethyl nitrilotricarboxylate</t>
  </si>
  <si>
    <t>3,3'-(Carbonylbis(imino(2-methyl-4,1-phenylene)azo))bis-1,5-naphthalenedisulfonic acid, Tetrasodium salt</t>
  </si>
  <si>
    <t>Nitric acid, Copper(2+) salt</t>
  </si>
  <si>
    <t>Schubauer-Berigan,M.K., J.R. Dierkes, P.D. Monson, and G.T. Ankley</t>
  </si>
  <si>
    <t>pH-Dependent Toxicity of Cd, Cu, Ni, Pb and Zn to Ceriodaphnia dubia, Pimephales promelas, Hyalella azteca and Lumbriculus variegatus</t>
  </si>
  <si>
    <t>Environ. Toxicol. Chem.12:1261-1266</t>
  </si>
  <si>
    <t>~30</t>
  </si>
  <si>
    <t>Spehar,R.L., and J.T. Fiandt</t>
  </si>
  <si>
    <t>Acute and Chronic Effects of Water Quality Criteria-Based Metal Mixtures on Three Aquatic Species</t>
  </si>
  <si>
    <t>Environ. Toxicol. Chem.5(10): 917-931</t>
  </si>
  <si>
    <t>Dibromoacetonitrile</t>
  </si>
  <si>
    <t>Anthraquinone Vat Green 3 CI No. 69500</t>
  </si>
  <si>
    <t>American Cyanamid 12009</t>
  </si>
  <si>
    <t>5,10-Dihydro-5,10-dioxonaphtho[2,3-b]-1,4-dithiin-2,3-dicarbonitrile</t>
  </si>
  <si>
    <t>8-(Phenylamino)-5-((4-((3-sulfophenyl)azo)-1-naphthalenyl)azo)-1-naphthalenesulfonic acid, Disodium salt</t>
  </si>
  <si>
    <t>5-Chloro-2-(4-chlorophenoxy)phenol,</t>
  </si>
  <si>
    <t>5-Chloro-2-(2,4-dichlorophenoxy)phenol</t>
  </si>
  <si>
    <t>Orvos,D.R., D.J. Versteeg, J. Inauen, M. Capdevielle, A. Rothenstein, and V. Cunningham</t>
  </si>
  <si>
    <t>Aquatic Toxicity of Triclosan</t>
  </si>
  <si>
    <t>Environ. Toxicol. Chem.21(7): 1338-1349</t>
  </si>
  <si>
    <t>O,O'-(Thiodi-4,1-phenylene) O,O,O',O'-tetramethyl ester phosphorothioic acid</t>
  </si>
  <si>
    <t>Hexachloronorbornadiene</t>
  </si>
  <si>
    <t>4,5-Dichlorocatechol</t>
  </si>
  <si>
    <t>Diazo Direct Red 23 CI No. 29160</t>
  </si>
  <si>
    <t>2,3,5,6-Tetrachlorobenzenamine</t>
  </si>
  <si>
    <t>Carbonic acid, Zinc salt (1:1)</t>
  </si>
  <si>
    <t>1,1-Bis(p-chlorophenyl)ethane</t>
  </si>
  <si>
    <t>Sweeny,K.H., J.R. Fischer, A.F. Graefe, H.L. Marcus, and D.H.W. Liu</t>
  </si>
  <si>
    <t>Development of Field Applied DDT</t>
  </si>
  <si>
    <t>EPA-660/2-74-036, U.S.EPA, Washington, DC:95 p.</t>
  </si>
  <si>
    <t>2,6-Diphenylpyridine</t>
  </si>
  <si>
    <t>5-Chloro-2-[4-chloro-2-[[[(3,4-dichlorophenyl)amino]carbonyl]amino]phenoxy]benzenesulfonic acid, Monosodium salt</t>
  </si>
  <si>
    <t>1,2-Benzenedicarboxylic acid, 1,2-diundecyl ester</t>
  </si>
  <si>
    <t>6-Butyl-1H-benzotriazole</t>
  </si>
  <si>
    <t>SD-7727</t>
  </si>
  <si>
    <t>Thiodiphosphoric acid ([(HO)2P(S)]2O) tetraethyl ester</t>
  </si>
  <si>
    <t>1,5-Dichloro-2,4-dinitrobenzene</t>
  </si>
  <si>
    <t>2,2,3,3,4,4,5,5,6,6,7,7,8,8,8-Pentadecafluorooctanoic acid, Ammonium salt (1:1)</t>
  </si>
  <si>
    <t>Information on Perfluorooctanoic Acid and Supplemental Information on Perfluorooctane Sulfonates and Related Compounds [FC-126 DATA]</t>
  </si>
  <si>
    <t>Purity:  78 - 93 | Organism Age:  NR - NR NR | Duration (Days):  NR - NR Day(s) | Conc 2 (Standardized):  NR (NR - NR) NR | Conc 3 (Standardized):  NR (NR - NR) NR</t>
  </si>
  <si>
    <t>&lt;45</t>
  </si>
  <si>
    <t>Information on Perfluorooctanoic Acid and Supplemental Information on Perfluorooctane Sulfonates and Related Compounds [FX-1003 DATA]</t>
  </si>
  <si>
    <t>Information on Perfluorooctanoic Acid and Supplemental Information on Perfluorooctane Sulfonates and Related Compounds [FC-1015 DATA]</t>
  </si>
  <si>
    <t>Information on Perfluorooctanoic Acid and Supplemental Information on Perfluorooctane Sulfonates and Related Compounds [FC-143 DATA]</t>
  </si>
  <si>
    <t>alpha-Ethenyl-alpha-phenylbenzenemethanol</t>
  </si>
  <si>
    <t>2,3-Dimethylvaleraldehyde</t>
  </si>
  <si>
    <t>1-(3-chloro-2-propen-1-yl)-3,5,7-Triaza-1-azoniatricyclo[3.3.1.13,7]decane chloride (1:1)</t>
  </si>
  <si>
    <t>2-Decyn-1-ol</t>
  </si>
  <si>
    <t>N-Ethyl-1,1,2,2,3,3,4,4,5,5,6,6,7,7,8,8,8-heptadecafluoro-1-octanesulfonamide</t>
  </si>
  <si>
    <t>2-Butenal</t>
  </si>
  <si>
    <t>Eastman Kodak Co.</t>
  </si>
  <si>
    <t>Letter Submitting Three Acute Aquatic Studies and One Ready Biodegradability Study as Required by the Testing Consent Order</t>
  </si>
  <si>
    <t>EPA/OTS Doc. #40-9012050:392 p.</t>
  </si>
  <si>
    <t>1-Methoxy-4-(1E)-1-propenylbenzene</t>
  </si>
  <si>
    <t>2-(2-((2,4-Dimethoxyphenyl)amino)ethenyl)-1,3,3-trimethyl-3H-indolium, Chloride</t>
  </si>
  <si>
    <t>5-Chloro-2-pyridinol</t>
  </si>
  <si>
    <t>Isopropyl disulfide</t>
  </si>
  <si>
    <t>Anthraquinone acid green 25 CI No. 61570</t>
  </si>
  <si>
    <t>2,2'-(1,2-Ethenediyl)bis[5-[[4-bis(2-hydroxyethyl)amino]-6-(phenylamino)-1,3,5-triazin-2-yl]amino]benzenesulfonic acid</t>
  </si>
  <si>
    <t>3-Furanmethanol</t>
  </si>
  <si>
    <t>2,4,5-Trimethoxybenzaldehyde</t>
  </si>
  <si>
    <t>1,3-Benzenedicarboxylic acid, Dioctyl ester</t>
  </si>
  <si>
    <t>Terephthalic acid, Dioctyl ester</t>
  </si>
  <si>
    <t>2-Methyl-2-propenoic acid, 1-Methylethyl ester</t>
  </si>
  <si>
    <t>1-Hexen-3-ol</t>
  </si>
  <si>
    <t>3,3-Dimethylglutaric acid</t>
  </si>
  <si>
    <t>2,3,4,5-Tetrachlorophenol</t>
  </si>
  <si>
    <t>1,2-Bis(4-pyridyl)ethane</t>
  </si>
  <si>
    <t>3-Methyl-2-nitrophenol</t>
  </si>
  <si>
    <t>N,N-bis(Carboxymethyl)glycine sodium salt (1:3)</t>
  </si>
  <si>
    <t>Sturm,R.N., and A.G. Payne</t>
  </si>
  <si>
    <t>Environmental Testing of Trisodium Nitrilotriacetate: Bioassays for Aquatic Safety and Algal Stimulation</t>
  </si>
  <si>
    <t>In: G.E.Glass (Ed.), Bioassay Techniques and Environmental Chemistry, Ann Arbor, MI:403-424</t>
  </si>
  <si>
    <t>Nitro Disperse Yellow 42 CI No. 10338</t>
  </si>
  <si>
    <t>1,3-Diethyl-2-thiobarbituric acid</t>
  </si>
  <si>
    <t>5-Methyl-2,4-dinitrobenzenamine</t>
  </si>
  <si>
    <t>Dimethyl nitroterephthalate</t>
  </si>
  <si>
    <t>Sulfamic acid</t>
  </si>
  <si>
    <t>5-Chloro-2(3H)benzothiazolethione</t>
  </si>
  <si>
    <t>2-Amino-1,4-benzenedicarboxylic acid, Dimethyl ester</t>
  </si>
  <si>
    <t>1,2-Bis(ethylthio)ethane</t>
  </si>
  <si>
    <t>3-Chloro-N,N-dimethyl-1-propanamine, Hydrochloride</t>
  </si>
  <si>
    <t>1,4-Dihydroxybutanedisulfonic acid, Sodium salt (1:2)</t>
  </si>
  <si>
    <t>2-Hydroxypropanoic acid, Octyl ester</t>
  </si>
  <si>
    <t>Bowmer,C.T., R.N. Hooftman, A.O. Hanstveit, P.W.M. Venderbosch, and N. Van der Hoeven</t>
  </si>
  <si>
    <t>The Ecotoxicity and the Biodegradability of Lactic Acid, Alkyl Lactate Esters and Lactate Salts</t>
  </si>
  <si>
    <t>Chemosphere37(7): 1317-1333</t>
  </si>
  <si>
    <t>1-(4-Chloro-3-nitrophenyl)ethanone</t>
  </si>
  <si>
    <t>Benzeneethanamine, Sulfate (2:1)</t>
  </si>
  <si>
    <t>N,N-Dimethyl-N-octyl-1-octanaminium chloride</t>
  </si>
  <si>
    <t>O,O-Dimethyl O-(3,5,6-trichloro-2-pyridinyl) ester phosphorothioic acid</t>
  </si>
  <si>
    <t>Dimethyl-3,5,6-trichloro-2-pyridyl ester phosphoric acid</t>
  </si>
  <si>
    <t>2-Amino-4-chloro-6-methylpyrimidine</t>
  </si>
  <si>
    <t>Monoazo acid Black 52 CI No. 15711</t>
  </si>
  <si>
    <t>1,3-Dimethoxy-2-methylbenzene</t>
  </si>
  <si>
    <t>2-Dimethylaminopyridine</t>
  </si>
  <si>
    <t>(2,4-Dichlorophenoxy)acetic acid compd. with isopropylamine (1:1)</t>
  </si>
  <si>
    <t>2,2-Dimethyl-1-propylamine</t>
  </si>
  <si>
    <t>[1R-(1a,4a beta,4b alpha,7 alpha,10a alpha)]-7-Ethenyl-1,2,3,4,4a,4b,5,6,7,8,10,10a-dodecahydro-1,4a,7-trimethyl-1-phenanthrenecarboxylic acid</t>
  </si>
  <si>
    <t>2-Amino-5-chlorobenzonitrile</t>
  </si>
  <si>
    <t>(4R)-1-Methyl-4-(1-methylethenyl)cyclohexene</t>
  </si>
  <si>
    <t>2-Dodecanone</t>
  </si>
  <si>
    <t>4-Dimethylaminocinnamaldehyde</t>
  </si>
  <si>
    <t>1-(Carboxymethyl)pyridin-1-ium chloride</t>
  </si>
  <si>
    <t>1,3,5-Trichloro-2,4-dinitrobenzene</t>
  </si>
  <si>
    <t>2,5-Dichloro-4-[4,5-dihydro-3-methyl-5-oxo-4-[2-(4-sulfophenyl)diazenyl]-1H-pyrazol-1-yl]-Benzenesulfonic acid sodium salt (1:2)</t>
  </si>
  <si>
    <t>2-Chloro-5-nitrobenzaldehyde</t>
  </si>
  <si>
    <t>4-Amino-3,5-dinitrotoluene</t>
  </si>
  <si>
    <t>1-Amino-9,10-dihydro-9,10-dioxo-4-(phenylamino)-2-anthracenesulfonic acid, Monosodium salt</t>
  </si>
  <si>
    <t>(5R)-2-Methyl-5-(1-methylethenyl)-2-cyclohexen-1-one</t>
  </si>
  <si>
    <t>3'-Chloro-3-nitrosalicylanilide</t>
  </si>
  <si>
    <t>Marking,L.L., E.L. King, C.R. Walker, and J.H. Howell</t>
  </si>
  <si>
    <t>Toxicity of 33NCS (3'-Chloro-3-Nitrosalicylanilide) to Freshwater Fish and Sea Lamprey</t>
  </si>
  <si>
    <t>Invest.Fish Control No.38, Fish Wildl.Serv., Bur.Sport Fish.Wildl., USDI, Washington, DC:16 p.</t>
  </si>
  <si>
    <t>2-Chloro-6-methylbenzonitrile</t>
  </si>
  <si>
    <t>2-Bromo-3-pyridinol</t>
  </si>
  <si>
    <t>2-Chloro-3-pyridinol</t>
  </si>
  <si>
    <t>4-Amino-3,5,6-trichloro-2-pyridinecarboxylic acid compd. with 1,1',1''-nitrilotris[2-propanol] (1:1)</t>
  </si>
  <si>
    <t>Mayes,M.A., and G.R. Oliver</t>
  </si>
  <si>
    <t>An Aquatic Hazard Assessment: Picloram</t>
  </si>
  <si>
    <t>ASTM Spec. Tech. Publ.:253-269</t>
  </si>
  <si>
    <t>Tripropargylamine</t>
  </si>
  <si>
    <t>Phosphoric acid dimethyl (1E)-1-methyl-3-(methylamino)-3-oxo-1-propen-1-yl ester</t>
  </si>
  <si>
    <t>N,N-Bis(2,2-diethoxyethyl)methylamine</t>
  </si>
  <si>
    <t>2,4,4'-Trichloro-1,1'-biphenyl</t>
  </si>
  <si>
    <t>Black,M.C., W. Burton, J.F. McCarthy, M.J. Peterson, and G.R. Southworth</t>
  </si>
  <si>
    <t>Accumulation of Contaminants by Biota in East Fork Poplar Creek</t>
  </si>
  <si>
    <t>In: Oak Ridge Y12 Plant, Environ.Sci.Div.Publ.No.3859, Oak Ridge Natl.Lab., Oak Ridge, TN4:109-172</t>
  </si>
  <si>
    <t>N-Decyl-N,N-dimethyl-1-decanaminium chloride (1:1)</t>
  </si>
  <si>
    <t>Farrell,A.P., C.J. Kennedy, A. Wood, B.D. Johnston, and W.R. Bennett</t>
  </si>
  <si>
    <t>Acute Toxicity of a Didecyldimethylammonium Chloride-Based Wood Preservative, Bardac 2280, to Aquatic Species</t>
  </si>
  <si>
    <t>Environ. Toxicol. Chem.17(8): 1552-1557</t>
  </si>
  <si>
    <t>Purity:  80 - 82 | Organism Age:  NR - NR NR | Duration (Days):  NR - NR Day(s) | Conc 2 (Standardized):  NR (NR - NR) NR | Conc 3 (Standardized):  NR (NR - NR) NR</t>
  </si>
  <si>
    <t>1,4-Piperazinedipropanamine</t>
  </si>
  <si>
    <t>3,7,11-Trimethyl-1,6,10-dodecatrien-3-ol</t>
  </si>
  <si>
    <t>1-(2-Chloroethyl)pyrrolidine hydrochloride</t>
  </si>
  <si>
    <t>1-Undecanamine</t>
  </si>
  <si>
    <t>(T-4)-Trihydro(2-methyl-2-propanamine)boron</t>
  </si>
  <si>
    <t>1-Heptyn-3-ol</t>
  </si>
  <si>
    <t xml:space="preserve">1,5-Dihydroxy-1,5-pentanedisulfonic acid sodium salt (1:2)  </t>
  </si>
  <si>
    <t>Manganese</t>
  </si>
  <si>
    <t>Stephan,C.E.</t>
  </si>
  <si>
    <t>Results of Toxicity Tests</t>
  </si>
  <si>
    <t>Feb.13th Memo to J.Carroll, U.S.EPA, Washington, DC:2 p.</t>
  </si>
  <si>
    <t>Mercury</t>
  </si>
  <si>
    <t>Silver</t>
  </si>
  <si>
    <t>Klaine,S.J., T.W. La Point, G.P. Cobb, B.L. Forsythe II, T.P. Bills, M.D. Wenholz, and R.D. Jeffers</t>
  </si>
  <si>
    <t>Influence of Water Quality Parameters on Silver Toxicity:  Preliminary Result</t>
  </si>
  <si>
    <t>In: A.W.Andren and T.W.Bober (Eds.), Silver in the Environment: Transport, Fate and Effects, Washington, DC:65-77</t>
  </si>
  <si>
    <t>Thallium</t>
  </si>
  <si>
    <t>Antimony</t>
  </si>
  <si>
    <t>Arsenic</t>
  </si>
  <si>
    <t>Dyer,S.D., G.L. Brooks, K.L. Dickson, B.M. Sanders, and E.G. Zimmerman</t>
  </si>
  <si>
    <t>Synthesis and Accumulation of Stress Proteins in Tissues of Arsenite-Exposed Fathead Minnows (Pimephales promelas)</t>
  </si>
  <si>
    <t>Environ. Toxicol. Chem.12:913-924</t>
  </si>
  <si>
    <t>Beryllium</t>
  </si>
  <si>
    <t>Cadmium</t>
  </si>
  <si>
    <t>Playle,R.C., D.G. Dixon, and K. Burnison</t>
  </si>
  <si>
    <t>Copper and Cadmium Binding to Fish Gills:  Estimates of Metal-Gill Stability Constants and Modelling of Metal Accumulation</t>
  </si>
  <si>
    <t>Can. J. Fish. Aquat. Sci.50:2678-2687</t>
  </si>
  <si>
    <t>Chromium</t>
  </si>
  <si>
    <t>Dorn,P.B., J.P. Salanitro, S.H. Evans, and L. Kravetz</t>
  </si>
  <si>
    <t>Assessing the Aquatic Hazard of Some Branched and Linear Nonionic Surfactants by Biodegradation and Toxicity</t>
  </si>
  <si>
    <t>Environ. Toxicol. Chem.12(10): 1751-1762</t>
  </si>
  <si>
    <t>Purity:  NR - NR | Organism Age:  7 - 27 Day(s) | Duration (Days):  NR - NR Day(s) | Conc 2 (Standardized):  NR (NR - NR) NR | Conc 3 (Standardized):  NR (NR - NR) NR</t>
  </si>
  <si>
    <t>Cobalt</t>
  </si>
  <si>
    <t>Copper</t>
  </si>
  <si>
    <t>Brungs,W.A., J.R. Geckler, and M. Gast</t>
  </si>
  <si>
    <t>Acute and Chronic Toxicity of Copper to the Fathead Minnow in a Surface Water of Variable Quality</t>
  </si>
  <si>
    <t>Water Res.10(1): 37-43</t>
  </si>
  <si>
    <t>Purity:  NR - NR | Organism Age:  NR - NR NR | Duration (Days):  NR - NR Day(s) | Conc 2 (Standardized):  Total 2.8 (NR - NR) AI mg/L | Conc 3 (Standardized):  NR (NR - NR) NR</t>
  </si>
  <si>
    <t>Markle,P.J., J.R. Gully, R.B. Baird, K.M. Nakada, and J.P. Bottomley</t>
  </si>
  <si>
    <t>Effects of Several Variables on Whole Effluent Toxicity Test Performance and Interpretation</t>
  </si>
  <si>
    <t>Environ. Toxicol. Chem.19(1): 123-132</t>
  </si>
  <si>
    <t>Andrew,R.W.</t>
  </si>
  <si>
    <t>Toxicity Relationships to Copper Forms in Natural Waters</t>
  </si>
  <si>
    <t>In: R.W.Andrew, P.V.Hodson, and D.E.Konasewich (Eds.), Toxicity to Biota of Metal Forms in Nat.Water, Duluth, MN127:127-144</t>
  </si>
  <si>
    <t>Purity:  NR - NR | Organism Age:  NR - NR NR | Duration (Days):  NR - NR Day(s) | Conc 2 (Standardized):  Total 9.7 (NR - NR) AI mg/L | Conc 3 (Standardized):  NR (NR - NR) NR</t>
  </si>
  <si>
    <t>Pitts,T.</t>
  </si>
  <si>
    <t>Presentation of Evidence Concerning Water Quality Classifications and Standards for the Cache la Poudre River, Big Thompson River, and Segments of the South Platte River</t>
  </si>
  <si>
    <t>Tom Pitts and Associates, Loveland, CO:169 p.</t>
  </si>
  <si>
    <t>Purity:  NR - NR | Organism Age:  NR - NR NR | Duration (Days):  NR - NR Day(s) | Conc 2 (Standardized):  Total 16 (NR - NR) AI mg/L | Conc 3 (Standardized):  NR (NR - NR) NR</t>
  </si>
  <si>
    <t>Meyer,J.S., C.J. Boese, and J.M. Morris</t>
  </si>
  <si>
    <t>Use of the Biotic Ligand Model to Predict Pulse-Exposure Toxicity of Copper to Fathead Minnows (Pimephales promelas)</t>
  </si>
  <si>
    <t>Aquat. Toxicol.84(2): 268-278</t>
  </si>
  <si>
    <t>Purity:  NR - NR | Organism Age:  NR - NR NR | Duration (Days):  NR - NR Day(s) | Conc 2 (Standardized):  Total 5 (NR - NR) AI mg/L | Conc 3 (Standardized):  NR (NR - NR) NR</t>
  </si>
  <si>
    <t>Purity:  NR - NR | Organism Age:  NR - NR NR | Duration (Days):  NR - NR Day(s) | Conc 2 (Standardized):  Total 1.6 (NR - NR) AI mg/L | Conc 3 (Standardized):  NR (NR - NR) NR</t>
  </si>
  <si>
    <t>Purity:  NR - NR | Organism Age:  NR - NR NR | Duration (Days):  NR - NR Day(s) | Conc 2 (Standardized):  Total 2 (NR - NR) AI mg/L | Conc 3 (Standardized):  NR (NR - NR) NR</t>
  </si>
  <si>
    <t>Murray-Gulde,C.L., J.E. Heatley, A.L. Schwartzman, and J.H.,Jr. Rodgers</t>
  </si>
  <si>
    <t>Algicidal Effectiveness of Clearigate, Cutrine-Plus, and Copper Sulfate and Margins of Safety Associated with Their Use</t>
  </si>
  <si>
    <t>Arch. Environ. Contam. Toxicol.43(1): 19-27</t>
  </si>
  <si>
    <t>Purity:  NR - NR | Organism Age:  NR - NR NR | Duration (Days):  NR - NR Day(s) | Conc 2 (Standardized):  Total 11 (NR - NR) AI mg/L | Conc 3 (Standardized):  NR (NR - NR) NR</t>
  </si>
  <si>
    <t>Purity:  NR - NR | Organism Age:  NR - NR NR | Duration (Days):  NR - NR Day(s) | Conc 2 (Standardized):  Total 2.2 (NR - NR) AI mg/L | Conc 3 (Standardized):  NR (NR - NR) NR</t>
  </si>
  <si>
    <t>Purity:  NR - NR | Organism Age:  NR - NR NR | Duration (Days):  NR - NR Day(s) | Conc 2 (Standardized):  Total 12 (NR - NR) AI mg/L | Conc 3 (Standardized):  NR (NR - NR) NR</t>
  </si>
  <si>
    <t>Purity:  NR - NR | Organism Age:  NR - NR NR | Duration (Days):  NR - NR Day(s) | Conc 2 (Standardized):  Total 3.3 (NR - NR) AI mg/L | Conc 3 (Standardized):  NR (NR - NR) NR</t>
  </si>
  <si>
    <t>Purity:  NR - NR | Organism Age:  NR - NR NR | Duration (Days):  NR - NR Day(s) | Conc 2 (Standardized):  Total 3.5 (NR - NR) AI mg/L | Conc 3 (Standardized):  NR (NR - NR) NR</t>
  </si>
  <si>
    <t>Vanadium</t>
  </si>
  <si>
    <t>Zinc</t>
  </si>
  <si>
    <t>Bringolf,R.B., B.A. Morris, C.J. Boese, R.C. Santore, H.E. Allen, and J.S. Meyer</t>
  </si>
  <si>
    <t>Influence of Dissolved Organic Matter on Acute Toxicity of Zinc to Larval Fathead Minnows (Pimephales promelas)</t>
  </si>
  <si>
    <t>Arch. Environ. Contam. Toxicol.51(3): 438-444</t>
  </si>
  <si>
    <t>McCauley,D., and C. Lindberg</t>
  </si>
  <si>
    <t>Seven-Day Larval Fathead Minnow Toxicity Test with Zinc and Copper in Lake Superior Water</t>
  </si>
  <si>
    <t>Center for Lake Superior Environmental Studies, University of Wisconsin, Superior, WI:5 p.</t>
  </si>
  <si>
    <t>Hobson,J.F., and W.J. Birge</t>
  </si>
  <si>
    <t>Acclimation-Induced Changes in Toxicity and Induction of Metallothionein-Like Proteins in the Fathead Minnow Following Sublethal Exposure to Zinc</t>
  </si>
  <si>
    <t>Environ. Toxicol. Chem.8(2): 157-169</t>
  </si>
  <si>
    <t>Purity:  NR - NR | Organism Age:  8 - 12 Week(s) | Duration (Days):  NR - NR Day(s) | Conc 2 (Standardized):  NR (NR - NR) NR | Conc 3 (Standardized):  NR (NR - NR) NR</t>
  </si>
  <si>
    <t>Carlson,A.R., and T.H. Roush</t>
  </si>
  <si>
    <t>Site-Specific Water Quality Studies of the Straight River, Minnesota: Complex Effluent Toxicity, Zinc Toxicity, and Biological Survey Relationships</t>
  </si>
  <si>
    <t>EPA/600/3-85/005, U.S.EPA, Duluth, MN:60 p.</t>
  </si>
  <si>
    <t>Purity:  NR - NR | Organism Age:  NR - NR NR | Duration (Days):  NR - NR Day(s) | Conc 2 (Standardized):  Total 2.159 (1.277 - 3.649) AI mg/L | Conc 3 (Standardized):  NR (NR - NR) NR</t>
  </si>
  <si>
    <t>New, newly or recent hatch</t>
  </si>
  <si>
    <t>Norberg,T.J., and D.I. Mount</t>
  </si>
  <si>
    <t>A New Fathead Minnow (Pimephales promelas) Subchronic Toxicity Test</t>
  </si>
  <si>
    <t>Environ. Toxicol. Chem.4(5): 711-718</t>
  </si>
  <si>
    <t>Purity:  NR - NR | Organism Age:  NR - NR NR | Duration (Days):  NR - NR Day(s) | Conc 2 (Standardized):  Total &amp;lt;2.66 (NR - NR) AI mg/L | Conc 3 (Standardized):  NR (NR - NR) NR</t>
  </si>
  <si>
    <t>Selenium oxide (SeO2)</t>
  </si>
  <si>
    <t>Kilch,L.R.</t>
  </si>
  <si>
    <t>The Effect of Selected Concentrations of Selenium Dioxide on the Acute Toxicity of Mercuric Chloride to the Fathead Minnow (Pimephales promelas Rafinesque)</t>
  </si>
  <si>
    <t>M.S. Thesis, Tennessee Technological University, Cookeville, TN:29 p.</t>
  </si>
  <si>
    <t>Purity:  NR - NR | Organism Age:  1 - 2 Year(s) | Duration (Days):  NR - NR Day(s) | Conc 2 (Standardized):  NR (NR - NR) NR | Conc 3 (Standardized):  NR (NR - NR) NR</t>
  </si>
  <si>
    <t>Acute Toxicity of Selenium Dioxide to Freshwater Fishes</t>
  </si>
  <si>
    <t>Arch. Environ. Contam. Toxicol.4(2): 129-144</t>
  </si>
  <si>
    <t>Sulfuric acid, Lead(2+) salt (1:1)</t>
  </si>
  <si>
    <t>Sulfuric acid, Thallium(1+) salt (1:2)</t>
  </si>
  <si>
    <t>LeBlanc,G.A., and J.W. Dean</t>
  </si>
  <si>
    <t>Antimony and Thallium Toxicity to Embryos and Larvae of Fathead Minnows (Pimephales promelas)</t>
  </si>
  <si>
    <t>Bull. Environ. Contam. Toxicol.32(5): 565-569</t>
  </si>
  <si>
    <t>Copper chloride (CuCl2)</t>
  </si>
  <si>
    <t>Naddy,R.B., W.A. Stubblefield, J.R. May, S.A. Tucker, and J.R. Hockett</t>
  </si>
  <si>
    <t>The Effect of Calcium and Magnesium Ratios on the Toxicity of Copper to Five Aquatic Species in Freshwater</t>
  </si>
  <si>
    <t>Environ. Toxicol. Chem.21(2): 347-352</t>
  </si>
  <si>
    <t>&gt;=99.0</t>
  </si>
  <si>
    <t>Hammermeister,D., C. Northcott, L. Brooke, and D. Call</t>
  </si>
  <si>
    <t>Comparison of Copper, Lead and Zinc Toxicity to Four Animal Species in Laboratory and St. Louis River Water</t>
  </si>
  <si>
    <t>Center for Lake Superior Environmental Studies, University of Wisconsin, Superior, WI:19 p.</t>
  </si>
  <si>
    <t>Potassium chloride (KCl)</t>
  </si>
  <si>
    <t>Sulfuric acid magnesium salt (1:1)</t>
  </si>
  <si>
    <t>Meyer,J.S., D.A. Sanchez, J.A. Brookman, D.B. McWhorter, and H.L. Bergman</t>
  </si>
  <si>
    <t>Chemistry and Aquatic Toxicity of Raw Oil Shale Leachates from Piceance Basin, Colorado</t>
  </si>
  <si>
    <t>Environ. Toxicol. Chem.4:559-572</t>
  </si>
  <si>
    <t>Mercury chloride (HgCl2)</t>
  </si>
  <si>
    <t>Snarski,V.M., and G.F. Olson</t>
  </si>
  <si>
    <t>Chronic Toxicity and Bioaccumulation of Mercuric Chloride in the Fathead Minnow (Pimephales promelas)</t>
  </si>
  <si>
    <t>Aquat. Toxicol.2:143-156</t>
  </si>
  <si>
    <t>2-(3-Hydroxy-2-quinolinyl)-1H-indene-1,3(2H)-dione</t>
  </si>
  <si>
    <t>Sodium perchlorate</t>
  </si>
  <si>
    <t>&lt;=14</t>
  </si>
  <si>
    <t>EA Engineering Science and Technology</t>
  </si>
  <si>
    <t>Results of Acute and Chronic Toxicity Testing with Sodium Perchlorate</t>
  </si>
  <si>
    <t>Report 2900, EA Engineering, Science, and Technology, Sparks, MD:156 p.</t>
  </si>
  <si>
    <t>Sulfurous acid sodium salt (1:1)</t>
  </si>
  <si>
    <t>S R Hansen &amp; Associates</t>
  </si>
  <si>
    <t>Acute Toxicity of Two Wastewater Treatment Chemicals Containing Sodium Bisulfite to the Waterflea and the Fathead Minnow with Cover Letter Dated 05/19/94 (Sanitized)</t>
  </si>
  <si>
    <t>S. R. Hansen and Associates, Valley Ford, CA:26 p.</t>
  </si>
  <si>
    <t>Glutaraldehyde - Reduction of Fish Toxicity by Reaction with Sodium Bisulfite, with Cover Letter Dated 6/24/96</t>
  </si>
  <si>
    <t>EPA/OTS Doc.#86960000551:16 p.</t>
  </si>
  <si>
    <t>Nitric acid sodium salt (1:1)</t>
  </si>
  <si>
    <t>&lt;8</t>
  </si>
  <si>
    <t>Scott,G., and R.L. Crunkilton</t>
  </si>
  <si>
    <t>Acute and Chronic Toxicity of Nitrate to Fathead Minnows (Pimephales promelas), Ceriodaphnia dubia, and Daphnia magna</t>
  </si>
  <si>
    <t>Environ. Toxicol. Chem.19(12): 2918-2922</t>
  </si>
  <si>
    <t>Moore,A.P., and R.B. Bringolf</t>
  </si>
  <si>
    <t>Comparative Toxicity of Nitrate to Common and Imperiled Freshwater Mussel Glochidia and Larval Fishes</t>
  </si>
  <si>
    <t>Arch. Environ. Contam. Toxicol.78:536-544</t>
  </si>
  <si>
    <t>8-10</t>
  </si>
  <si>
    <t>Buhl,K.J.</t>
  </si>
  <si>
    <t>The Relative Toxicity of Waterborne Inorganic Contaminants to the Rio Grande Silvery Minnow (Hybognathus amarus) and Fathead Minnow (Pimephales promelas) in a Water Quality Simulating that in the Rio Grande, New Mexico</t>
  </si>
  <si>
    <t>Final Rep.to U.S.Fish and Wildl.Serv., Study No.2F33-9620003, U.S.Geol.Surv., Columbia Environ.Res.Ctr., Yankton Field Res.Stn., Yankton, SD:75 p.</t>
  </si>
  <si>
    <t>Purity:  NR - NR | Organism Age:  4 - 6 Days post-hatch | Duration (Days):  NR - NR Day(s) | Conc 2 (Standardized):  NR (NR - NR) NR | Conc 3 (Standardized):  NR (NR - NR) NR</t>
  </si>
  <si>
    <t>Nitrous acid, Sodium salt</t>
  </si>
  <si>
    <t>Palachek,R.M., and J.R. Tomasso</t>
  </si>
  <si>
    <t>Nitrite Toxicity to Fathead Minnows:  Effect of Fish Weight</t>
  </si>
  <si>
    <t>Bull. Environ. Contam. Toxicol.32(2): 238-242</t>
  </si>
  <si>
    <t>Russo,R.C., and R.V. Thurston</t>
  </si>
  <si>
    <t>The Acute Toxicity of Nitrite to Fishes</t>
  </si>
  <si>
    <t>In: R.A.Tubbs (Ed), EPA-600/3-77-085, Recent Advances in Fish Toxicology - A Symposium:118-131</t>
  </si>
  <si>
    <t>Cobalt chloride (CoCl2)</t>
  </si>
  <si>
    <t>Hobson,J.F.</t>
  </si>
  <si>
    <t>Acclimation-Induced Changes in Toxicity and Induction of Metallothionein-Like Proteins in the Fathead Minnow Following Sublethal Exposure to Cobalt, Silver, and Zinc</t>
  </si>
  <si>
    <t>Ph.D.Thesis, University of Kentucky, Lexington, KY:145 p.</t>
  </si>
  <si>
    <t>Zinc chloride (ZnCl2)</t>
  </si>
  <si>
    <t>Birge,W.J., W.H. Benson, and J.A. Black</t>
  </si>
  <si>
    <t>The Induction of Tolerance to Heavy Metals in Natural and Laboratory Populations of Fish</t>
  </si>
  <si>
    <t>Res.Rep.No.141, Water Resour.Res.Inst., Univ.of Kentucky, Lexington, KY:26 p.</t>
  </si>
  <si>
    <t>Evaluation of Site-Specific Criteria for Copper and Zinc: An Integration of Metal Addition Toxicity, Effluent and Receiving Water Toxicity, and Ecological Survey Data</t>
  </si>
  <si>
    <t>EPA-600/3-86-026, U.S.EPA, Duluth, MN:68 p.</t>
  </si>
  <si>
    <t>Purity:  NR - NR | Organism Age:  NR - NR Hour(s) | Duration (Days):  NR - NR Day(s) | Conc 2 (Standardized):  Total 0.551 (0.45 - 0.677) AI mg/L | Conc 3 (Standardized):  NR (NR - NR) NR</t>
  </si>
  <si>
    <t>Benson,W.H., and W.J. Birge</t>
  </si>
  <si>
    <t>Heavy Metal Tolerance and Metallothionein Induction in Fathead Minnows:  Results From Field and Laboratory Investigations</t>
  </si>
  <si>
    <t>Environ. Toxicol. Chem.4(2): 209-217</t>
  </si>
  <si>
    <t>Purity:  NR - NR | Organism Age:  NR - NR Hour(s) | Duration (Days):  NR - NR Day(s) | Conc 2 (Standardized):  Total 0.393 (0.308 - 0.501) AI mg/L | Conc 3 (Standardized):  NR (NR - NR) NR</t>
  </si>
  <si>
    <t>Sodium chloride (NaCl)</t>
  </si>
  <si>
    <t>Birge,W.J., J.A. Black, A.G. Westerman, T.M. Short, S.B. Taylor, D.M. Bruser, and E.D. Wallingford</t>
  </si>
  <si>
    <t>Recommendations on Numerical Values for Regulating Iron and Chloride Concentrations for the Purpose of Protecting Warmwater Species of Aquatic Life in the Commonwealth of Kentucky</t>
  </si>
  <si>
    <t>University of Kentucky, Lexington, KY:73 p.</t>
  </si>
  <si>
    <t>Elphick,J.R.F., K.D. Bergh, and H.C. Bailey</t>
  </si>
  <si>
    <t>Chronic Toxicity of Chloride to Freshwater Species:  Effects of Hardness and Implications for Water Quality Guidelines</t>
  </si>
  <si>
    <t>Environ. Toxicol. Chem.30(1): 239-246</t>
  </si>
  <si>
    <t>Sodium bromide (NaBr)</t>
  </si>
  <si>
    <t>&gt;=73</t>
  </si>
  <si>
    <t>Alexander,H.C., J.A.,Jr. Quick, and E.A. Bartlett</t>
  </si>
  <si>
    <t>Static Acute Toxicity of Sodium Bromide to Fathead Minnows</t>
  </si>
  <si>
    <t>Bull. Environ. Contam. Toxicol.27(3): 326-331</t>
  </si>
  <si>
    <t>Ammonia</t>
  </si>
  <si>
    <t>Unionized</t>
  </si>
  <si>
    <t>Sodium fluoride (NaF)</t>
  </si>
  <si>
    <t>Smith,L.R., T.M. Holsen, N.C. Ibay, R.M. Block, and A.B. De Leon</t>
  </si>
  <si>
    <t>Studies on the Acute Toxicity of Fluoride Ion to Stickleback, Fathead Minnow, and Rainbow Trout</t>
  </si>
  <si>
    <t>Chemosphere14(9): 1383-1389</t>
  </si>
  <si>
    <t>Fieser,A.H.</t>
  </si>
  <si>
    <t>Toxicity of Fluorides to Aquatic Organisms: Modeling for Water Hardness and Temperature</t>
  </si>
  <si>
    <t>Ph.D Thesis, University of Pittsburgh:179 p.</t>
  </si>
  <si>
    <t>Hypochlorous acid, sodium salt (1:1)</t>
  </si>
  <si>
    <t>Purity:  4 - 6 | Organism Age:  NR - NR NR | Duration (Days):  NR - NR Day(s) | Conc 2 (Standardized):  NR (NR - NR) NR | Conc 3 (Standardized):  NR (NR - NR) NR</t>
  </si>
  <si>
    <t>Wilde,E.W., R.J. Soracco, L.A. Mayack, R.L. Shealy, and T.L. Broadwell</t>
  </si>
  <si>
    <t>Acute Toxicity of Chlorine and Bromine to Fathead Minnows and Bluegills</t>
  </si>
  <si>
    <t>Bull. Environ. Contam. Toxicol.31(3): 309-314</t>
  </si>
  <si>
    <t>Wilde,E.W., R.J. Soracco, L.A. Mayack, R.L. Shealy, T.L. Broadwell, and R.F. Steffen</t>
  </si>
  <si>
    <t>Comparison of Chlorine and Chlorine Dioxide Toxicity to Fathead Minnows and Bluegill</t>
  </si>
  <si>
    <t>Water Res.17(10): 1327-1331</t>
  </si>
  <si>
    <t>Dichlorooxozirconium</t>
  </si>
  <si>
    <t>(2E)-3-[(Dimethoxyphosphinyl)oxy]-2-butenoic acid 1-phenylethyl ester</t>
  </si>
  <si>
    <t>Iron chloride (FeCl3)</t>
  </si>
  <si>
    <t>Nickel chloride (NiCl2)</t>
  </si>
  <si>
    <t>Immature</t>
  </si>
  <si>
    <t>Pickering,Q.H.</t>
  </si>
  <si>
    <t>Chronic Toxicity of Nickel to the Fathead Minnow</t>
  </si>
  <si>
    <t>J. Water Pollut. Control Fed.46(4): 760-765</t>
  </si>
  <si>
    <t>Elemental phosphorus</t>
  </si>
  <si>
    <t>Bentley,R.E., J.W. Dean, T.A. Hollister, G.A. LeBlanc, S. Sauter, B.H. Sleight III, and W.G. Wilson</t>
  </si>
  <si>
    <t>Laboratory Evaluation of the Toxicity of Elemental Phosphorus (P4) to Aquatic Organisms</t>
  </si>
  <si>
    <t>U.S.Army Med.Res.Dev.Command, Washington, D.C.:105 p.</t>
  </si>
  <si>
    <t>Sulfuric acid, Zinc salt (1:1)</t>
  </si>
  <si>
    <t>Chronic Toxicity of Zinc to the Fathead Minnow, Pimephales promelas Rafinesque</t>
  </si>
  <si>
    <t>Trans. Am. Fish. Soc.98(2): 272-279</t>
  </si>
  <si>
    <t>Mount,D.I.</t>
  </si>
  <si>
    <t>The Effect of Total Hardness and pH on Acute Toxicity of Zinc to Fish</t>
  </si>
  <si>
    <t>Air Water Pollut.10:49-56</t>
  </si>
  <si>
    <t>Pickering,Q.H., and W.N. Vigor</t>
  </si>
  <si>
    <t>The Acute Toxicity of Zinc to Eggs and Fry of the Fathead Minnow</t>
  </si>
  <si>
    <t>Prog. Fish-Cult.27(3): 153-157</t>
  </si>
  <si>
    <t>Drendel,G.H.</t>
  </si>
  <si>
    <t>The Toxicity of Zinc to the Fathead Minnow in Soft, Hard, and Very Hard Waters</t>
  </si>
  <si>
    <t>M.S.Thesis, Colorado State University, Fort Collins, CO:85 p.</t>
  </si>
  <si>
    <t>Rachlin,J.W., and A. Perlmutter</t>
  </si>
  <si>
    <t>Response of an Inbred Strain of Platyfish and the Fathead Minnow to Zinc</t>
  </si>
  <si>
    <t>Prog. Fish-Cult.30(4): 203-207</t>
  </si>
  <si>
    <t>Korver,R.M., and J.B. Sprague</t>
  </si>
  <si>
    <t>Zinc Avoidance by Fathead Minnows (Pimephales promelas): Computerized Tracking and Greater Ecological Relevance</t>
  </si>
  <si>
    <t>Can. J. Fish. Aquat. Sci.46(2): 494-502</t>
  </si>
  <si>
    <t>Benoit,D.A., and G.W. Holcombe</t>
  </si>
  <si>
    <t>Toxic Effects of Zinc on Fathead Minnows (Pimephales promelas) in Soft Water</t>
  </si>
  <si>
    <t>J. Fish Biol.13(6): 701-708</t>
  </si>
  <si>
    <t>Goettl,J.P.J., and P.H. Davies</t>
  </si>
  <si>
    <t>Water Pollution Studies</t>
  </si>
  <si>
    <t>Job Progress Report, Federal Aid Project F-33-R-13, DNR, Boulder, CO:46-</t>
  </si>
  <si>
    <t>Bowen,G.M.R.</t>
  </si>
  <si>
    <t>Joint Action of Sublethal Copper and Zinc on Locomotory Behaviour of Fathead Minnows</t>
  </si>
  <si>
    <t>M.S. Thesis, University of Guelph, Ontario, Canada:100 p.</t>
  </si>
  <si>
    <t>Judy,R.D.J., and P.H. Davies</t>
  </si>
  <si>
    <t>Effects of Calcium Addition as Ca(NO3)2 on Zinc Toxicity to Fathead Minnows, (Pimephales promelas)</t>
  </si>
  <si>
    <t>Bull. Environ. Contam. Toxicol.22(1-2): 88-94</t>
  </si>
  <si>
    <t>Multiple</t>
  </si>
  <si>
    <t>Hall,W.S., K.L. Dickson, F.Y. Saleh, J.H.,Jr. Rodgers, D. Wilcox, and A. Entazami</t>
  </si>
  <si>
    <t>Effects of Suspended Solids on the Acute Toxicity of Zinc to Daphnia magna and Pimephales promelas</t>
  </si>
  <si>
    <t>Water Resour. Bull.22(6): 913-920</t>
  </si>
  <si>
    <t>Sulfuric acid sodium salt (1:2)</t>
  </si>
  <si>
    <t>Potassium bromide</t>
  </si>
  <si>
    <t>Lead chloride (PbCl2)</t>
  </si>
  <si>
    <t>Sulfuric acid copper(2+) salt (1:1)</t>
  </si>
  <si>
    <t>Erickson,R.J., D.A. Benoit, V.R. Mattson, H.P.,Jr. Nelson, and E.N. Leonard</t>
  </si>
  <si>
    <t>The Effects of Water Chemistry on the Toxicity of Copper to Fathead Minnows</t>
  </si>
  <si>
    <t>Environ. Toxicol. Chem.15(2): 181-193</t>
  </si>
  <si>
    <t>Geckler,J.R., W.B. Horning, T.M. Neiheisel, Q.H. Pickering, E.L. Robinson, and C.E. Stephan</t>
  </si>
  <si>
    <t>Validity of Laboratory Tests for Predicting Copper Toxicity in Streams</t>
  </si>
  <si>
    <t>EPA-600/3-76-116, U.S.EPA, Duluth, MN:208 p.</t>
  </si>
  <si>
    <t>Purity:  NR - NR | Organism Age:  NR - NR NR | Duration (Days):  NR - NR Day(s) | Conc 2 (Standardized):  Total 4.5 (NR - NR) AI mg/L | Conc 3 (Standardized):  NR (NR - NR) NR</t>
  </si>
  <si>
    <t>Lind,D., K. Alto, and S. Chatterton</t>
  </si>
  <si>
    <t>Regional Copper-Nickel Study</t>
  </si>
  <si>
    <t>Draft Report, Minnesota Environmental Quality Board St.Paul, MN:54-</t>
  </si>
  <si>
    <t>Welsh,P.G., J.L. Parrott, D.G. Dixon, P.V. Hodson, D.J. Spry, and G. Mierle</t>
  </si>
  <si>
    <t>Estimating Acute Copper Toxicity to Larval Fathead Minnow (Pimephales promelas) in Soft Water from Measurements of Dissolved Organic Carbon, Calcium, and pH</t>
  </si>
  <si>
    <t>Can. J. Fish. Aquat. Sci.53:1263-1271</t>
  </si>
  <si>
    <t>Erickson,R.J., D.A. Benoit, and V.R. Mattson</t>
  </si>
  <si>
    <t>A Prototype Toxicity Factors Model for Site-Specific Copper Water Quality Criteria</t>
  </si>
  <si>
    <t>U.S.EPA, Duluth, MN:36 p.</t>
  </si>
  <si>
    <t>Welsh,P.G., J.F. Skidmore, D.J. Spry, D.G. Dixon, P.V. Hodson, N.J. Hutchinson, and B.E. Hickie</t>
  </si>
  <si>
    <t>Effect of pH and Dissolved Organic Carbon on the Toxicity of Copper to Larval Fathead Minnow (Pimephales promelas) in Natural Lake Waters of Low Alkalinity</t>
  </si>
  <si>
    <t>Can. J. Fish. Aquat. Sci.50(7): 1356-1362</t>
  </si>
  <si>
    <t>Pulse</t>
  </si>
  <si>
    <t>Erickson,R.J.</t>
  </si>
  <si>
    <t>Evaluation of a Model for the Prediction of the Effect of Fluctuating Concentrations on the Lethality of Copper to Fathead Minnows</t>
  </si>
  <si>
    <t>Environmental Research Laboratory, U.S. Environmental Protection Agency, Duluth, MN:125 p.</t>
  </si>
  <si>
    <t>Purity:  NR - NR | Organism Age:  33 - 37 Day(s) | Duration (Days):  NR - NR Day(s) | Conc 2 (Standardized):  NR (NR - NR) NR | Conc 3 (Standardized):  NR (NR - NR) NR</t>
  </si>
  <si>
    <t>Purity:  NR - NR | Organism Age:  NR - NR NR | Duration (Days):  NR - NR Day(s) | Conc 2 (Standardized):  Total 5.33 (NR - NR) AI mg/L | Conc 3 (Standardized):  NR (NR - NR) NR</t>
  </si>
  <si>
    <t>Ryan,A.C., E.J. Van Genderen, J.R. Tomasso, and S.J. Klaine</t>
  </si>
  <si>
    <t>Influence of Natural Organic Matter Source on Copper Toxicity to Larval Fathead Minnows (Pimephales promelas):  Implications for the Biotic Ligand Model</t>
  </si>
  <si>
    <t>Environ. Toxicol. Chem.23(6): 1567-1574</t>
  </si>
  <si>
    <t>Purity:  NR - NR | Organism Age:  NR - NR NR | Duration (Days):  NR - NR Day(s) | Conc 2 (Standardized):  Total 0.92 (NR - NR) AI mg/L | Conc 3 (Standardized):  NR (NR - NR) NR</t>
  </si>
  <si>
    <t>Welsh,P.G.</t>
  </si>
  <si>
    <t>Influence of Dissolved Organic Carbon on the Speciation, Bioavailability and Toxicity of Metals to Aquatic Biota in Soft Water Lakes</t>
  </si>
  <si>
    <t>Ph.D.Thesis, University of Waterloo, Ontario, Canada:181 p.</t>
  </si>
  <si>
    <t>Purity:  NR - NR | Organism Age:  &amp;gt;24 - &amp;lt;96 Hour(s) | Duration (Days):  NR - NR Day(s) | Conc 2 (Standardized):  NR (NR - NR) NR | Conc 3 (Standardized):  NR (NR - NR) NR</t>
  </si>
  <si>
    <t>Purity:  NR - NR | Organism Age:  NR - NR NR | Duration (Days):  NR - NR Day(s) | Conc 2 (Standardized):  Total 10.55 (NR - NR) AI mg/L | Conc 3 (Standardized):  NR (NR - NR) NR</t>
  </si>
  <si>
    <t>Purity:  NR - NR | Organism Age:  NR - NR NR | Duration (Days):  NR - NR Day(s) | Conc 2 (Standardized):  Total 7.1 (NR - NR) AI mg/L | Conc 3 (Standardized):  NR (NR - NR) NR</t>
  </si>
  <si>
    <t>Purity:  NR - NR | Organism Age:  NR - NR NR | Duration (Days):  NR - NR Day(s) | Conc 2 (Standardized):  Total &amp;lt;0.65 (NR - NR) AI mg/L | Conc 3 (Standardized):  NR (NR - NR) NR</t>
  </si>
  <si>
    <t>Erickson,R.J., C.F. Kleiner, J.T. Fiandt, and T.L. Highland</t>
  </si>
  <si>
    <t>Effect of Acclimation Period on the Relationship of Acute Copper Toxicity to Water Hardness for Fathead Minnows</t>
  </si>
  <si>
    <t>Environ. Toxicol. Chem.16(4): 813-815</t>
  </si>
  <si>
    <t>Chronic Toxicity of Copper to Fathead Minnows (Pimephales promelas, Rafinesque)</t>
  </si>
  <si>
    <t>Water Res.2(3): 215-223</t>
  </si>
  <si>
    <t>Nelson,H., D. Benoit, R. Erickson, V. Mattson, and J. Lindberg</t>
  </si>
  <si>
    <t>The Effects of Variable Hardness, pH, Alkalinity, Suspended Clay, and Humics on the Chemical Speciation and Aquatic Toxicity of Copper</t>
  </si>
  <si>
    <t>EPA/600/3-86/023, U.S.EPA, Duluth, MN:120 p.</t>
  </si>
  <si>
    <t>Purity:  NR - NR | Organism Age:  NR - NR Day(s) | Duration (Days):  NR - NR Day(s) | Conc 2 (Standardized):  Total 0.055 (0.038 - 0.081) AI mg/L | Conc 3 (Standardized):  NR (NR - NR) NR</t>
  </si>
  <si>
    <t>Bennett,W.A., A. Sosa, and T.L. Beitinger</t>
  </si>
  <si>
    <t>Oxygen Tolerance of Fathead Minnows Previously Exposed to Copper</t>
  </si>
  <si>
    <t>Bull. Environ. Contam. Toxicol.55(4): 517-524</t>
  </si>
  <si>
    <t>Purity:  NR - NR | Organism Age:  60 - 90 Day(s) | Duration (Days):  NR - NR Day(s) | Conc 2 (Standardized):  NR (NR - NR) NR | Conc 3 (Standardized):  NR (NR - NR) NR</t>
  </si>
  <si>
    <t>Richards,V.L., and T.L. Beitinger</t>
  </si>
  <si>
    <t>Reciprocal Influences of Temperature and Copper on Survival of Fathead Minnows, Pimephales promelas</t>
  </si>
  <si>
    <t>Bull. Environ. Contam. Toxicol.55(2): 230-236</t>
  </si>
  <si>
    <t>Purity:  NR - NR | Organism Age:  NR - NR NR | Duration (Days):  NR - NR Day(s) | Conc 2 (Standardized):  Total 23.6 (NR - NR) AI mg/L | Conc 3 (Standardized):  NR (NR - NR) NR</t>
  </si>
  <si>
    <t>Purity:  NR - NR | Organism Age:  NR - NR NR | Duration (Days):  NR - NR Day(s) | Conc 2 (Standardized):  Total 20 (NR - NR) AI mg/L | Conc 3 (Standardized):  NR (NR - NR) NR</t>
  </si>
  <si>
    <t>Purity:  NR - NR | Organism Age:  NR - NR NR | Duration (Days):  NR - NR Day(s) | Conc 2 (Standardized):  Total 19 (NR - NR) AI mg/L | Conc 3 (Standardized):  NR (NR - NR) NR</t>
  </si>
  <si>
    <t>Purity:  NR - NR | Organism Age:  NR - NR NR | Duration (Days):  NR - NR Day(s) | Conc 2 (Standardized):  Total 8.3 (NR - NR) AI mg/L | Conc 3 (Standardized):  NR (NR - NR) NR</t>
  </si>
  <si>
    <t>Purity:  NR - NR | Organism Age:  31 - 36 Day(s) | Duration (Days):  NR - NR Day(s) | Conc 2 (Standardized):  NR (NR - NR) NR | Conc 3 (Standardized):  NR (NR - NR) NR</t>
  </si>
  <si>
    <t>Purity:  NR - NR | Organism Age:  NR - NR NR | Duration (Days):  NR - NR Day(s) | Conc 2 (Standardized):  Total 1 (NR - NR) AI mg/L | Conc 3 (Standardized):  NR (NR - NR) NR</t>
  </si>
  <si>
    <t>Purity:  NR - NR | Organism Age:  NR - NR Day(s) | Duration (Days):  NR - NR Day(s) | Conc 2 (Standardized):  Total 0.18 (0.166 - 0.195) AI mg/L | Conc 3 (Standardized):  NR (NR - NR) NR</t>
  </si>
  <si>
    <t>Pickering,Q.H., W. Brungs, and M. Gast</t>
  </si>
  <si>
    <t>Effect of Exposure Time and Copper Concentration on Reproduction of the Fathead Minnow (Pimephales promelas)</t>
  </si>
  <si>
    <t>Water Res.11(12): 1079-1083</t>
  </si>
  <si>
    <t>Suedel,B.C., E. Deaver, and J.H.,Jr. Rodgers</t>
  </si>
  <si>
    <t>Experimental Factors that may Affect Toxicity of Aqueous and Sediment-Bound Copper to Freshwater Organisms</t>
  </si>
  <si>
    <t>Arch. Environ. Contam. Toxicol.30(1): 40-46</t>
  </si>
  <si>
    <t>Purity:  NR - NR | Organism Age:  2 - 4 Day(s) | Duration (Days):  NR - NR Day(s) | Conc 2 (Standardized):  NR (NR - NR) NR | Conc 3 (Standardized):  NR (NR - NR) NR</t>
  </si>
  <si>
    <t>Purity:  NR - NR | Organism Age:  NR - NR NR | Duration (Days):  NR - NR Day(s) | Conc 2 (Standardized):  Total 2.83 (NR - NR) AI mg/L | Conc 3 (Standardized):  NR (NR - NR) NR</t>
  </si>
  <si>
    <t>Purity:  NR - NR | Organism Age:  NR - NR NR | Duration (Days):  NR - NR Day(s) | Conc 2 (Standardized):  Total 1.02 (NR - NR) AI mg/L | Conc 3 (Standardized):  NR (NR - NR) NR</t>
  </si>
  <si>
    <t>Purity:  NR - NR | Organism Age:  NR - NR NR | Duration (Days):  NR - NR Day(s) | Conc 2 (Standardized):  Total 21 (NR - NR) AI mg/L | Conc 3 (Standardized):  NR (NR - NR) NR</t>
  </si>
  <si>
    <t>Purity:  NR - NR | Organism Age:  NR - NR NR | Duration (Days):  NR - NR Day(s) | Conc 2 (Standardized):  Total 4.67 (NR - NR) AI mg/L | Conc 3 (Standardized):  NR (NR - NR) NR</t>
  </si>
  <si>
    <t>Purity:  NR - NR | Organism Age:  NR - NR NR | Duration (Days):  NR - NR Day(s) | Conc 2 (Standardized):  Total 0.06 (0.042 - 0.086) AI mg/L | Conc 3 (Standardized):  NR (NR - NR) NR</t>
  </si>
  <si>
    <t>Vardy,D.W., J. Oellers, J.A. Doering, H. Hollert, J.P. Giesy, and M. Hecker</t>
  </si>
  <si>
    <t>Sensitivity of Early Life Stages of White Sturgeon, Rainbow Trout, and Fathead Minnow to Copper</t>
  </si>
  <si>
    <t>Ecotoxicology22(1): 139-147</t>
  </si>
  <si>
    <t>Purity:  NR - NR | Organism Age:  NR - NR NR | Duration (Days):  NR - NR Day(s) | Conc 2 (Standardized):  Total 3.15 (NR - NR) AI mg/L | Conc 3 (Standardized):  NR (NR - NR) NR</t>
  </si>
  <si>
    <t>Purity:  NR - NR | Organism Age:  NR - NR NR | Duration (Days):  NR - NR Day(s) | Conc 2 (Standardized):  Total 1.19 (NR - NR) AI mg/L | Conc 3 (Standardized):  NR (NR - NR) NR</t>
  </si>
  <si>
    <t>Purity:  NR - NR | Organism Age:  NR - NR NR | Duration (Days):  NR - NR Day(s) | Conc 2 (Standardized):  Total 14.5 (NR - NR) AI mg/L | Conc 3 (Standardized):  NR (NR - NR) NR</t>
  </si>
  <si>
    <t>Purity:  NR - NR | Organism Age:  NR - NR NR | Duration (Days):  NR - NR Day(s) | Conc 2 (Standardized):  Total 22.2 (NR - NR) AI mg/L | Conc 3 (Standardized):  NR (NR - NR) NR</t>
  </si>
  <si>
    <t>Johnson,B.M., M.M. Chao, O.R. Tedrow, A.D. McQueen, and J.H.,Jr. Rodgers</t>
  </si>
  <si>
    <t>Responses of Lepomis macrochirus, Pimephales promelas, Hyalella azteca, Ceriodaphnia dubia, and Daphnia magna to Exposures of Algimycin PWF and Copper Sulfate Pentahydrate</t>
  </si>
  <si>
    <t>J. Aquat. Plant Manag.46:176-183</t>
  </si>
  <si>
    <t>Schlueter,M.A., S.I. Guttman, J.T. Oris, and A.J. Bailer</t>
  </si>
  <si>
    <t>Survival of Copper-Exposed Juvenile Fathead Minnows (Pimephales promelas) Differs Among Allozyme Genotypes</t>
  </si>
  <si>
    <t>Environ. Toxicol. Chem.14(10): 1727-1734</t>
  </si>
  <si>
    <t>Purity:  NR - NR | Organism Age:  NR - NR NR | Duration (Days):  NR - NR Day(s) | Conc 2 (Standardized):  Total 8.7 (NR - NR) AI mg/L | Conc 3 (Standardized):  NR (NR - NR) NR</t>
  </si>
  <si>
    <t>Purity:  NR - NR | Organism Age:  NR - NR NR | Duration (Days):  NR - NR Day(s) | Conc 2 (Standardized):  Total 4.16 (NR - NR) AI mg/L | Conc 3 (Standardized):  NR (NR - NR) NR</t>
  </si>
  <si>
    <t>Purity:  NR - NR | Organism Age:  NR - NR NR | Duration (Days):  NR - NR Day(s) | Conc 2 (Standardized):  Total 1.58 (NR - NR) AI mg/L | Conc 3 (Standardized):  NR (NR - NR) NR</t>
  </si>
  <si>
    <t>Purity:  NR - NR | Organism Age:  NR - NR NR | Duration (Days):  NR - NR Day(s) | Conc 2 (Standardized):  Total 9 (NR - NR) AI mg/L | Conc 3 (Standardized):  NR (NR - NR) NR</t>
  </si>
  <si>
    <t>Purity:  NR - NR | Organism Age:  NR - NR NR | Duration (Days):  NR - NR Day(s) | Conc 2 (Standardized):  Total 0.095 (0.075 - 0.119) AI mg/L | Conc 3 (Standardized):  NR (NR - NR) NR</t>
  </si>
  <si>
    <t>Mount,D.I., and C.E. Stephan</t>
  </si>
  <si>
    <t>Chronic Toxicity of Copper to the Fathead Minnow (Pimephales promelas) in Soft Water</t>
  </si>
  <si>
    <t>J. Fish. Res. Board Can.26(9): 2449-2457</t>
  </si>
  <si>
    <t>Purity:  NR - NR | Organism Age:  NR - NR NR | Duration (Days):  NR - NR Day(s) | Conc 2 (Standardized):  Total 1.45 (NR - NR) AI mg/L | Conc 3 (Standardized):  NR (NR - NR) NR</t>
  </si>
  <si>
    <t>Purity:  NR - NR | Organism Age:  NR - NR NR | Duration (Days):  NR - NR Day(s) | Conc 2 (Standardized):  Total 21.8 (NR - NR) AI mg/L | Conc 3 (Standardized):  NR (NR - NR) NR</t>
  </si>
  <si>
    <t>Purity:  NR - NR | Organism Age:  NR - NR NR | Duration (Days):  NR - NR Day(s) | Conc 2 (Standardized):  Total 10 (NR - NR) AI mg/L | Conc 3 (Standardized):  NR (NR - NR) NR</t>
  </si>
  <si>
    <t>Purity:  NR - NR | Organism Age:  NR - NR NR | Duration (Days):  NR - NR Day(s) | Conc 2 (Standardized):  Total 18 (NR - NR) AI mg/L | Conc 3 (Standardized):  NR (NR - NR) NR</t>
  </si>
  <si>
    <t>Purity:  NR - NR | Organism Age:  NR - NR NR | Duration (Days):  NR - NR Day(s) | Conc 2 (Standardized):  Total &amp;gt;8 (NR - NR) AI mg/L | Conc 3 (Standardized):  NR (NR - NR) NR</t>
  </si>
  <si>
    <t>Purity:  NR - NR | Organism Age:  NR - NR NR | Duration (Days):  NR - NR Day(s) | Conc 2 (Standardized):  Total 0.105 (0.069 - 0.163) AI mg/L | Conc 3 (Standardized):  NR (NR - NR) NR</t>
  </si>
  <si>
    <t>Purity:  NR - NR | Organism Age:  NR - NR NR | Duration (Days):  NR - NR Day(s) | Conc 2 (Standardized):  Total 15 (NR - NR) AI mg/L | Conc 3 (Standardized):  NR (NR - NR) NR</t>
  </si>
  <si>
    <t>Purity:  NR - NR | Organism Age:  NR - NR NR | Duration (Days):  NR - NR Day(s) | Conc 2 (Standardized):  Total 0.083 (0.064 - 0.107) AI mg/L | Conc 3 (Standardized):  NR (NR - NR) NR</t>
  </si>
  <si>
    <t>Purity:  NR - NR | Organism Age:  NR - NR NR | Duration (Days):  NR - NR Day(s) | Conc 2 (Standardized):  Total 0.032 (0.025 - 0.041) AI mg/L | Conc 3 (Standardized):  NR (NR - NR) NR</t>
  </si>
  <si>
    <t>Nitric acid silver (1+) salt (1:1)</t>
  </si>
  <si>
    <t>VanGenderen,E.J., A.C. Ryan, J.R. Tomasso, and S.J. Klaine</t>
  </si>
  <si>
    <t>Influence of Dissolved Organic Matter Source on Silver Toxicity to Pimephales promelas</t>
  </si>
  <si>
    <t>Environ. Toxicol. Chem.22(11): 2746-2751</t>
  </si>
  <si>
    <t>Karen,D.J., D.R. Ownby, B.L. Forsythe, T.P. Bills, T.W. LaPoint, G.B. Cobb, and S.J. Klaine</t>
  </si>
  <si>
    <t>Influence of Water Quality on Silver Toxicity to Rainbow Trout (Oncorhynchus mykiss), Fathead Minnows (Pimephales promelas), and Water Fleas (Daphnia magna)</t>
  </si>
  <si>
    <t>Environ. Toxicol. Chem.18(1): 63-70</t>
  </si>
  <si>
    <t>Forsythe II,B.L.</t>
  </si>
  <si>
    <t>Silver in a Freshwater Ecosystem:  Acute Toxicity and Trophic Transfer</t>
  </si>
  <si>
    <t>Ph.D. Thesis, Clemson University, Clemson, SC:149 p.</t>
  </si>
  <si>
    <t>Lima,A.R., C. Curtis, D.E. Hammermeister, D.J. Call, and T.A. Felhaber</t>
  </si>
  <si>
    <t>Acute Toxicity of Silver to Selected Fish and Invertebrates</t>
  </si>
  <si>
    <t>Bull. Environ. Contam. Toxicol.29(2): 184-189</t>
  </si>
  <si>
    <t>Erickson,R.J., L.T. Brooke, M.D. Kahl, F.V. Venter, S.L. Harting, T.P. Markee, and R.L. Spehar</t>
  </si>
  <si>
    <t>Effects of Laboratory Test Conditions on the Toxicity of Silver to Aquatic Organisms</t>
  </si>
  <si>
    <t>Environ. Toxicol. Chem.17(4): 572-578</t>
  </si>
  <si>
    <t>Bury,N.R., F. Galvez, and C.M. Wood</t>
  </si>
  <si>
    <t>Effects of Chloride, Calcium, and Dissolved Organic Carbon on Silver Toxicity: Comparison Between Rainbow Trout and Fathead Minnows</t>
  </si>
  <si>
    <t>Environ. Toxicol. Chem.18(1): 56-62</t>
  </si>
  <si>
    <t>Purity:  NR - NR | Organism Age:  NR - NR NR | Duration (Days):  NR - NR Day(s) | Conc 2 (Standardized):  Total 0.0088 (NR - NR) AI mg/L | Conc 3 (Standardized):  NR (NR - NR) NR</t>
  </si>
  <si>
    <t>Purity:  NR - NR | Organism Age:  NR - NR NR | Duration (Days):  NR - NR Day(s) | Conc 2 (Standardized):  Total 0.0077 (NR - NR) AI mg/L | Conc 3 (Standardized):  NR (NR - NR) NR</t>
  </si>
  <si>
    <t>Purity:  NR - NR | Organism Age:  NR - NR NR | Duration (Days):  NR - NR Day(s) | Conc 2 (Standardized):  Total 0.018 (NR - NR) AI mg/L | Conc 3 (Standardized):  NR (NR - NR) NR</t>
  </si>
  <si>
    <t>Purity:  NR - NR | Organism Age:  NR - NR NR | Duration (Days):  NR - NR Day(s) | Conc 2 (Standardized):  Total 0.0133 (NR - NR) AI mg/L | Conc 3 (Standardized):  NR (NR - NR) NR</t>
  </si>
  <si>
    <t>Birge,W.J., J.A. Black, J.F. Hobson, A.G. Westerman, and T.M. Short</t>
  </si>
  <si>
    <t>Toxicological Studies on Aquatic Contaminants Originating from Coal Production and Utilization:  The Induction of Tolerance to Silver in Laboratory Populations of Fish and the Chronic Toxicity of Nickel to Fish Early Li</t>
  </si>
  <si>
    <t>Proj.No.G-844-02, Water Resources Research Institute Research Rep.No.151, University of Kentucky, Lexington, KY:36 p.</t>
  </si>
  <si>
    <t>The Effects of Food and Test Solution Age on the Toxicity of Silver to Three Freshwater Organisms</t>
  </si>
  <si>
    <t>Contract No.68-C1-0034, Work Assignment No.1-10, Environ.Health Lab, Univ.of Wisconsin-Superior, Superior, WI:19 p.</t>
  </si>
  <si>
    <t>Nebeker,A.V., C.K. McAuliffe, R. Mshar, and D.G. Stevens</t>
  </si>
  <si>
    <t>Toxicity of Silver to Steelhead and Rainbow Trout, Fathead Minnows and Daphnia magna</t>
  </si>
  <si>
    <t>Environ. Toxicol. Chem.2:95-104</t>
  </si>
  <si>
    <t>Purity:  NR - NR | Organism Age:  NR - NR NR | Duration (Days):  NR - NR Day(s) | Conc 2 (Standardized):  Total 0.0099 (NR - NR) AI mg/L | Conc 3 (Standardized):  NR (NR - NR) NR</t>
  </si>
  <si>
    <t>LeBlanc,G.A., J.D. Mastone, A.P. Paradice, and B.F. Wilson</t>
  </si>
  <si>
    <t>The Influence of Speciation on the Toxicity of Silver to Fathead Minnow (Pimephales promelas)</t>
  </si>
  <si>
    <t>Environ. Toxicol. Chem.3(1): 37-46</t>
  </si>
  <si>
    <t>Rodgers,J.H.J., E. Deaver, B.C. Suedel, and P.L. Rogers</t>
  </si>
  <si>
    <t>Comparative Aqueous Toxicity of Silver Compounds: Laboratory Studies with Freshwater Species</t>
  </si>
  <si>
    <t>Bull. Environ. Contam. Toxicol.58:851-858</t>
  </si>
  <si>
    <t>Bielmyer,G.K., K.V. Brix, and M. Grosell</t>
  </si>
  <si>
    <t>Is Cl- Protection Against Silver Toxicity Due to Chemical Speciation?</t>
  </si>
  <si>
    <t>Aquat. Toxicol.87(2): 81-87</t>
  </si>
  <si>
    <t>Purity:  NR - NR | Organism Age:  NR - NR NR | Duration (Days):  NR - NR Day(s) | Conc 2 (Standardized):  Total 0.0075 (NR - NR) AI mg/L | Conc 3 (Standardized):  NR (NR - NR) NR</t>
  </si>
  <si>
    <t>The Acute Toxicity of Various Silver Compounds to the Fathead Minnow (Pimephales promelas)</t>
  </si>
  <si>
    <t>EG&amp;G Bionomics, Rep.#BW-79-12-576, Natl.Assoc.Photo.Manufacturers, Inc., Harrison, NY:</t>
  </si>
  <si>
    <t>Purity:  NR - NR | Organism Age:  NR - NR NR | Duration (Days):  NR - NR Day(s) | Conc 2 (Standardized):  Total 0.0067 (NR - NR) AI mg/L | Conc 3 (Standardized):  NR (NR - NR) NR</t>
  </si>
  <si>
    <t>Purity:  NR - NR | Organism Age:  NR - NR NR | Duration (Days):  NR - NR Day(s) | Conc 2 (Standardized):  Total 0.0078 (NR - NR) AI mg/L | Conc 3 (Standardized):  NR (NR - NR) NR</t>
  </si>
  <si>
    <t>Chloric acid, Sodium salt (1:1)</t>
  </si>
  <si>
    <t>Shifrer,C.C., E.J. Middlebrooks, D.B. Porcella, and W.F. Sigler</t>
  </si>
  <si>
    <t>Effects of Temperature on the Toxicity of Oil Refinery Waste, Sodium Chlorate, and Treated Sewage to Fathead Minnows</t>
  </si>
  <si>
    <t>In: Effects of Temperature on the Toxicity of Oil Refinery Waste, Sodium Chlorate, and Treated Sewage to Fathead Minnows, Utah Water Research Lab, College of Engineering, Utah State University, Logan, UT:79 p.</t>
  </si>
  <si>
    <t>Chromic acid (H2CrO4), Disodium salt</t>
  </si>
  <si>
    <t>Sulfuric acid, Calcium salt (1:1)</t>
  </si>
  <si>
    <t>Arsenic acid (H3AsO4), Disodium salt</t>
  </si>
  <si>
    <t>Chromic acid dipotassium salt</t>
  </si>
  <si>
    <t>Gendusa,T.C., T.L. Beitinger, and J.H. Rodgers</t>
  </si>
  <si>
    <t>Toxicity of Hexavalent Chromium from Aqueous and Sediment Sources to Pimephales promelas and Ictalurus punctatus</t>
  </si>
  <si>
    <t>Bull. Environ. Contam. Toxicol.50(1): 144-151</t>
  </si>
  <si>
    <t>Purity:  NR - NR | Organism Age:  3 - 14 Day(s) | Duration (Days):  NR - NR Day(s) | Conc 2 (Standardized):  NR (NR - NR) NR | Conc 3 (Standardized):  NR (NR - NR) NR</t>
  </si>
  <si>
    <t>Waheda,M.F.</t>
  </si>
  <si>
    <t>Effect of Size of Fathead Minnows (Pimephales promelas) and Green Sunfish (Lepomis cyanellus) on Hexavalent Chromium Toxicity</t>
  </si>
  <si>
    <t>M.S.Thesis, Wright State University, Berkley, CA:35 p.</t>
  </si>
  <si>
    <t>Jop,K.M., T.F. Parkerton, J.H.,Jr. Rodgers, K.L. Dickson, and P.B. Dorn</t>
  </si>
  <si>
    <t>Comparative Toxicity and Speciation of Two Hexavalent Chromium Salts in Acute Toxicity Tests</t>
  </si>
  <si>
    <t>Environ. Toxicol. Chem.6(9): 697-703</t>
  </si>
  <si>
    <t>Dorn,P.B., J.H.,Jr. Rodgers, K.M. Jop, J.C. Raia, and K.L. Dickson</t>
  </si>
  <si>
    <t>Hexavalent Chromium as a Reference Toxicant in Effluent Toxicity Tests</t>
  </si>
  <si>
    <t>Environ. Toxicol. Chem.6(6): 435-444</t>
  </si>
  <si>
    <t>Purity:  NR - NR | Organism Age:  42 - 56 Day(s) | Duration (Days):  NR - NR Day(s) | Conc 2 (Standardized):  NR (NR - NR) NR | Conc 3 (Standardized):  NR (NR - NR) NR</t>
  </si>
  <si>
    <t>Chronic Toxicity of Hexavalent Chromium to the Fathead Minnow (Pimephales promelas)</t>
  </si>
  <si>
    <t>Arch. Environ. Contam. Toxicol.9:405-413</t>
  </si>
  <si>
    <t>White,A.M.</t>
  </si>
  <si>
    <t>The Toxicity of Hexavalent Chromium (Cr+6) to Twenty-One Species Aquatic Animals Native to Ohio</t>
  </si>
  <si>
    <t>Manuscr., John Carroll Univ., University Heights, OH:13-</t>
  </si>
  <si>
    <t>Hypochlorous acid, Calcium salt (2:1)</t>
  </si>
  <si>
    <t>Sulfuric acid dipotassium salt</t>
  </si>
  <si>
    <t>Selenium</t>
  </si>
  <si>
    <t>Halter,M.T., W.J. Adams, and H.E. Johnson</t>
  </si>
  <si>
    <t>Selenium Toxicity to Daphnia magna, Hyallela azteca, and the Fathead Minnow in Hard Water</t>
  </si>
  <si>
    <t>Bull. Environ. Contam. Toxicol.24(1): 102-107</t>
  </si>
  <si>
    <t>Selenious acid</t>
  </si>
  <si>
    <t>Hydrogen sulfide (H2S)</t>
  </si>
  <si>
    <t>Smith,L.L.J., and D.M. Oseid</t>
  </si>
  <si>
    <t>Chronic Effects of Low Levels of Hydrogen Sulfide on Freshwater Fish</t>
  </si>
  <si>
    <t>Prog. Water Technol.7(3-4): 599-605</t>
  </si>
  <si>
    <t>Purity:  NR - NR | Organism Age:  NR - NR Week(s) | Duration (Days):  NR - NR Day(s) | Conc 2 (Standardized):  Total 0.0184 (0.0175 - 0.0194) AI mg/L | Conc 3 (Standardized):  NR (NR - NR) NR</t>
  </si>
  <si>
    <t>Smith,L.L.J., D.M. Oseid, and L.E. Olson</t>
  </si>
  <si>
    <t>Acute and Chronic Toxicity of Hydrogen Sulfide to the Fathead Minnow, Pimephales promelas</t>
  </si>
  <si>
    <t>Environ. Sci. Technol.10(6): 565-568</t>
  </si>
  <si>
    <t>Effect of Hydrogen Sulfide on Development and Survival of Eight Freshwater Fish Species</t>
  </si>
  <si>
    <t>In: J.H.S.Blaxter (Ed.), The Early Life History of Fish, Proceedings of an International Symposium, Oban, Scotland:417-430</t>
  </si>
  <si>
    <t>Purity:  NR - NR | Organism Age:  NR - NR Week(s) | Duration (Days):  NR - NR Day(s) | Conc 2 (Standardized):  Total 0.0149 (0.013 - 0.0172) AI mg/L | Conc 3 (Standardized):  NR (NR - NR) NR</t>
  </si>
  <si>
    <t>Purity:  NR - NR | Organism Age:  NR - NR Week(s) | Duration (Days):  NR - NR Day(s) | Conc 2 (Standardized):  Total 0.0382 (0.0328 - 0.0445) AI mg/L | Conc 3 (Standardized):  NR (NR - NR) NR</t>
  </si>
  <si>
    <t>Toxic Effects of Hydrogen Sulfide to Juvenile Fish and Fish Eggs</t>
  </si>
  <si>
    <t>Proc. Ind. Waste Conf.137(2): 739-744</t>
  </si>
  <si>
    <t>Purity:  NR - NR | Organism Age:  NR - NR Week(s) | Duration (Days):  NR - NR Day(s) | Conc 2 (Standardized):  Total 0.0258 (0.0247 - 0.027) AI mg/L | Conc 3 (Standardized):  NR (NR - NR) NR</t>
  </si>
  <si>
    <t>Purity:  NR - NR | Organism Age:  NR - NR Week(s) | Duration (Days):  NR - NR Day(s) | Conc 2 (Standardized):  Total 0.0492 (0.0451 - 0.0537) AI mg/L | Conc 3 (Standardized):  NR (NR - NR) NR</t>
  </si>
  <si>
    <t>Purity:  NR - NR | Organism Age:  NR - NR Week(s) | Duration (Days):  NR - NR Day(s) | Conc 2 (Standardized):  Total 0.0572 (0.0526 - 0.0621) AI mg/L | Conc 3 (Standardized):  NR (NR - NR) NR</t>
  </si>
  <si>
    <t>Sulfuric acid ammonium salt (1:2)</t>
  </si>
  <si>
    <t>Phosphoric acid, Ammonium salt (1:2)</t>
  </si>
  <si>
    <t>Inman,R.C.</t>
  </si>
  <si>
    <t>Acute Toxicity of Phos-Check (Trade Name) 202 and Diammonium Phosphate to Fathead Minnows</t>
  </si>
  <si>
    <t>Environ.Health Lab., Kelly Air Force Base, TX:13 p.</t>
  </si>
  <si>
    <t>Silver chloride</t>
  </si>
  <si>
    <t>Arsenenous acid, Sodium salt (1:1)</t>
  </si>
  <si>
    <t>A.R. grade (Analytical Reagent grade)</t>
  </si>
  <si>
    <t>Lima,A.R., C. Curtis, D.E. Hammermeister, T.P. Markee, C.E. Northcott, and L.T. Brooke</t>
  </si>
  <si>
    <t>Acute and Chronic Toxicities of Arsenic(III) to Fathead Minnows, Flagfish, Daphnids, and an Amphipod</t>
  </si>
  <si>
    <t>Arch. Environ. Contam. Toxicol.13(5): 595-601</t>
  </si>
  <si>
    <t>(1R,5R)-2,6,6-Trimethylbicyclo[3.1.1]hept-2-ene</t>
  </si>
  <si>
    <t>Sulfuric acid, Manganese(2+) salt (1:1)</t>
  </si>
  <si>
    <t>Magnesium chloride</t>
  </si>
  <si>
    <t>Sulfuric acid, Nickel(2+)salt (1:1)</t>
  </si>
  <si>
    <t>Beryllium chloride</t>
  </si>
  <si>
    <t>Chromic acid (H2CrO4), Potassium salt (1:2)</t>
  </si>
  <si>
    <t>Jop,K.M., J.H.,Jr. Rodgers, P.B. Dorn, and K.L. Dickson</t>
  </si>
  <si>
    <t>Use of Hexavalent Chromium as a Reference Toxicant in Aquatic Toxicity Tests</t>
  </si>
  <si>
    <t>ASTM Spec. Tech. Publ.9:390-403</t>
  </si>
  <si>
    <t>Purity:  NR - NR | Organism Age:  2 - 4 Week(s) | Duration (Days):  NR - NR Day(s) | Conc 2 (Standardized):  NR (NR - NR) NR | Conc 3 (Standardized):  NR (NR - NR) NR</t>
  </si>
  <si>
    <t>Cobalt bromide (CoBr2)</t>
  </si>
  <si>
    <t>Toxaphene</t>
  </si>
  <si>
    <t>Johnson,W.W., and A.M. Julin</t>
  </si>
  <si>
    <t>Acute Toxicity of Toxaphene to Fathead Minnows, Channel Catfish, and Bluegills</t>
  </si>
  <si>
    <t>EPA-600/3-80-005, U.S.EPA, Duluth,MN:29 p.</t>
  </si>
  <si>
    <t>Mayer,F.L.,Jr., P.M.,Jr. Mehrle, and W.P. Dwyer</t>
  </si>
  <si>
    <t>Toxaphene: Chronic Toxicity to Fathead Minnows and Channel Catfish</t>
  </si>
  <si>
    <t>EPA-600/3-77-069, U.S.EPA, Duluth, MN:38 p.</t>
  </si>
  <si>
    <t>Pyrethrins and Pyrethroids</t>
  </si>
  <si>
    <t>(T-4)Bis(dimethylcarbamodithioato-kappaS,kappaS')zinc mixt. with 2(3H)benzothiazolethione zinc salt</t>
  </si>
  <si>
    <t>2-Naphthalenesulfonic acid, 6-[(7-amino-1-hydroxy-3-sulfo-2-naphthalenyl)azo]-3[(4-((4-amino-6(or 7)-sulfo-1-naphthale</t>
  </si>
  <si>
    <t>C.I. Basic Violet 1</t>
  </si>
  <si>
    <t>Monoazo Direct Yellow 28 CI No. 19555</t>
  </si>
  <si>
    <t>Diazo Basic Brown 4 CI No. 21010</t>
  </si>
  <si>
    <t>Ureabor</t>
  </si>
  <si>
    <t>N,N,N-Trimethyltallowammonium chloride</t>
  </si>
  <si>
    <t>Phosphorothioic acid, O,O-Diethyl O-[2-(ethylthio)ethyl] ester mixt. with O,O-diethyl S-[2-(ethylthio)ethyl] phosphorothioate</t>
  </si>
  <si>
    <t>Purity:  NR - NR | Organism Age:  53 - 55 Day(s) | Duration (Days):  NR - NR Day(s) | Conc 2 (Standardized):  NR (NR - NR) NR | Conc 3 (Standardized):  NR (NR - NR) NR</t>
  </si>
  <si>
    <t>alpha-(4-(1,1,3,3-Tetramethylbutyl)phenyl)-omega-hydroxypoly(oxy-1,2-ethanediyl)</t>
  </si>
  <si>
    <t>alpha-Butyl-omega-hydroxyPoly[oxy(methyl-1,2-ethanediyl)]</t>
  </si>
  <si>
    <t>Metiram</t>
  </si>
  <si>
    <t>Antimony trichloride</t>
  </si>
  <si>
    <t>Brooke,L.T., D.J. Call, S.H. Poirier, C.A. Lindberg, and T.P. Markee</t>
  </si>
  <si>
    <t>Acute Toxicity of Antimony III to Several Species of Freshwater Organisms</t>
  </si>
  <si>
    <t>Center for Lake Superior Environmental Studies, University of Wisconsin-Superior, Superior, WI:12 p.</t>
  </si>
  <si>
    <t>4-Ethoxybenzaldehyde</t>
  </si>
  <si>
    <t>Hydroxylamine, Sulfate (2:1)</t>
  </si>
  <si>
    <t>N,N-bis(Carboxymethyl)glycine sodium salt (1:?)</t>
  </si>
  <si>
    <t>Arthur,J.W., A.E. Lemke, V.R. Mattson, and B.J. Halligan</t>
  </si>
  <si>
    <t>Toxicity of Sodium Nitrilotriacetate (NTA) to the Fathead Minnow and an Amphipod in Soft Water</t>
  </si>
  <si>
    <t>Water Res.8(2): 187-193</t>
  </si>
  <si>
    <t>Macek,K.J., and R.N. Sturm</t>
  </si>
  <si>
    <t>Survival and Gill Condition of Bluegill (Lepomis macrochirus) and Fathead Minnows (Pimephales promelas) Exposed to Sodium Nitrilotriacetate</t>
  </si>
  <si>
    <t>J. Fish. Res. Board Can.30(2): 323-325</t>
  </si>
  <si>
    <t>Sulfuric acid, Aluminum salt (3:2)</t>
  </si>
  <si>
    <t>Calcium chloride (CaCl2)</t>
  </si>
  <si>
    <t>Price,E.E.</t>
  </si>
  <si>
    <t>Response of Freshwater and Saltwater Toxicity Test Species to Calcium and Salinity Concentrations Encountered in Toxicity Tests</t>
  </si>
  <si>
    <t>Ph.D.Thesis, University of North Texas, Denton, TX:126 p.</t>
  </si>
  <si>
    <t>Mercuric nitrate</t>
  </si>
  <si>
    <t>Nitric acid, Lead (2+) salt (2:1)</t>
  </si>
  <si>
    <t>Bis(nitrato-kappaO)dioxo-uranium</t>
  </si>
  <si>
    <t>Goulet,R.R., P.A. Thompson, K.C. Serben, and C.V. Eickhoff</t>
  </si>
  <si>
    <t>Impact of Environmentally Based Chemical Hardness on Uranium Speciation and Toxicity in Six Aquatic Species</t>
  </si>
  <si>
    <t>Environ. Toxicol. Chem.34(3): 562-574</t>
  </si>
  <si>
    <t>Selenious acid, Sodium salt (1:2)</t>
  </si>
  <si>
    <t>Brix,K.V., J.S. Volosin, W.J. Adams, R.J. Reash, R.C. Carlton, and D.O. McIntyre</t>
  </si>
  <si>
    <t>Effect of Sulfate Concentration on Acute Toxicity of Selenite and Selenate to Invertebrates and Fish</t>
  </si>
  <si>
    <t>Final Report TR - 111878 to the Electric Power Research Inst.(EPRI), Palo Alto, CA:47 p.</t>
  </si>
  <si>
    <t>Adams,W.J.</t>
  </si>
  <si>
    <t>The Toxicity and Residue Dynamics of Selenium in Fish and Aquatic Invertebrates</t>
  </si>
  <si>
    <t>Ph.D. Thesis, Michigan State University, East Lansing, MI:109 p.</t>
  </si>
  <si>
    <t>Brooke,L.T., D.J. Call, S.L. Harting, C.A. Lindberg, T.P. Markee, D.J. McCauley, and S.H. Poirier</t>
  </si>
  <si>
    <t>Acute Toxicity of Selenium(IV) and Selenium(VI) to Freshwater Organisms</t>
  </si>
  <si>
    <t>Center for Lake Superior Environmental Studies, University of Wisconsin-Superior, Superior, WI:2-23</t>
  </si>
  <si>
    <t>Cadmium chloride (CdCl2)</t>
  </si>
  <si>
    <t>Sherman,R.E., S.P. Gloss, and L.W. Lion</t>
  </si>
  <si>
    <t>A Comparison of Toxicity Tests Conducted in the Laboratory and in Experimental Ponds Using Cadmium and the Fathead Minnow (Pimephales promelas)</t>
  </si>
  <si>
    <t>Water Res.21(3): 317-323</t>
  </si>
  <si>
    <t>Spehar,R.L., and A.R. Carlson</t>
  </si>
  <si>
    <t>Derivation of Site-Specific Water Quality Criteria for Cadmium and the St. Louis River Basin, Duluth, Minnesota</t>
  </si>
  <si>
    <t>Environ. Toxicol. Chem.3(4): 651-665</t>
  </si>
  <si>
    <t>Suedel,B.C., J.H.,Jr. Rodgers, and E. Deaver</t>
  </si>
  <si>
    <t>Experimental Factors that may Affect Toxicity of Cadmium to Freshwater Organisms</t>
  </si>
  <si>
    <t>Arch. Environ. Contam. Toxicol.33(2): 188-193</t>
  </si>
  <si>
    <t>Sulfuric acid, Cadmium salt (1:1)</t>
  </si>
  <si>
    <t>Carrier,R., and T.L. Beitinger</t>
  </si>
  <si>
    <t>Reduction in Thermal Tolerance of Notropis lutrensis and Pimephales promelas Exposed to Cadmium</t>
  </si>
  <si>
    <t>Water Res.22(4): 511-515</t>
  </si>
  <si>
    <t>Pickering,Q.H., and M.H. Gast</t>
  </si>
  <si>
    <t>Acute and Chronic Toxicity of Cadmium to the Fathead Minnow (Pimephales promelas)</t>
  </si>
  <si>
    <t>J. Fish. Res. Board Can.29(8): 1099-1106</t>
  </si>
  <si>
    <t>Purity:  NR - NR | Organism Age:  NR - NR NR | Duration (Days):  NR - NR Day(s) | Conc 2 (Standardized):  Total 6.4 (NR - NR) AI mg/L | Conc 3 (Standardized):  NR (NR - NR) NR</t>
  </si>
  <si>
    <t>Cobalt sulfate</t>
  </si>
  <si>
    <t>Sulfuric acid, Chromium (3+)potassium salt (2:1:1)</t>
  </si>
  <si>
    <t>Chronic Toxicity of Trivalent Chromium to the Fathead Minnow, (Pimephales promelas), in Hard Water</t>
  </si>
  <si>
    <t>Manuscr., U.S.EPA, Cincinnati, OH:9 p.</t>
  </si>
  <si>
    <t>3-Methyl-2,4-dinitrobenzenamine</t>
  </si>
  <si>
    <t>2,2-Dibromo-2-cyanoacetamide</t>
  </si>
  <si>
    <t>(1R,3S,4S)-3-Bromo-1,7,7-trimethylbicyclo[2.2.1]heptan-2-one</t>
  </si>
  <si>
    <t>Nitric acid, Cadmium salt (2:1)</t>
  </si>
  <si>
    <t>Sulfuric acid, Titanium (3+) salt (3:2)</t>
  </si>
  <si>
    <t>2,2-Dimethyl-3-(2-methyl-1-propen-1-yl)cyclopropanecarboxylic acid [5-(phenylmethyl)-3-furanyl]methyl ester</t>
  </si>
  <si>
    <t>Chromic acid (H2Cr2O7) disodium salt</t>
  </si>
  <si>
    <t>Bis[mu-[2,3-dihydroxybutanedioato(4-)-O',O2:O3,O4]]diantimonate(2-), Dipotassium</t>
  </si>
  <si>
    <t>PCB 1254</t>
  </si>
  <si>
    <t>Nebeker,A.V., F.A. Puglisi, and D.L. DeFoe</t>
  </si>
  <si>
    <t>Effect of Polychlorinated Biphenyl Compounds on Survival and Reproduction of the Fathead Minnow and Flagfish</t>
  </si>
  <si>
    <t>Trans. Am. Fish. Soc.103(3): 562-568</t>
  </si>
  <si>
    <t>Antimycin</t>
  </si>
  <si>
    <t>Ammonium fluoride</t>
  </si>
  <si>
    <t>Ammonium chloride ((NH4)Cl)</t>
  </si>
  <si>
    <t>Thurston,R.V., R.C. Russo, and G.R. Phillips</t>
  </si>
  <si>
    <t>Acute Toxicity of Ammonia to Fathead Minnows</t>
  </si>
  <si>
    <t>Trans. Am. Fish. Soc.112(5): 705-711</t>
  </si>
  <si>
    <t>Purity:  NR - NR | Organism Age:  NR - NR NR | Duration (Days):  NR - NR Day(s) | Conc 2 (Standardized):  Unionized 0.832 (0.771 - 0.898) AI mg/L | Conc 3 (Standardized):  NR (NR - NR) NR</t>
  </si>
  <si>
    <t>EA Engineering</t>
  </si>
  <si>
    <t>Proposed Modified Effluent Limitations for Ammonia: Application for a 301 (g) Demonstration for the Sparrows Point Plant</t>
  </si>
  <si>
    <t>E.A.Rep.BET54E, Prepared for Bethlehem Steel Corp., Sparrows Point, MD:243 p.</t>
  </si>
  <si>
    <t>Arthur,J.W., C.W. West, K.N. Allen, and S.F. Hedtke</t>
  </si>
  <si>
    <t>Seasonal Toxicity of Ammonia to Five Fish and Nine Invertebrate Species</t>
  </si>
  <si>
    <t>Bull. Environ. Contam. Toxicol.38(2): 324-331</t>
  </si>
  <si>
    <t>Willingham,T.</t>
  </si>
  <si>
    <t>Acute and Short-Term Chronic Ammonia Toxicity to Fathead Minnows (Pimephales promelas) and Ceriodaphnia dubia Using Laboratory Dilution Water and Lake Mead Dilution Water</t>
  </si>
  <si>
    <t>EPA-822-R-99-014, U.S.EPA, Denver, CO:36 p.</t>
  </si>
  <si>
    <t>Purity:  NR - NR | Organism Age:  5 - 6 Day(s) | Duration (Days):  NR - NR Day(s) | Conc 2 (Standardized):  NR (NR - NR) NR | Conc 3 (Standardized):  NR (NR - NR) NR</t>
  </si>
  <si>
    <t>DeGraeve,G.M., W.D. Palmer, E.L. Moore, J.J. Coyle, and P.L. Markham</t>
  </si>
  <si>
    <t>The Effect of Temperature on the Acute and Chronic Toxicity of Un-ionized Ammonia to Fathead Minnows and Channel Catfish</t>
  </si>
  <si>
    <t>Final Rep.to U.S.EPA by Battelle, Columbus, OH:39 p.</t>
  </si>
  <si>
    <t>Purity:  NR - NR | Organism Age:  4 - 5 Month(s) | Duration (Days):  NR - NR Day(s) | Conc 2 (Standardized):  NR (NR - NR) NR | Conc 3 (Standardized):  NR (NR - NR) NR</t>
  </si>
  <si>
    <t>Thurston,R.V., R.C. Russo, and G.A. Vinogradov</t>
  </si>
  <si>
    <t>Ammonia Toxicity to Fishes.  Effect of pH on the Toxicity of the Un-ionized Ammonia Species</t>
  </si>
  <si>
    <t>Environ. Sci. Technol.15(7): 837-840</t>
  </si>
  <si>
    <t>Purity:  NR - NR | Organism Age:  NR - NR NR | Duration (Days):  NR - NR Day(s) | Conc 2 (Standardized):  Unionized 0.198 (0.175 - 0.224) AI mg/L | Conc 3 (Standardized):  NR (NR - NR) NR</t>
  </si>
  <si>
    <t>Purity:  NR - NR | Organism Age:  NR - NR NR | Duration (Days):  NR - NR Day(s) | Conc 2 (Standardized):  Unionized 1.1 (0.993 - 1.21) AI mg/L | Conc 3 (Standardized):  NR (NR - NR) NR</t>
  </si>
  <si>
    <t>Purity:  NR - NR | Organism Age:  NR - NR NR | Duration (Days):  NR - NR Day(s) | Conc 2 (Standardized):  Unionized 1.35 (1.19 - 1.55) AI mg/L | Conc 3 (Standardized):  NR (NR - NR) NR</t>
  </si>
  <si>
    <t>Purity:  NR - NR | Organism Age:  NR - NR NR | Duration (Days):  NR - NR Day(s) | Conc 2 (Standardized):  Unionized 2.59 (2.4 - 2.8) AI mg/L | Conc 3 (Standardized):  NR (NR - NR) NR</t>
  </si>
  <si>
    <t>Purity:  NR - NR | Organism Age:  NR - NR NR | Duration (Days):  NR - NR Day(s) | Conc 2 (Standardized):  Unionized 1.37 (1.09 - 1.71) AI mg/L | Conc 3 (Standardized):  NR (NR - NR) NR</t>
  </si>
  <si>
    <t>Purity:  NR - NR | Organism Age:  4 - 6 Days post-hatch | Duration (Days):  NR - NR Day(s) | Conc 2 (Standardized):  Unionized 1.01 (0.83 - 1.18) AI mg/L | Conc 3 (Standardized):  NR (NR - NR) NR</t>
  </si>
  <si>
    <t>Purity:  NR - NR | Organism Age:  NR - NR NR | Duration (Days):  NR - NR Day(s) | Conc 2 (Standardized):  Unionized 2.16 (0.95 - 2.4) AI mg/L | Conc 3 (Standardized):  NR (NR - NR) NR</t>
  </si>
  <si>
    <t>Purity:  NR - NR | Organism Age:  NR - NR NR | Duration (Days):  NR - NR Day(s) | Conc 2 (Standardized):  Unionized 0.983 (0.903 - 1.07) AI mg/L | Conc 3 (Standardized):  NR (NR - NR) NR</t>
  </si>
  <si>
    <t>Nimmo,D.W.R., D. Link, L.P. Parrish, G.J. Rodriguez, W. Wuerthele, and P.H. Davies</t>
  </si>
  <si>
    <t>Comparison of On-Site and Laboratory Toxicity Tests:  Derivation of Site-Specific Criteria for Un-Ionized Ammonia in a Colorado Transitional Stream</t>
  </si>
  <si>
    <t>Environ. Toxicol. Chem.8(12): 1177-1189</t>
  </si>
  <si>
    <t>Purity:  NR - NR | Organism Age:  NR - NR NR | Duration (Days):  NR - NR Day(s) | Conc 2 (Standardized):  Unionized 2.33 (2.13 - 2.55) AI mg/L | Conc 3 (Standardized):  NR (NR - NR) NR</t>
  </si>
  <si>
    <t>Purity:  NR - NR | Organism Age:  NR - NR NR | Duration (Days):  NR - NR Day(s) | Conc 2 (Standardized):  Unionized 1.5 (1.43 - 1.59) AI mg/L | Conc 3 (Standardized):  NR (NR - NR) NR</t>
  </si>
  <si>
    <t>Diamond,J.M., D.G. Mackler, W.J. Rasnake, and D. Gruber</t>
  </si>
  <si>
    <t>Derivation of Site-Specific Ammonia Criteria for an Effluent-Dominated Headwater Stream</t>
  </si>
  <si>
    <t>Environ. Toxicol. Chem.12:649-658</t>
  </si>
  <si>
    <t>Swigert,J.P., and A. Spacie</t>
  </si>
  <si>
    <t>Survival and Growth of Warmwater Fishes Exposed to Ammonia Under Low Flow Conditions</t>
  </si>
  <si>
    <t>Tech.Rep.157, Purdue Univ., Water Resour.Res.Center, West Lafayette, IN:40 p.</t>
  </si>
  <si>
    <t>Purity:  NR - NR | Organism Age:  NR - NR NR | Duration (Days):  NR - NR Day(s) | Conc 2 (Standardized):  Unionized 0.6 (0.4 - 0.8) AI mg/L | Conc 3 (Standardized):  NR (NR - NR) NR</t>
  </si>
  <si>
    <t>Purity:  NR - NR | Organism Age:  NR - NR NR | Duration (Days):  NR - NR Day(s) | Conc 2 (Standardized):  Unionized 1.12 (0.974 - 1.29) AI mg/L | Conc 3 (Standardized):  NR (NR - NR) NR</t>
  </si>
  <si>
    <t>Purity:  NR - NR | Organism Age:  NR - NR NR | Duration (Days):  NR - NR Day(s) | Conc 2 (Standardized):  Unionized 1.74 (1.69 - 1.87) AI mg/L | Conc 3 (Standardized):  NR (NR - NR) NR</t>
  </si>
  <si>
    <t>Purity:  NR - NR | Organism Age:  NR - NR NR | Duration (Days):  NR - NR Day(s) | Conc 2 (Standardized):  Unionized 0.653 (0.594 - 0.718) AI mg/L | Conc 3 (Standardized):  NR (NR - NR) NR</t>
  </si>
  <si>
    <t>Purity:  NR - NR | Organism Age:  NR - NR NR | Duration (Days):  NR - NR Day(s) | Conc 2 (Standardized):  Unionized 1.85 (0.72 - 2) AI mg/L | Conc 3 (Standardized):  NR (NR - NR) NR</t>
  </si>
  <si>
    <t>Purity:  NR - NR | Organism Age:  NR - NR NR | Duration (Days):  NR - NR Day(s) | Conc 2 (Standardized):  Unionized 0.754 (0.678 - 0.838) AI mg/L | Conc 3 (Standardized):  NR (NR - NR) NR</t>
  </si>
  <si>
    <t>Purity:  NR - NR | Organism Age:  NR - NR NR | Duration (Days):  NR - NR Day(s) | Conc 2 (Standardized):  Unionized 1.34 (1.28 - 1.42) AI mg/L | Conc 3 (Standardized):  NR (NR - NR) NR</t>
  </si>
  <si>
    <t>Purity:  NR - NR | Organism Age:  NR - NR NR | Duration (Days):  NR - NR Day(s) | Conc 2 (Standardized):  Unionized 1.3 (1.2 - 1.4) AI mg/L | Conc 3 (Standardized):  NR (NR - NR) NR</t>
  </si>
  <si>
    <t>Purity:  NR - NR | Organism Age:  NR - NR NR | Duration (Days):  NR - NR Day(s) | Conc 2 (Standardized):  Unionized 1.1 (0.966 - 1.25) AI mg/L | Conc 3 (Standardized):  NR (NR - NR) NR</t>
  </si>
  <si>
    <t>Purity:  NR - NR | Organism Age:  NR - NR NR | Duration (Days):  NR - NR Day(s) | Conc 2 (Standardized):  Unionized 2.17 (0.98 - 2.37) AI mg/L | Conc 3 (Standardized):  NR (NR - NR) NR</t>
  </si>
  <si>
    <t>Reinbold,K.A., and S.M. Pescitelli</t>
  </si>
  <si>
    <t>Effects of Cold Temperature on Toxicity of Ammonia to Rainbow Trout, Bluegills and Fathead Minnows</t>
  </si>
  <si>
    <t>Proj.Rep., Contract No.68-01-5832, Illinois Natural History Survey, Champaign, IL:19 p.</t>
  </si>
  <si>
    <t>Purity:  NR - NR | Organism Age:  NR - NR NR | Duration (Days):  NR - NR Day(s) | Conc 2 (Standardized):  Unionized 1.48 (1.01 - 1.75) AI mg/L | Conc 3 (Standardized):  NR (NR - NR) NR</t>
  </si>
  <si>
    <t>Purity:  NR - NR | Organism Age:  NR - NR NR | Duration (Days):  NR - NR Day(s) | Conc 2 (Standardized):  Unionized 1.21 (1.03 - 1.41) AI mg/L | Conc 3 (Standardized):  NR (NR - NR) NR</t>
  </si>
  <si>
    <t>Mayes,M.A., H.C. Alexander, D.L. Hopkins, and P.B. Latvaitis</t>
  </si>
  <si>
    <t>Acute and Chronic Toxicity of Ammonia to Freshwater Fish: A Site-Specific Study</t>
  </si>
  <si>
    <t>Environ. Toxicol. Chem.5(5): 437-442</t>
  </si>
  <si>
    <t>Purity:  NR - NR | Organism Age:  NR - NR NR | Duration (Days):  NR - NR Day(s) | Conc 2 (Standardized):  Unionized 1.09 (1 - 1.19) AI mg/L | Conc 3 (Standardized):  NR (NR - NR) NR</t>
  </si>
  <si>
    <t>Purity:  NR - NR | Organism Age:  NR - NR NR | Duration (Days):  NR - NR Day(s) | Conc 2 (Standardized):  Unionized 0.567 (0.484 - 0.677) AI mg/L | Conc 3 (Standardized):  NR (NR - NR) NR</t>
  </si>
  <si>
    <t>Purity:  NR - NR | Organism Age:  NR - NR NR | Duration (Days):  NR - NR Day(s) | Conc 2 (Standardized):  Unionized 1.73 (1.57 - 1.91) AI mg/L | Conc 3 (Standardized):  NR (NR - NR) NR</t>
  </si>
  <si>
    <t>Purity:  NR - NR | Organism Age:  NR - NR NR | Duration (Days):  NR - NR Day(s) | Conc 2 (Standardized):  Unionized 1.51 (0.41 - 1.62) AI mg/L | Conc 3 (Standardized):  NR (NR - NR) NR</t>
  </si>
  <si>
    <t>Purity:  NR - NR | Organism Age:  NR - NR NR | Duration (Days):  NR - NR Day(s) | Conc 2 (Standardized):  Unionized 1.18 (1.1 - 1.27) AI mg/L | Conc 3 (Standardized):  NR (NR - NR) NR</t>
  </si>
  <si>
    <t>Purity:  NR - NR | Organism Age:  NR - NR NR | Duration (Days):  NR - NR Day(s) | Conc 2 (Standardized):  Unionized 0.796 (0.698 - 0.909) AI mg/L | Conc 3 (Standardized):  NR (NR - NR) NR</t>
  </si>
  <si>
    <t>Purity:  NR - NR | Organism Age:  NR - NR NR | Duration (Days):  NR - NR Day(s) | Conc 2 (Standardized):  Unionized 0.588 (NR - NR) AI mg/L | Conc 3 (Standardized):  NR (NR - NR) NR</t>
  </si>
  <si>
    <t>Purity:  NR - NR | Organism Age:  NR - NR NR | Duration (Days):  NR - NR Day(s) | Conc 2 (Standardized):  Unionized 0.97 (0.8 - 1.2) AI mg/L | Conc 3 (Standardized):  NR (NR - NR) NR</t>
  </si>
  <si>
    <t>Purity:  NR - NR | Organism Age:  NR - NR NR | Duration (Days):  NR - NR Day(s) | Conc 2 (Standardized):  Unionized 1.61 (0.55 - 1.68) AI mg/L | Conc 3 (Standardized):  NR (NR - NR) NR</t>
  </si>
  <si>
    <t>Purity:  NR - NR | Organism Age:  NR - NR NR | Duration (Days):  NR - NR Day(s) | Conc 2 (Standardized):  Unionized 2.04 (1.85 - 2.24) AI mg/L | Conc 3 (Standardized):  NR (NR - NR) NR</t>
  </si>
  <si>
    <t>Purity:  NR - NR | Organism Age:  NR - NR NR | Duration (Days):  NR - NR Day(s) | Conc 2 (Standardized):  Unionized 0.595 (0.48 - 0.85) AI mg/L | Conc 3 (Standardized):  NR (NR - NR) NR</t>
  </si>
  <si>
    <t>Purity:  NR - NR | Organism Age:  NR - NR NR | Duration (Days):  NR - NR Day(s) | Conc 2 (Standardized):  Unionized 1.9 (1.7 - 2.2) AI mg/L | Conc 3 (Standardized):  NR (NR - NR) NR</t>
  </si>
  <si>
    <t>Purity:  NR - NR | Organism Age:  NR - NR NR | Duration (Days):  NR - NR Day(s) | Conc 2 (Standardized):  Unionized 2.4 (2.2 - 2.6) AI mg/L | Conc 3 (Standardized):  NR (NR - NR) NR</t>
  </si>
  <si>
    <t>Sparks,R.E.</t>
  </si>
  <si>
    <t>The Acute, Lethal Effects of Ammonia on Channel Catfish (Ictalurus punctatus), Bluegills (Lepomis macrochirus), and Fathead Minnows (Pimephales promelas)</t>
  </si>
  <si>
    <t>Rep.to Illinois, Proj.No.20.060, Inst.for Environ.Qual., Chicago, IL:15 p.</t>
  </si>
  <si>
    <t>Purity:  NR - NR | Organism Age:  NR - NR NR | Duration (Days):  NR - NR Day(s) | Conc 2 (Standardized):  Unionized 3.44 (NR - NR) AI mg/L | Conc 3 (Standardized):  NR (NR - NR) NR</t>
  </si>
  <si>
    <t>Purity:  NR - NR | Organism Age:  NR - NR NR | Duration (Days):  NR - NR Day(s) | Conc 2 (Standardized):  Unionized 1.31 (0.22 - 1.41) AI mg/L | Conc 3 (Standardized):  NR (NR - NR) NR</t>
  </si>
  <si>
    <t>Purity:  NR - NR | Organism Age:  NR - NR NR | Duration (Days):  NR - NR Day(s) | Conc 2 (Standardized):  Unionized 1.3 (1.1 - 1.4) AI mg/L | Conc 3 (Standardized):  NR (NR - NR) NR</t>
  </si>
  <si>
    <t>Purity:  NR - NR | Organism Age:  NR - NR NR | Duration (Days):  NR - NR Day(s) | Conc 2 (Standardized):  Unionized 1.45 (1.27 - 1.66) AI mg/L | Conc 3 (Standardized):  NR (NR - NR) NR</t>
  </si>
  <si>
    <t>Purity:  NR - NR | Organism Age:  NR - NR NR | Duration (Days):  NR - NR Day(s) | Conc 2 (Standardized):  Unionized 2.03 (1.92 - 2.13) AI mg/L | Conc 3 (Standardized):  NR (NR - NR) NR</t>
  </si>
  <si>
    <t>Purity:  NR - NR | Organism Age:  NR - NR NR | Duration (Days):  NR - NR Day(s) | Conc 2 (Standardized):  Unionized 2.73 (2.57 - 2.96) AI mg/L | Conc 3 (Standardized):  NR (NR - NR) NR</t>
  </si>
  <si>
    <t>Purity:  NR - NR | Organism Age:  NR - NR NR | Duration (Days):  NR - NR Day(s) | Conc 2 (Standardized):  Unionized 0.764 (0.34 - 1.15) AI mg/L | Conc 3 (Standardized):  NR (NR - NR) NR</t>
  </si>
  <si>
    <t>Purity:  NR - NR | Organism Age:  NR - NR NR | Duration (Days):  NR - NR Day(s) | Conc 2 (Standardized):  Unionized 0.372 (0.346 - 0.4) AI mg/L | Conc 3 (Standardized):  NR (NR - NR) NR</t>
  </si>
  <si>
    <t>Purity:  NR - NR | Organism Age:  NR - NR NR | Duration (Days):  NR - NR Day(s) | Conc 2 (Standardized):  Unionized 0.888 (0.8 - 0.986) AI mg/L | Conc 3 (Standardized):  NR (NR - NR) NR</t>
  </si>
  <si>
    <t>Purity:  NR - NR | Organism Age:  NR - NR NR | Duration (Days):  NR - NR Day(s) | Conc 2 (Standardized):  Unionized 1.22 (NR - NR) AI mg/L | Conc 3 (Standardized):  NR (NR - NR) NR</t>
  </si>
  <si>
    <t>Purity:  NR - NR | Organism Age:  NR - NR NR | Duration (Days):  NR - NR Day(s) | Conc 2 (Standardized):  Unionized 1.73 (1.51 - 1.98) AI mg/L | Conc 3 (Standardized):  NR (NR - NR) NR</t>
  </si>
  <si>
    <t>Purity:  NR - NR | Organism Age:  NR - NR NR | Duration (Days):  NR - NR Day(s) | Conc 2 (Standardized):  Unionized 0.571 (NR - NR) AI mg/L | Conc 3 (Standardized):  NR (NR - NR) NR</t>
  </si>
  <si>
    <t>Purity:  NR - NR | Organism Age:  NR - NR NR | Duration (Days):  NR - NR Day(s) | Conc 2 (Standardized):  Unionized 1.27 (0.18 - 1.36) AI mg/L | Conc 3 (Standardized):  NR (NR - NR) NR</t>
  </si>
  <si>
    <t>Purity:  NR - NR | Organism Age:  NR - NR NR | Duration (Days):  NR - NR Day(s) | Conc 2 (Standardized):  Unionized 1.38 (1.23 - 1.56) AI mg/L | Conc 3 (Standardized):  NR (NR - NR) NR</t>
  </si>
  <si>
    <t>Fairchild,J.F., A.L. Allert, L.C. Sappington, and B. Waddell</t>
  </si>
  <si>
    <t>Chronic Toxicity of Un-Ionized Ammonia to Early Life-Stages of Endangered Colorado Pikeminnow (Ptychocheilus lucious) and Razorback Sucker (Xyrauchen texanus) Compared to the Surrogate Fathead Minnow (Pimephales promela</t>
  </si>
  <si>
    <t>Arch. Environ. Contam. Toxicol.49(3): 378-384</t>
  </si>
  <si>
    <t>Purity:  NR - NR | Organism Age:  NR - NR NR | Duration (Days):  NR - NR Day(s) | Conc 2 (Standardized):  Unionized 1.23 (1.11 - 1.36) AI mg/L | Conc 3 (Standardized):  NR (NR - NR) NR</t>
  </si>
  <si>
    <t>Purity:  NR - NR | Organism Age:  NR - NR NR | Duration (Days):  NR - NR Day(s) | Conc 2 (Standardized):  Unionized 1.1 (1 - 1.21) AI mg/L | Conc 3 (Standardized):  NR (NR - NR) NR</t>
  </si>
  <si>
    <t>Purity:  NR - NR | Organism Age:  NR - NR NR | Duration (Days):  NR - NR Day(s) | Conc 2 (Standardized):  Unionized 1.69 (1.54 - 1.77) AI mg/L | Conc 3 (Standardized):  NR (NR - NR) NR</t>
  </si>
  <si>
    <t>Purity:  NR - NR | Organism Age:  NR - NR NR | Duration (Days):  NR - NR Day(s) | Conc 2 (Standardized):  Unionized 0.85 (NR - NR) AI mg/L | Conc 3 (Standardized):  NR (NR - NR) NR</t>
  </si>
  <si>
    <t>Purity:  NR - NR | Organism Age:  NR - NR NR | Duration (Days):  NR - NR Day(s) | Conc 2 (Standardized):  Unionized 0.987 (0.89 - 1.42) AI mg/L | Conc 3 (Standardized):  NR (NR - NR) NR</t>
  </si>
  <si>
    <t>Purity:  NR - NR | Organism Age:  NR - NR NR | Duration (Days):  NR - NR Day(s) | Conc 2 (Standardized):  Unionized 0.908 (0.828 - 0.994) AI mg/L | Conc 3 (Standardized):  NR (NR - NR) NR</t>
  </si>
  <si>
    <t>Purity:  NR - NR | Organism Age:  NR - NR NR | Duration (Days):  NR - NR Day(s) | Conc 2 (Standardized):  Unionized 0.952 (0.807 - 1.12) AI mg/L | Conc 3 (Standardized):  NR (NR - NR) NR</t>
  </si>
  <si>
    <t>Purity:  NR - NR | Organism Age:  NR - NR NR | Duration (Days):  NR - NR Day(s) | Conc 2 (Standardized):  Unionized 0.616 (0.54 - 0.715) AI mg/L | Conc 3 (Standardized):  NR (NR - NR) NR</t>
  </si>
  <si>
    <t>Purity:  NR - NR | Organism Age:  NR - NR NR | Duration (Days):  NR - NR Day(s) | Conc 2 (Standardized):  Unionized 2.73 (2.36 - 3.16) AI mg/L | Conc 3 (Standardized):  NR (NR - NR) NR</t>
  </si>
  <si>
    <t>Purity:  NR - NR | Organism Age:  NR - NR NR | Duration (Days):  NR - NR Day(s) | Conc 2 (Standardized):  Unionized 0.775 (0.7 - 0.857) AI mg/L | Conc 3 (Standardized):  NR (NR - NR) NR</t>
  </si>
  <si>
    <t>Stilbene Direct Yellow 106</t>
  </si>
  <si>
    <t>Monoazo Acid Yellow 151</t>
  </si>
  <si>
    <t>HAN</t>
  </si>
  <si>
    <t>Cutrine</t>
  </si>
  <si>
    <t>Skea,J.C., and H.A. Simonin</t>
  </si>
  <si>
    <t>Evaluation of Cutrine for Use in Fish Culture</t>
  </si>
  <si>
    <t>Prog. Fish-Cult.41(4): 171-174</t>
  </si>
  <si>
    <t>Corexit 7664</t>
  </si>
  <si>
    <t>Zillich,J.</t>
  </si>
  <si>
    <t>A Biological Evaluation of Six Chemicals Used to Disperse Oil Spills</t>
  </si>
  <si>
    <t>Michigan Dep.Natural Resour., Water Resour.Commiss., Lansing, MI:12 p.</t>
  </si>
  <si>
    <t>Chlordane (Technical Grade)</t>
  </si>
  <si>
    <t>Acute and Chronic Toxicity of Chlordane to Fish and Invertebrates</t>
  </si>
  <si>
    <t>EPA-600/3-77-019, U.S.EPA, Duluth, MN:126 p.</t>
  </si>
  <si>
    <t>Houghtosafe 1120</t>
  </si>
  <si>
    <t>Phosphorodithioic acid S-[[(1,1-dimethylethyl)thio]O,O-diethylmethyl]ester</t>
  </si>
  <si>
    <t>Phosphoric acid, 2-Chloro-3-(diethylamino)-1-methyl-3-oxo-1-propen-1-yl dimethyl ester</t>
  </si>
  <si>
    <t>a,a,a',a'-Tetrabromo-O-xylene</t>
  </si>
  <si>
    <t>1,1,1,3,3,3-Hexakis(2-methyl-2-phenylpropyl)distannoxane</t>
  </si>
  <si>
    <t>2,2'-Thiobis(5-((4-ethoxyphenyl)azo)benzenesulfonic acid</t>
  </si>
  <si>
    <t>Selenic acid, sodium salt (1:2)</t>
  </si>
  <si>
    <t>Brix,K.V., J.S. Volosin, W.J. Adams, R.J. Reash, R.G. Carlton, and D.O. McIntyre</t>
  </si>
  <si>
    <t>Effects of Sulfate on the Acute Toxicity of Selenate to Freshwater Organisms</t>
  </si>
  <si>
    <t>Environ. Toxicol. Chem.20(5): 1037-1045</t>
  </si>
  <si>
    <t>Purity:  NR - NR | Organism Age:  3 - 7 Day(s) | Duration (Days):  NR - NR Day(s) | Conc 2 (Standardized):  NR (NR - NR) NR | Conc 3 (Standardized):  NR (NR - NR) NR</t>
  </si>
  <si>
    <t>~3</t>
  </si>
  <si>
    <t>Beyers,D.W., and C. Sodergren</t>
  </si>
  <si>
    <t>Evaluation of Interspecific Sensitivity to Selenium Exposure:  Larval Razorback Sucker Versus Flannelmouth Sucker</t>
  </si>
  <si>
    <t>Final Rep.to Recovery Implementation Prog.Proj.CAP-6 SE-NF, Dep.Fish.and Wildl.Biol., Colorado State Univ., Fort Collins, CO:</t>
  </si>
  <si>
    <t>6-(2-(5-Nitro-2-furanyl)ethenyl)-2-pyridinemethanol</t>
  </si>
  <si>
    <t>Marking,L.L., T.D. Bills, and J.H.,Jr. Chandler</t>
  </si>
  <si>
    <t>Toxicity of Furanace to Fish, Aquatic Invertebrates, and Frog Eggs and Larvae</t>
  </si>
  <si>
    <t>Invest.Fish Control Rep.No.76, Fish Wildl.Serv., Bur.Sport Fish.Wildl., USDI, Washington, DC:6 p.</t>
  </si>
  <si>
    <t>(T-4)-Bis[1-(hydroxy-kappaO)-2(1H)-pyridinethionato-kappaS2]zinc</t>
  </si>
  <si>
    <t>Titanium oxide (TiO2)</t>
  </si>
  <si>
    <t>Hall,S., T. Bradley, J.T. Moore, T. Kuykindall, and L. Minella</t>
  </si>
  <si>
    <t>Acute and Chronic Toxicity of Nano-Scale TiO2 Particles to Freshwater Fish, Cladocerans, and Green Algae, and Effects of Organic and Inorganic Substrate on TiO2 Toxicity</t>
  </si>
  <si>
    <t>Nanotoxicology3(2): 91-97</t>
  </si>
  <si>
    <t>Nitric acid, Aluminum salt (3:1)</t>
  </si>
  <si>
    <t>Beryllium sulfate</t>
  </si>
  <si>
    <t>Nitric acid, Beryllium salt</t>
  </si>
  <si>
    <t>(OC-6-11)-Hexakis(cyano-kappaC)ferrate(4-) sodium (1:4)</t>
  </si>
  <si>
    <t>2',3',4'-Trichloroacetophenone</t>
  </si>
  <si>
    <t>Tetrahydroborate(1-) potassium (1:1)</t>
  </si>
  <si>
    <t>Tetrafluoroborate(1-), Lead(2+) (2:1)</t>
  </si>
  <si>
    <t>2',3',4'-Trimethoxyacetophenone</t>
  </si>
  <si>
    <t>(OC-6-11)-Hexakis(cyano-kappaC)ferrate(4-) potassium (1:4)</t>
  </si>
  <si>
    <t>2-Butanamine</t>
  </si>
  <si>
    <t>Diethyl chloromalonate</t>
  </si>
  <si>
    <t>N-Ethylbenzylamine</t>
  </si>
  <si>
    <t>2-Chloro-1-methylpyridinium iodide</t>
  </si>
  <si>
    <t>(OC-6-11)-tris(N,N-Dimethylcarbamodithioato-kappaS,kappaS')iron</t>
  </si>
  <si>
    <t>4-Bromophenyl-3-pyridyl ketone</t>
  </si>
  <si>
    <t>Phenyl-4-pyridinylmethanone</t>
  </si>
  <si>
    <t>Sulfuric acid, Zirconium (4+) salt (2:1)</t>
  </si>
  <si>
    <t>4-Ethoxy-7-phenyl-3,5-dioxa-6-aza-4-phosphaoct-6-ene-8-nitrile 4-sulfide</t>
  </si>
  <si>
    <t>2,2,5,5-Tetramethyltetrahydrofuran</t>
  </si>
  <si>
    <t>2-(2,4,5-Trichlorophenoxy)propanoic acid, 2-Butoxypropyl ester</t>
  </si>
  <si>
    <t>3-Hydroxy-2-nitropyridine</t>
  </si>
  <si>
    <t>Lead styphnate</t>
  </si>
  <si>
    <t>Selenious acid, Sodium salt</t>
  </si>
  <si>
    <t>3,3-Dimethyl-1-butanamine</t>
  </si>
  <si>
    <t>[[N,N'-1,2-Ethanediylbis[N-[(carboxy-kappaO)methyl]glycinato-kappaN,kappaO]](4-)]-(OC-6-21)-ferrate(1-) sodium</t>
  </si>
  <si>
    <t>1-Hydroxy-2(1H)pyridinethione, Sodium salt</t>
  </si>
  <si>
    <t>2-Chloro-N-(2,6-diethylphenyl)-N-(methoxymethyl)acetamide</t>
  </si>
  <si>
    <t>[2-Hydroxy-5-[2-[4'-[2-[2-(hydroxy-kappaO)-6-hydroxy-3-[2-[2-(hydroxy-kappaO)-5-sulfophenyl]diazenyl-kappaN1]phenyl]diazenyl][1,1'-biphenyl]-4-yl]diazenyl]benzoato(4-)]cuprate(2-) sodium (1:2)</t>
  </si>
  <si>
    <t>4-Octylbenzenamine</t>
  </si>
  <si>
    <t>N-[[(Methylamino)carbonyl]oxy]ethanimidothioic acid methyl ester</t>
  </si>
  <si>
    <t>6-Chloro-2(1H)-pyridinone</t>
  </si>
  <si>
    <t>Hexafluorosilicate(2-), Ammonium (1:2)</t>
  </si>
  <si>
    <t>3-Chloro-N-(2-chloro-4-nitrophenyl)-5-(1,1-dimethylethyl)-6-hydroxy-2-methylbenzamide</t>
  </si>
  <si>
    <t>Marking,L.L.</t>
  </si>
  <si>
    <t>Salicylanilide I, an Effective Non-Persistent Candidate Piscicide</t>
  </si>
  <si>
    <t>Trans. Am. Fish. Soc.101(3): 526-533</t>
  </si>
  <si>
    <t>1-Amino-4-hydroxy-2-phenoxy-9,10-anthracenedione</t>
  </si>
  <si>
    <t>3-Amino-5,6-dimethyl-1,2,4-triazine</t>
  </si>
  <si>
    <t>4-(Diethylamino)salicylaldehyde</t>
  </si>
  <si>
    <t>N-[1-[(Butylamino)carbonyl]-1H-benzimidazol-2-yl]carbamic acid, Methyl ester</t>
  </si>
  <si>
    <t>(1S,5S)-6,6-Dimethyl-2-methylenebicyclo[3.1.1]heptane</t>
  </si>
  <si>
    <t>2,3,4,5,6-Pentachloro-1,1'-biphenyl</t>
  </si>
  <si>
    <t>2,3,6-Trinitrotoluene</t>
  </si>
  <si>
    <t>6-Chloro-2-picoline</t>
  </si>
  <si>
    <t>Chromium, Ion (Cr6+)</t>
  </si>
  <si>
    <t>2-(2,4,5-Trichlorophenoxy)propanoic acid, 2-Butoxyethyl ester</t>
  </si>
  <si>
    <t>4-Amino-2,6-dinitrotoluene</t>
  </si>
  <si>
    <t>3,6-Dimethyl-1-heptyn-3-ol</t>
  </si>
  <si>
    <t>2-{Bis[(2E)-3,7-dimethylocta-2,6-dien-1-yl]amino}ethan-1-ol</t>
  </si>
  <si>
    <t>Launer,C.A., and T.D. Bills</t>
  </si>
  <si>
    <t>Influences of Selected Environmental Factors on the Activity of a Prospective Fish Toxicant, 2-(Digeranylamino)-Ethanol, in Laboratory Tests</t>
  </si>
  <si>
    <t>Invest.Fish Control No.88, Fish Wildl.Serv., Bur.Sport Fish Wildl., U.S.D.I., Washington, D.C.:4 p.</t>
  </si>
  <si>
    <t>Toxicity of 2-(Digeranylamino)-Ethanol, a Candidate Selective Fish Toxicant</t>
  </si>
  <si>
    <t>Trans. Am. Fish. Soc.103(4): 736-742</t>
  </si>
  <si>
    <t>2,4,5-Trimethyloxazole</t>
  </si>
  <si>
    <t xml:space="preserve">(OC-6-21)-[[N,N'-1,2-Ethanediylbis[N-[(carboxy-kappaO)methyl]glycinato-kappaN,kappaO]](4-)]ferrate(1-) ammonium (1:1)  </t>
  </si>
  <si>
    <t>Silver(1+) sulfide</t>
  </si>
  <si>
    <t>p-Phenylphosphonothioic acid, O-(4-Bromo-2,5-dichlorophenyl) O-methyl ester</t>
  </si>
  <si>
    <t>2-[[4-Chloro-6-(ethylamino)-1,3,5-triazin-2-yl]amino]-2-methylpropanenitrile</t>
  </si>
  <si>
    <t>1,1'-[1,2-Ethanediylbis(thio)]bispropane</t>
  </si>
  <si>
    <t>4-(Dimethylamino)-3-methyl-2-butanone</t>
  </si>
  <si>
    <t>N-Benzoyl-N-(3,4-dichlorophenyl)-DL-alanine, Ethyl ester</t>
  </si>
  <si>
    <t>(1R,3R)-3-(Cyclopentylidenemethyl)-2,2-dimethylcyclopropanecarboxylic acid [5-(phenylmethyl)-3-furanyl]methyl ester</t>
  </si>
  <si>
    <t>3-Bromobenzamide</t>
  </si>
  <si>
    <t>&gt;97.5</t>
  </si>
  <si>
    <t>6-Chloro-N2-cyclopropyl-N4-(1-methylethyl)-1,3,5-triazine-2,4-diamine</t>
  </si>
  <si>
    <t>2-Mercaptobutanedioic acid, 1,4-Diethyl ester</t>
  </si>
  <si>
    <t>Dimethylcarbamic acid, 2-(Dimethylamino)-5,6-dimethyl-4-pyrimidinyl ester</t>
  </si>
  <si>
    <t>2-(Dimethylamino)-N-[[(methylamino)carbonyl]oxy]-2-oxo-ethanimidothioic acid methyl ester</t>
  </si>
  <si>
    <t>Thiosulfuric acid, Disilver (1+)salt</t>
  </si>
  <si>
    <t>N-(Butoxymethyl)-2-chloro-N-(2,6-diethylphenyl)acetamide</t>
  </si>
  <si>
    <t>2,6-Di(propan-2-yl)aniline</t>
  </si>
  <si>
    <t>Nonylphenol</t>
  </si>
  <si>
    <t>Acute and Chronic Toxicity of Nonylphenol to Ten Species of Aquatic Organisms</t>
  </si>
  <si>
    <t>Contract No.68-C1-0034, U.S.EPA, Duluth, MN:36 p.</t>
  </si>
  <si>
    <t>Dodecylbenzenesulfonic acid, Sodium salt (1:1)</t>
  </si>
  <si>
    <t>Tetrachlorophenol</t>
  </si>
  <si>
    <t>(1,1-Dimethylethyl)ethenylbenzene</t>
  </si>
  <si>
    <t>Methyl(phenylthio)carbamic acid, 3-(1-Methylpropyl)phenyl ester</t>
  </si>
  <si>
    <t>N-[2-[(4-Amino-3-methylphenyl)ethylamino]ethyl]methanesulfonamide sulfate (2:3)</t>
  </si>
  <si>
    <t>2-[(4-Amino-3-methylphenyl)ethylamino]ethanol sulfate (1:1)</t>
  </si>
  <si>
    <t>P-(Aminocarbonyl)phosphonic acid monoethyl ester ammonium salt (1:1)</t>
  </si>
  <si>
    <t>N,N-Dimethyl-N-2-propen-1-yl-2-propen-1-aminium chloride (1:1), Homopolymer</t>
  </si>
  <si>
    <t>2-Octyl-3(2H)-isothiazolone</t>
  </si>
  <si>
    <t>Bionomics Laboratories</t>
  </si>
  <si>
    <t>Acute Toxicity of RH-893 to Five Species of Freshwater Fishes (Bioassay Report)</t>
  </si>
  <si>
    <t>EPA/OTS Doc.#86-870001866:7 p.</t>
  </si>
  <si>
    <t>Sodium azide (Na(N3))</t>
  </si>
  <si>
    <t>1,2-Benzenedicarboxylic acid, 1,2-Diisodecyl ester</t>
  </si>
  <si>
    <t>2-[2-(Nonylphenoxy)ethoxy]ethanol</t>
  </si>
  <si>
    <t>2,3,4,5,6,6a,7,7-Octachloro-1a,1b,5,5a,6,6a-hexahydro-2,5-methano-2H-indeno[1,2-b]oxlrene</t>
  </si>
  <si>
    <t>1,2-Benzenedicarboxylic acid, 1,2-Diisooctyl ester</t>
  </si>
  <si>
    <t>oxo[Sulfato(2-)-o]vanadium</t>
  </si>
  <si>
    <t>2-(Nonylphenoxy)ethanol</t>
  </si>
  <si>
    <t>Phenyltrimethylammonium methosulfate</t>
  </si>
  <si>
    <t>[mu-[[3,3'-[[3,3'-Di(hydroxy-kappaO)[1,1'-biphenyl]-4,4'-diyl]bis(2,1-diazenediyl-kappaN1)]bis[5-amino-4-(hydroxy-kappaO)-2,7-naphthalenedisulfonato]](8-)]]di-cuprate(4-) sodium (1:4)</t>
  </si>
  <si>
    <t>(1R,3R)-2,2-Dimethyl-3-(2-methyl-1-propenyl)cyclopropanecarboxylic acid (1S)-2-methyl-4-oxo-3-(2-propenyl)-2-cyclopenten-1-yl ester</t>
  </si>
  <si>
    <t>Mauck,W.L., L.E. Olson, and L.L. Marking</t>
  </si>
  <si>
    <t>Toxicity of Natural Pyrethrins and Five Pyrethroids to Fish</t>
  </si>
  <si>
    <t>Arch. Environ. Contam. Toxicol.4(1): 18-29</t>
  </si>
  <si>
    <t>1,2-Benzenedicarboxylic acid, 1,2-Diisononyl ester</t>
  </si>
  <si>
    <t>Heptachloronorbornene</t>
  </si>
  <si>
    <t>(1,1-Dimethylethyl)phenol 1,1',1''-phosphate</t>
  </si>
  <si>
    <t>1,1,2,2,3,3,4,4,5,5,6,6,7,7,8,8,8-Heptadecafluoro-1-octanesulfonic acid ammonium salt</t>
  </si>
  <si>
    <t>Information on Perfluorooctane Sulfonates: Post-1975 Studies Pertaining to Environmental Effects, Fate &amp; Transport, and Health Effects, W/Attchmnts &amp; Cvr Ltr Dtd 050400</t>
  </si>
  <si>
    <t>EPA/OTS:4651 p.</t>
  </si>
  <si>
    <t>N1,N1-Diethyl-2,6-dinitro-4-(trifluoromethyl)-1,3-benzenediamine</t>
  </si>
  <si>
    <t>O-[2-(Diethylamino)-6-methyl-4-pyrimidinyl]O,O-dimethyl ester, Phosphorothioic acid</t>
  </si>
  <si>
    <t>4,6-Dinitro-2,1-benzisoxazole</t>
  </si>
  <si>
    <t>6(or 7)-Methyl-1H-benzotriazole</t>
  </si>
  <si>
    <t>1,1,2,2,3,3,4,4,4-Nonafluoro-1-butanesulfonic acid potassium salt (1:1)</t>
  </si>
  <si>
    <t>Wildlife International Ltd.</t>
  </si>
  <si>
    <t>Perfluorobutane Sulfonate, Potassium Salt (PFBS): A 96-Hour Static Acute Toxicity Test with the Fathead Minnow (Pimephales promelas)</t>
  </si>
  <si>
    <t>Wildlife International Ltd., Project No. 454A-115:42 p.</t>
  </si>
  <si>
    <t>Purity:  97.3 - 97.9 | Organism Age:  NR - NR NR | Duration (Days):  NR - NR Day(s) | Conc 2 (Standardized):  NR (NR - NR) NR | Conc 3 (Standardized):  NR (NR - NR) NR</t>
  </si>
  <si>
    <t>1,1,2,2,3,3,4,4,5,5,6,6,7,7,8,8,8-Heptadecafluoro-1-octanesulfonic acid lithium salt</t>
  </si>
  <si>
    <t>2-Methyl-3,3,4,4-tetrafluoro-2-butanol</t>
  </si>
  <si>
    <t>2,5-Dihydroxybenzenesulfonic acid sodium salt (1:?)</t>
  </si>
  <si>
    <t>7-Methyl-1H-benzotriazole</t>
  </si>
  <si>
    <t>Chloromethyl styrene</t>
  </si>
  <si>
    <t>N-Acetylphosphoramidothioic acid O,S-dimethyl ester</t>
  </si>
  <si>
    <t>N-Cyclohexylcarbamic acid 2-chloroethyl ester</t>
  </si>
  <si>
    <t>2-(2,4,5-Trichlorophenoxy)propanoic acid, Isooctyl ester</t>
  </si>
  <si>
    <t>Gaikowski,M.P., S.J. Hamilton, K.J. Buhl, S.F. McDonald, and C.H. Summers</t>
  </si>
  <si>
    <t>Acute Toxicity of Firefighting Chemical Formulations to Four Life Stages of Fathead Minnow</t>
  </si>
  <si>
    <t>Ecotoxicol. Environ. Saf.34(3): 252-263</t>
  </si>
  <si>
    <t>Purity:  NR - NR | Organism Age:  32 - 38 Days post-hatch | Duration (Days):  NR - NR Day(s) | Conc 2 (Standardized):  NR (NR - NR) NR | Conc 3 (Standardized):  NR (NR - NR) NR</t>
  </si>
  <si>
    <t>Purity:  NR - NR | Organism Age:  53 - 59 Days post-hatch | Duration (Days):  NR - NR Day(s) | Conc 2 (Standardized):  NR (NR - NR) NR | Conc 3 (Standardized):  NR (NR - NR) NR</t>
  </si>
  <si>
    <t>Purity:  NR - NR | Organism Age:  30 - 36 Days post-hatch | Duration (Days):  NR - NR Day(s) | Conc 2 (Standardized):  NR (NR - NR) NR | Conc 3 (Standardized):  NR (NR - NR) NR</t>
  </si>
  <si>
    <t>3,3',4,4'-Tetrachloro-1,1'-biphenyl</t>
  </si>
  <si>
    <t>4-(1-Methylethyl)-2,6-dinitro-N,N-dipropylbenzenamine</t>
  </si>
  <si>
    <t>N-Benzoyl-N-(3,4-dichlorophenyl)-L-alanine, Ethyl ester</t>
  </si>
  <si>
    <t>N-[5-(1,1-Dimethylethyl)-1,3,4-thiadiazol-2-yl]-N,N'-dimethylurea</t>
  </si>
  <si>
    <t>(Carboxymethoxy)butanedioic acid, Trisodium salt</t>
  </si>
  <si>
    <t>N-(3-Methoxypropyl)-3,4,5-trimethoxybenzylamine</t>
  </si>
  <si>
    <t>(1-Methyl-1-phenylethyl)phenyl diphenys ester, Phosphoric acid</t>
  </si>
  <si>
    <t>alpha-Undecyl-omega-hydroxypoly(oxy-1,2-ethanediyl)</t>
  </si>
  <si>
    <t>Wong,D.C.L., P.B. Dorn, and E.Y. Chai</t>
  </si>
  <si>
    <t>Acute Toxicity and Structure-Activity Relationships of Nine Alcohol Ethoxylate Surfactants to Fathead Minnow and Daphnia magna</t>
  </si>
  <si>
    <t>Environ. Toxicol. Chem.16(9): 1970-1976</t>
  </si>
  <si>
    <t>2-(Bromomethyl)tetrahydro-2H-pyran</t>
  </si>
  <si>
    <t>2,2',4,4',5,5'-Hexachloro-1,1'-biphenyl</t>
  </si>
  <si>
    <t>N-[[(4-Chlorophenyl)amino]carbonyl]-2,6-difluorobenzamide</t>
  </si>
  <si>
    <t>2-Methyl-3,5-dinitrobenzenamine</t>
  </si>
  <si>
    <t>2,2',5,5'-Tetrachloro-1,1'-biphenyl</t>
  </si>
  <si>
    <t>2,2',3,3',4,4',5,5'-Octachloro-1,1'-biphenyl</t>
  </si>
  <si>
    <t>2-(Decylthio)ethanamine, Hydrochloride (1:1)</t>
  </si>
  <si>
    <t>Initial Submission:  2-(Decylthio)Ethanamine Hydrochloride:  Embryo-Larval Toxicity Test w Fathead Minnow, Pimephales promelas Rafinesque (Final Report) &amp; Cover Letter Dated 041092</t>
  </si>
  <si>
    <t>EPA/OTS Doc.#88-920001947:28 p.</t>
  </si>
  <si>
    <t>Ethylene phosphite</t>
  </si>
  <si>
    <t>4-Decylbenzenamine</t>
  </si>
  <si>
    <t>2,2',5-Trichloro-1,1'-biphenyl</t>
  </si>
  <si>
    <t>2,2',4,5,5'-Pentachloro-1,1'-biphenyl</t>
  </si>
  <si>
    <t>2,4,6-Trinitrobenzonitrile</t>
  </si>
  <si>
    <t>2,2',3,3',4,4'-Hexachloro-1,1'-biphenyl</t>
  </si>
  <si>
    <t>Nonylphenyl diphenyl phosphate</t>
  </si>
  <si>
    <t>N-(Phosphonomethyl)glycine compd. with 2-propanamine (1:1)</t>
  </si>
  <si>
    <t>Henry,C.J.</t>
  </si>
  <si>
    <t>Effects of Rodeo Herbicide on Aquatic Invertebrates and Fathead Minnows</t>
  </si>
  <si>
    <t>M.S.Thesis, South Dakota State University, Brookings, SD:63 p.</t>
  </si>
  <si>
    <t>Folmar,L.C., H.O. Sanders, and A.M. Julin</t>
  </si>
  <si>
    <t>Toxicity of the Herbicide Glyphosate and Several of Its Formulations to Fish and Aquatic Invertebrates</t>
  </si>
  <si>
    <t>Arch. Environ. Contam. Toxicol.8(3): 269-278</t>
  </si>
  <si>
    <t>ae mg/L</t>
  </si>
  <si>
    <t>Tatum,V.L., D.L. Borton, W.R. Streblow, J. Louch, and J.P. Shepard</t>
  </si>
  <si>
    <t>Acute Toxicity of Commonly Used Forestry Herbicide Mixtures to Ceriodaphnia dubia and Pimephales promelas</t>
  </si>
  <si>
    <t>Environ. Toxicol.27(12): 671-684</t>
  </si>
  <si>
    <t>Purity:  NR - NR | Organism Age:  2 - 10 Day(s) | Duration (Days):  NR - NR Day(s) | Conc 2 (Standardized):  NR (NR - NR) NR | Conc 3 (Standardized):  NR (NR - NR) NR</t>
  </si>
  <si>
    <t>1-(4-Chlorophenoxy)-2-nitrobenzene</t>
  </si>
  <si>
    <t>610 P</t>
  </si>
  <si>
    <t>Phos-Chek 259</t>
  </si>
  <si>
    <t>Purifloc C 31</t>
  </si>
  <si>
    <t>Halowax 1099</t>
  </si>
  <si>
    <t>2,2,3,3-Tetramethylcyclopropanecarboxylic acid cyano(3-phenoxyphenyl)methyl ester</t>
  </si>
  <si>
    <t>4-(Hexyloxy)benzenamine</t>
  </si>
  <si>
    <t>(2E,4E)-11-Methoxy-3,7,11-trimethyl-2,4-dodecadienoic acid 1-methylethyl ester</t>
  </si>
  <si>
    <t>Phosphorothioic acid O-(4-bromo-2-chlorophenyl) O-ethyl S-propyl ester</t>
  </si>
  <si>
    <t>~56</t>
  </si>
  <si>
    <t>Whole organism</t>
  </si>
  <si>
    <t>Baer,K.N., K. Olivier, and C.N. Pope</t>
  </si>
  <si>
    <t>Influence of Temperature and Dissolved Oxygen on the Acute Toxicity of Profenofos to Fathead Minnows (Pimephales promelas)</t>
  </si>
  <si>
    <t>Drug Chem. Toxicol.25(3): 231-245</t>
  </si>
  <si>
    <t>4-Chloro-2-nitrobenzoic acid, Methyl ester</t>
  </si>
  <si>
    <t>3-Formyl-4-nitrophenol</t>
  </si>
  <si>
    <t>Phosphorothioic acid, O-[5-Chloro-1-(1-methylethyl)-1H-1,2,4-triazol-3-yl] O,O-dimethyl ester</t>
  </si>
  <si>
    <t>Benzenesulfonic acid, alkyl derivs.</t>
  </si>
  <si>
    <t>McKim,J.M., J.W. Arthur, and T.W. Thorslund</t>
  </si>
  <si>
    <t>Toxicity of a Linear Alkylate Sulfonate Detergent to Larvae of Four Species of Freshwater Fish</t>
  </si>
  <si>
    <t>Bull. Environ. Contam. Toxicol.14(1): 1-7</t>
  </si>
  <si>
    <t>Purity:  NR - NR | Organism Age:  2 - 3 Day(s) | Duration (Days):  NR - NR Day(s) | Conc 2 (Standardized):  NR (NR - NR) NR | Conc 3 (Standardized):  NR (NR - NR) NR</t>
  </si>
  <si>
    <t>Thatcher,T.O., and J.F. Santner</t>
  </si>
  <si>
    <t>Acute Toxicity of LAS to Various Fish Species</t>
  </si>
  <si>
    <t>Proc. 21st Purdue Ind. Waste Conf.50(2): 996-1002</t>
  </si>
  <si>
    <t>Acute Toxicity of Alkyl Benzene Sulfonate and Linear Alkylate Sulfonate to the Eggs of the Fathead Minnow, Pimephales promelas</t>
  </si>
  <si>
    <t>Air Water Pollut.10:385-391</t>
  </si>
  <si>
    <t>Pickering,Q.H., and T.O. Thatcher</t>
  </si>
  <si>
    <t>The Chronic Toxicity of Linear Alkylate Sulfonate (LAS) to Pimephales promelas, Rafinesque</t>
  </si>
  <si>
    <t>J. Water Pollut. Control Fed.42(2): 243-254</t>
  </si>
  <si>
    <t>Holman,W.F., and K.J. Macek</t>
  </si>
  <si>
    <t>An Aquatic Safety Assessment of Linear Alkylbenzene Sulfonate (LAS): Chronic Effects on Fathead Minnows</t>
  </si>
  <si>
    <t>Trans. Am. Fish. Soc.109(1): 122-131</t>
  </si>
  <si>
    <t>Fairchild,J.F., F.J. Dwyer, and T.W. LaPoint</t>
  </si>
  <si>
    <t>Evaluation of a Laboratory-Generated NOEC for Linear Alkylbenzene Sulfonate in Outdoor Experimental Streams</t>
  </si>
  <si>
    <t>Environ. Toxicol. Chem.12(10): 1763-1775</t>
  </si>
  <si>
    <t>&lt;6</t>
  </si>
  <si>
    <t>Lewis,M.A., and D. Suprenant</t>
  </si>
  <si>
    <t>Comparative Acute Toxicities of Surfactants to Aquatic Invertebrates</t>
  </si>
  <si>
    <t>Ecotoxicol. Environ. Saf.7(3): 313-322</t>
  </si>
  <si>
    <t>5-[2-Chloro-4-(trifluoromethyl)phenoxy]-2-nitrobenzoic acid</t>
  </si>
  <si>
    <t>2-Chloro-N-(2-ethyl-6-methylphenyl)-N-(2-methoxy-1-methylethyl)acetamide</t>
  </si>
  <si>
    <t>3-Cyclohexyl-6-(dimethylamino)-1-methyl-1,3,5-triazine-2,4-(1H,3H)dione</t>
  </si>
  <si>
    <t>Kennedy,G.L.,Jr.</t>
  </si>
  <si>
    <t>Acute and Environmental Toxicity Studies with Hexazinone</t>
  </si>
  <si>
    <t>Fundam. Appl. Toxicol.4(4): 603-611</t>
  </si>
  <si>
    <t>(6R,25R)-5-O-Demethyl-28-deoxy-6,28-epoxy-25-ethylmilbemycin B</t>
  </si>
  <si>
    <t>4-Chloro-alpha-(1-methylethyl)benzeneacetic acid cyano(3-phenoxyphenyl)methyl ester</t>
  </si>
  <si>
    <t>Bradbury,S.P., J.R. Coats, and J.M. McKim</t>
  </si>
  <si>
    <t>Differential Toxicity and Uptake of Two Fenvalerate Formulations in Fathead Minnows (Pimephales promelas)</t>
  </si>
  <si>
    <t>Environ. Toxicol. Chem.4(4): 533-541</t>
  </si>
  <si>
    <t>3-(2,2-Dichloroethenyl)-2,2-dimethylcyclopropanecarboxylic acid, (3-Phenoxyphenyl)methyl ester</t>
  </si>
  <si>
    <t>2,2',3,3',4,4',6-Heptachloro-1,1'-biphenyl</t>
  </si>
  <si>
    <t>PCB 1242</t>
  </si>
  <si>
    <t>Casol</t>
  </si>
  <si>
    <t>Jansolve 60</t>
  </si>
  <si>
    <t>Magic Power OD 1</t>
  </si>
  <si>
    <t>Met-aquaclene 100</t>
  </si>
  <si>
    <t>Wyandotte spill remover</t>
  </si>
  <si>
    <t>2,2'-[(4-Aminophenyl)imino]bisethanol sulfate (1:1) (salt)</t>
  </si>
  <si>
    <t>3,8-Dithiadecane</t>
  </si>
  <si>
    <t>(1E)-5-Methoxy-1-[4-(trifluoromethyl)phenyl]-1-pentanone O-(2-aminoethyl)oxime</t>
  </si>
  <si>
    <t>Johnson,D.J.</t>
  </si>
  <si>
    <t>Risk Assessment of Selective Serotonin Reuptake Inhibitors:  Comparing Methods in Tiered Environmental Risk Assessment</t>
  </si>
  <si>
    <t xml:space="preserve">Ph.D. Thesis, University of Guelph, Ontario, Canada:124 p. </t>
  </si>
  <si>
    <t>N-Butylcarbamic acid, 3-Iodo-2-propyn-1-yl ester</t>
  </si>
  <si>
    <t>1,1,4,4-Tetra(p-chlorophenyl)-2,2,3,3-tetrachlorobutane</t>
  </si>
  <si>
    <t>N-[2-(Octyloxy)phenyl]acetamide</t>
  </si>
  <si>
    <t>Fyrquel GT</t>
  </si>
  <si>
    <t>Cleveland,L., F.L. Mayer, D.R. Buckler, and D.U. Palawski</t>
  </si>
  <si>
    <t>Toxicity of Five Alkyl-Aryl Phosphate Ester Chemicals to Four Species of Freshwater Fish</t>
  </si>
  <si>
    <t>Environ. Toxicol. Chem.5:273-282</t>
  </si>
  <si>
    <t>4-(1,1-Dimethylethyl)benzamide</t>
  </si>
  <si>
    <t>2-Amino-3,6-dinitrotoluene</t>
  </si>
  <si>
    <t>N-Methyl-gamma-[4-(trifluoromethyl)phenoxy]benzenepropanamine, Hydrochloride (1:1)</t>
  </si>
  <si>
    <t>1,4-Bis(propylthio)butane</t>
  </si>
  <si>
    <t>2,9-Dithiadecane</t>
  </si>
  <si>
    <t>Phoschek 202</t>
  </si>
  <si>
    <t>Johnson,W.W., and H.O. Sanders</t>
  </si>
  <si>
    <t>Chemical Forest Fire Retardants: Acute Toxicity to Five Freshwater Fishes and a Scud</t>
  </si>
  <si>
    <t>Tech.Pap.No.91, Fish Wildl.Serv., U.S.D.I., Washington, D.C.:7 p.</t>
  </si>
  <si>
    <t>Monochlorodehydroabietic acid</t>
  </si>
  <si>
    <t>[1R-(1alpha,4a beta,10a alpha)]-Dichloro-1,2,3,4,4a,9,10,10a-octahydro-1,4a-dimethyl-7-(1-methylethyl)-1-phenanthrenecarboxylic acid</t>
  </si>
  <si>
    <t>2-[(3,5,6-Trichloro-2-pyridinyl)oxy]acetic acid compd. with N,N-diethylethanamine (1:1)</t>
  </si>
  <si>
    <t>Mayes,M.A., D.C. Dill, K.M. Bodner, and C.G. Mendoza</t>
  </si>
  <si>
    <t>Triclopyr Triethylamine Salt Toxicity to Life Stages of the Fathead Minnow (Pimephales promelas Rafinesque)</t>
  </si>
  <si>
    <t>Bull. Environ. Contam. Toxicol.33(3): 339-347</t>
  </si>
  <si>
    <t>3,6-Dichloro-2-pyridinecarboxylic acid compd. with 2-aminoethanol (1:1)</t>
  </si>
  <si>
    <t>2-(3,5-Dichlorophenyl)-2-(2,2,2-trichloroethyl)oxirane</t>
  </si>
  <si>
    <t>1-Methyl-3-phenyl-5-[3-(trifluoromethyl)phenyl]-4(1H)pyridinone</t>
  </si>
  <si>
    <t>Hamelink,J.L., D.R. Buckler, F.L. Mayer, D.U. Palawski, and H.O. Sanders</t>
  </si>
  <si>
    <t>Toxicity of Fluridone to Aquatic Invertebrates and Fish</t>
  </si>
  <si>
    <t>Environ. Toxicol. Chem.5(1): 87-94</t>
  </si>
  <si>
    <t>Purity:  98 - 99 | Organism Age:  NR - NR NR | Duration (Days):  NR - NR Day(s) | Conc 2 (Standardized):  NR (NR - NR) NR | Conc 3 (Standardized):  NR (NR - NR) NR</t>
  </si>
  <si>
    <t>FA 956</t>
  </si>
  <si>
    <t>4-(Hexyloxy)-3-methoxybenzaldehyde</t>
  </si>
  <si>
    <t>AS (Surfactant)</t>
  </si>
  <si>
    <t>Versteeg,D.J., J. Rawlings, E. Bozso, and J. Shi</t>
  </si>
  <si>
    <t>The Acute and Chronic Toxicity of Hexadecyl and Heptadecyl Sulfate to Aquatic Organisms</t>
  </si>
  <si>
    <t>Arch. Environ. Contam. Toxicol.51(1): 43-53</t>
  </si>
  <si>
    <t>Tallow alkyl amines, Ethoxylated</t>
  </si>
  <si>
    <t>Copper Count-N</t>
  </si>
  <si>
    <t>Chloro paraffin waxes and hydrocarbon waxes</t>
  </si>
  <si>
    <t>[(3,5,6-Trichloro-2-pyridinyl)oxy]acetic acid, 2-Butoxyethyl ester</t>
  </si>
  <si>
    <t>2-Chloro-N-[[(4-methoxy-6-methyl-1,3,5-triazin-2-yl)amino]carbonyl]benzenesulfonamide</t>
  </si>
  <si>
    <t>(+-)-3-Butyn-2-ol</t>
  </si>
  <si>
    <t>(alphaS)-4-Chloro-alpha-(1-methylethyl)benzeneacetic acid (S)-cyano-(3-phenoxyphenyl)methyl ester</t>
  </si>
  <si>
    <t>Lozano,S.J., J.C. Brazner, M.L. Knuth, L.J. Heinis, K.W. Sargent, D.K. Tanner, L.E. Anderson, S.L. O'Halloran, S.L. Ber</t>
  </si>
  <si>
    <t>Effects, Persistence and Distribution of Esfenvalerate in Littoral Enclosures</t>
  </si>
  <si>
    <t>Rep.No.DU E104/PPA 06/7592A, U.S.EPA, Duluth &amp; Univ.of Wisconsin-Superior, Superior, WI:276 p.</t>
  </si>
  <si>
    <t>Purity:  NR - NR | Organism Age:  7 - 10 Day(s) | Duration (Days):  NR - NR Day(s) | Conc 2 (Standardized):  NR (NR - NR) NR | Conc 3 (Standardized):  NR (NR - NR) NR</t>
  </si>
  <si>
    <t>Hydrothol 191</t>
  </si>
  <si>
    <t>Hours post fertilization</t>
  </si>
  <si>
    <t>Keller,A.E., R.J. Dutton, and T.L. Crisman</t>
  </si>
  <si>
    <t>Effect of Temperature on the Chronic Toxicity of Hydrothol-191 to the Fathead Minnow (Pimephales promelas)</t>
  </si>
  <si>
    <t>Bull. Environ. Contam. Toxicol.41(5): 770-775</t>
  </si>
  <si>
    <t>Purity:  NR - NR | Organism Age:  NR - NR Hours post fertilization | Duration (Days):  NR - NR Day(s) | Conc 2 (Standardized):  NR (NR - NR) NR | Conc 3 (Standardized):  NR (NR - NR) NR</t>
  </si>
  <si>
    <t>N-[3-(1-Methylethoxy)phenyl]-2-(trifluoromethyl)benzamide</t>
  </si>
  <si>
    <t>2-[4-[(6-Chloro-2-benzoxazolyl)oxy]phenoxy]propanoic acid ethyl ester</t>
  </si>
  <si>
    <t>C12-13 Alcohols, Ethoxylated</t>
  </si>
  <si>
    <t>Pydraul 50E</t>
  </si>
  <si>
    <t>Pydraul 115E</t>
  </si>
  <si>
    <t>Kronitex 100</t>
  </si>
  <si>
    <t>Synthesis Grade</t>
  </si>
  <si>
    <t>Kronitex 50</t>
  </si>
  <si>
    <t>Tetrahydro-5,5-dimethyl-2(1H)-pyrimidio[3-[4-trifluoromethyl)phenyl]-1-[2-[4-(trifluoromethyl)phenyl]ethenyl]-2-propenylidene]hydrazone</t>
  </si>
  <si>
    <t>Alcohols, C12-15, Ethoxylated</t>
  </si>
  <si>
    <t>Polyphosphoric acids, Ammonium salts</t>
  </si>
  <si>
    <t>3-(2,2-Dichloroethenyl)-2,2-dimethyl cyclopropanecarboxylic acid cyano(4-fluoro-3-phenoxyphenyl)methyl ester</t>
  </si>
  <si>
    <t>&lt;48</t>
  </si>
  <si>
    <t>Heath,S., W.A. Bennett, J. Kennedy, and T.L. Beitinger</t>
  </si>
  <si>
    <t>Heat and Cold Tolerance of the Fathead Minnow, Pimephales promelas, Exposed to the Synthetic Pyrethroid Cyfluthrin</t>
  </si>
  <si>
    <t>Can. J. Fish. Aquat. Sci.51(2): 437-440</t>
  </si>
  <si>
    <t>De Perre,C., K.W.J. Williard, J.E. Schoonover, B.G. Young, T.M. Murphy, and M.J. Lydy</t>
  </si>
  <si>
    <t>Assessing the Fate and Effects of an Insecticidal Formulation</t>
  </si>
  <si>
    <t>Environ. Toxicol. Chem.34(1): 197-207</t>
  </si>
  <si>
    <t>Quaternary ammonium compounds, Benzyl-C12-16-alkyldimethyl, Chlorides</t>
  </si>
  <si>
    <t>Alcohols, C9-11, Ethoxylated</t>
  </si>
  <si>
    <t>Alcohols, C14-15, Ethoxylated</t>
  </si>
  <si>
    <t>Maki,A.W., A.J. Rubin, R.M. Sykes, and R.L. Shank</t>
  </si>
  <si>
    <t>Reduction of Nonionic Surfactant Toxicity Following Secondary Treatment</t>
  </si>
  <si>
    <t>J. Water Pollut. Control Fed.51(9): 2301-2313</t>
  </si>
  <si>
    <t>Kline,E.R., R.A. Figueroa, J.H.,Jr. Rodgers, and P.B. Dorn</t>
  </si>
  <si>
    <t>Effects of a Nonionic Surfactant (C14-15 AE-7) on Fish Survival, Growth and Reproduction in the Laboratory and in Outdoor Stream Mesocosms</t>
  </si>
  <si>
    <t>Environ. Toxicol. Chem.15(6): 997-1002</t>
  </si>
  <si>
    <t>bis[2-(1-Methylethyl)phenyl]phenyl ester phosphoric acid</t>
  </si>
  <si>
    <t>1-Benzylpyridinium 3-sulfonate</t>
  </si>
  <si>
    <t>3-(4-tert-Butylphenoxy)benzaldehyde</t>
  </si>
  <si>
    <t>2-[4-[[3-Chloro-5-(trifluoromethyl)-2-pyridinyl]oxy]phenoxypropanoic acid</t>
  </si>
  <si>
    <t>2-[4-[[5-(Trifluoromethyl)-2-pyridinyl]oxy]phenoxy]-propanoic acid, Butyl ester</t>
  </si>
  <si>
    <t>4-(Difluoromethoxy)-alpha-(1-methylethyl)benzeneacetic acid cyano(3-phenoxyphenyl)methyl ester</t>
  </si>
  <si>
    <t>3-Methyl-2,6-dinitrobenzenamine</t>
  </si>
  <si>
    <t>C10-C16 Alkyldimethylamine N-oxides</t>
  </si>
  <si>
    <t>N-(3-Chloro-2-methylphenyl)formamide</t>
  </si>
  <si>
    <t>2-[[[[(4,6-Dimethyl-2-pyrimidinyl)amino]carbonyl]amino]sulfonyl]benzoic acid, Methyl ester</t>
  </si>
  <si>
    <t>2-[[[[(4-Methoxy-6-methyl-1,3,5-triazin-2-yl)amino]carbonyl]amino]sulfonyl]benzoic acid methyl ester</t>
  </si>
  <si>
    <t>Fire-Trol 100</t>
  </si>
  <si>
    <t>Fire-trol 931</t>
  </si>
  <si>
    <t>Kronitex TXP</t>
  </si>
  <si>
    <t>Sulfuric acid diammonium salt mixt. with diammonium hydrogen phosphate</t>
  </si>
  <si>
    <t>3-(3,4-Dichlorophenoxy)benzaldehyde</t>
  </si>
  <si>
    <t>(1S,4S)-4-(3,4-Dichlorphenyl)-1,2,3,4-tetrahydro-N-methyl-1-naphthalenamine</t>
  </si>
  <si>
    <t>2-[4,5-Dihydro-4-methyl-4-(1-methylethyl)-5-oxo-1H-imidazol-2-yl]-3-pyridinecarboxylic acid</t>
  </si>
  <si>
    <t>2-[4,5-Dihydro-4-methyl-4-(1-methylethyl)-5-oxo-1H-imidazol-2-yl]-3-pyridinecarboxylic acid compd. with 2-propamine (1:1)</t>
  </si>
  <si>
    <t>4-Nonylphenol, Branched</t>
  </si>
  <si>
    <t>Nonylphenol Toxicity:  Accumulation and Lethality for Two Freshwater Fishes (Fathead Minnow and Bluegill) to Nonylphenol</t>
  </si>
  <si>
    <t>Rep.to the U.S.EPA for Work Assignment No.1-12 of U.S.EPA Contract No.68-C1-0034, Lake Superior Res.Inst., September 30, Univ.of Wisconsin-Superior, Superior, WI:50 p.</t>
  </si>
  <si>
    <t>2-[1-(Ethoxyimino)propyl]-3-hydroxy-5-(2,4,6-trimethylphenyl)-2-cyclohexen-1-one</t>
  </si>
  <si>
    <t>711P</t>
  </si>
  <si>
    <t>Phosphorothioc acid O-[2-(1,1-dimethylethyl)-5-pyrimidinyl]O-ethyl O-(1-methylethyl) ester</t>
  </si>
  <si>
    <t>2-(1-Methylethyl)phenyldiphenyl ester phosphoric acid mixt. with triphenyl phosphate</t>
  </si>
  <si>
    <t>Houghto-Safe 520</t>
  </si>
  <si>
    <t>4-Chloro-2-(1,1-dimethylethyl)-5-[[[4-(1,1-dimethylethyl)phenyl]methyl]thio]-3(2H)pyridazinene</t>
  </si>
  <si>
    <t>Rand,G.M., and J.R. Clark</t>
  </si>
  <si>
    <t>Hazard/Risk Assessment of Pyridaben:  I.  Aquatic Toxicity and Environmental Chemistry</t>
  </si>
  <si>
    <t>Ecotoxicology9(3): 157-168</t>
  </si>
  <si>
    <t>Bromocide</t>
  </si>
  <si>
    <t>N-(2,6-Difluorophenyl)-5-methyl-[1,2,4]triazolo[1,5-a]pyrimidine-2-sulfonamide</t>
  </si>
  <si>
    <t>2-[(1E)-1-[[[(2E)-3-Chloro-2-propenyl]oxy]imino]propyl]-5-[2-(ethylthio)propyl]-3-hydroxy-2-cyclohexen-1-one</t>
  </si>
  <si>
    <t>Phosphoric acid bis(1,1-dimethylethyl)phenyl diphenyl ester mixt. with (1,1-dimethylethyl)phenyl diphenyl phosphate and triphenyl phosphate</t>
  </si>
  <si>
    <t>2,4-Dinitro-1-naphthalenol, Sodium salt dihydrate</t>
  </si>
  <si>
    <t>[N(Z)]-N-[3-[(6-Chloro-3-pyridinyl)methyl]-2-thiazolidinylidene]cyanamide</t>
  </si>
  <si>
    <t>1,2-Benzenedicarboxylic acid, 1,4-Butanediyl bis(4-hydroxybutyl) ester</t>
  </si>
  <si>
    <t>1-[[2-[2-Chloro-4-(4-chlorophenoxyl)phenyl]-4-methyl-1,3-dioxolan-2-yl]methyl]-1H-1,2,4-triazole</t>
  </si>
  <si>
    <t>2,3-Bis(1,2-dicarboxyethoxy)butanedioic acid heaxsodium salt mixt. with 2-(1,2-dicarboxyethoxy)-3-hydroxybutanedioic acid tetrasodium salt</t>
  </si>
  <si>
    <t>Pittinger,C.A., D.J. Versteeg, B.A. Blatz, and E.M. Meiers</t>
  </si>
  <si>
    <t>Environmental Toxicology of Succinate Tartrates</t>
  </si>
  <si>
    <t>Aquat. Toxicol.24(1-2): 83-102</t>
  </si>
  <si>
    <t>2-Chloro-N-[[(4,6-dimethoxy-2-pyrimidinyl)amino]carbonyl]imidazo[1,2-a]pyridine-3-sulfonamide</t>
  </si>
  <si>
    <t>(4''R)-4''-Deoxy-4''-(methylamino)avermectin B1 benzoate (1:1)</t>
  </si>
  <si>
    <t>9-Octadecenoic acid (9Z), Ethyl ester mixt. with alpha-(nonylphenyl)-omega-hydroxypoly(oxy-1,2-ethanediyl) and alpha-[(9Z)-1-oxo-9-octadecen-1-yl]-omega-[[(9Z)-1-oxo-9-octadecen-1-yl]oxy]poly(oxy-1,2-ethanediyl)</t>
  </si>
  <si>
    <t>Phoschek WD 881</t>
  </si>
  <si>
    <t>N-[2-(1,3-Dimethylbutyl)-3-thienyl]-1-methyl-3-(trifluoromethyl)-1H-pyrazole-4-carboxamide</t>
  </si>
  <si>
    <t>[C(E)]-N-[(2-Chloro-5-thiazolyl)methyl]-N'-methyl-N''-nitroguanidine</t>
  </si>
  <si>
    <t>De Perre,C., T.M. Murphy, and M.J. Lydy</t>
  </si>
  <si>
    <t>Fate and Effects of Clothianidin in Fields Using Conservation Practices</t>
  </si>
  <si>
    <t>Environ. Toxicol. Chem.34(2): 258-265</t>
  </si>
  <si>
    <t>2,2-Dimethylpropanoic acid  8-(2,6-diethyl-4-methylphenyl)-1,2,4,5- tetrahydro-7-oxo-7H-pyrazolo[1,2-d][1,4,5]oxadiazepin-9-yl ester</t>
  </si>
  <si>
    <t>N2-[1,1-Dimethyl-2-(methylsulfonyl)ethyl]-3-iodo-N1-[2-methyl-4-[1,2,2,2-tetrafluoro-1-(trifluoromethyl)ethyl]phenyl]-1,2-benzenedicarboxamide</t>
  </si>
  <si>
    <t>3,3-Dimethylbutanoic acid 2-oxo-3-(2,4,6-trimethylphenyl)-1-oaxspiro[4.4]non-3-en-4-yl ester</t>
  </si>
  <si>
    <t>4-Chloro-N-[2-[3-methoxy-4-(2-propynyloxy)phenyl]ethyl]-alpha-(2-propynyloxy)benzeneacetamide</t>
  </si>
  <si>
    <t>N-(5,7-Dimethoxy[1,2,4]triazolo[1,5-a]pyrimidin-2-yl)-2-methoxy-4-(trifluoromethyl)-3-pyridinesulfonamide</t>
  </si>
  <si>
    <t>Timberland 90</t>
  </si>
  <si>
    <t>N-[2-[3-Chloro-5-(trifluoromethyl)-2-pyridinyl]ethyl]-2-(trifluoromethyl)benzamide</t>
  </si>
  <si>
    <t>N-(2-[1,1'-Bicyclopropyl]-2-ylphenyl)-3-(difluoromethyl)-1-methyl-1H-pyrazole-4-carboxamide</t>
  </si>
  <si>
    <t>Chloramide mixt. with chlorimide</t>
  </si>
  <si>
    <t>Arthur,J.W., and J.G. Eaton</t>
  </si>
  <si>
    <t>Chloramine Toxicity to the Amphipod Gammarus pseudolimnaeus and the Fathead Minnow (Pimephales promelas)</t>
  </si>
  <si>
    <t>J. Fish. Res. Board Can.28(12): 1841-1845</t>
  </si>
  <si>
    <t>N2-[(1R,2S)-2,3-Dihydro-2,6-dimethyl-1H-inden-1-yl]-6-(1-fluoroethyl)-1,3,5-triazine-2,4-diamine</t>
  </si>
  <si>
    <t>Ref. Number</t>
  </si>
  <si>
    <t>Pub. Year</t>
  </si>
  <si>
    <t>Ref. Type</t>
  </si>
  <si>
    <t>Citation</t>
  </si>
  <si>
    <t>Google Scholar</t>
  </si>
  <si>
    <t>3M Co.. Letter from 3M Co to USEPA Re Additional Information on Perfluorooctane Sulfonates &amp; Related Compounds with Studies Attached &amp; Dated 051800. EPA/OTS FYI-0500-1378:7883 p., 2000. ECOREF #179781</t>
  </si>
  <si>
    <t>3M Co.. Information on Perfluorooctane Sulfonates: Post-1975 Studies Pertaining to Environmental Effects, Fate &amp; Transport, and Health Effects, W/Attchmnts &amp; Cvr Ltr Dtd 050400. EPA/OTS:4651 p., 2000. ECOREF #181682</t>
  </si>
  <si>
    <t>3M Co.. Information on Perfluorooctanoic Acid and Supplemental Information on Perfluorooctane Sulfonates and Related Compounds [FC-26 DATA]. EPA/OTS Doc. #FYI-OTS-0500-1378:4297 p., 2000. ECOREF #185686</t>
  </si>
  <si>
    <t>3M Co.. Information on Perfluorooctanoic Acid and Supplemental Information on Perfluorooctane Sulfonates and Related Compounds [FC-143 DATA]. EPA/OTS Doc. #FYI-OTS-0500-1378:4297 p., 2000. ECOREF #185687</t>
  </si>
  <si>
    <t>3M Co.. Information on Perfluorooctanoic Acid and Supplemental Information on Perfluorooctane Sulfonates and Related Compounds [FC-126 DATA]. EPA/OTS Doc. #FYI-OTS-0500-1378:4297 p., 2000. ECOREF #185688</t>
  </si>
  <si>
    <t>3M Co.. Information on Perfluorooctanoic Acid and Supplemental Information on Perfluorooctane Sulfonates and Related Compounds [FC-1015 DATA]. EPA/OTS Doc. #FYI-OTS-0500-1378:4297 p., 2000. ECOREF #185689</t>
  </si>
  <si>
    <t>3M Co.. Information on Perfluorooctanoic Acid and Supplemental Information on Perfluorooctane Sulfonates and Related Compounds [FX-1001 DATA]. EPA/OTS Doc. #FYI-OTS-0500-1378:4297 p., 2000. ECOREF #185692</t>
  </si>
  <si>
    <t>3M Co.. Information on Perfluorooctanoic Acid and Supplemental Information on Perfluorooctane Sulfonates and Related Compounds [FX-1003 DATA]. EPA/OTS Doc. #FYI-OTS-0500-1378:4297 p., 2000. ECOREF #185693</t>
  </si>
  <si>
    <t>ARCO Chemical Co.. Four-Day Static Aquatic Toxicity Studies with Acetone, Ethanol, Isopropanol and Methanol in Fathead Minnows with Cover Letter Dated 021287. EPA/OTS Doc.#86870000096:39 p., 1987. ECOREF #115034</t>
  </si>
  <si>
    <t>Adams,W.J.. The Toxicity and Residue Dynamics of Selenium in Fish and Aquatic Invertebrates. Ph.D. Thesis, Michigan State University, East Lansing, MI:109 p., 1976. ECOREF #19753</t>
  </si>
  <si>
    <t>Adams,W.J., G.R. Biddinger, K.A. Robillard, and J.W. Gorsuch. A Summary of the Acute Toxicity of 14 Phthalate Esters to Representative Aquatic Organisms. Environ. Toxicol. Chem.14(9): 1569-1574, 1995. ECOREF #15040</t>
  </si>
  <si>
    <t>Adelman,I.R., L.L.,Jr. Smith, and G.D. Siesennop. Acute Toxicity of Sodium Chloride, Pentachlorophenol, Guthion, and Hexavalent Chromium to Fathead Minnows (Pimephales promelas) and Goldfish (Carassius auratus). J. Fish. Res. Board Can.33(2): 203-208, 1976. ECOREF #5230</t>
  </si>
  <si>
    <t>Adelman,I.R., L.L.,Jr. Smith, and G.D. Siesennop. Effect of Size or Age of Goldfish and Fathead Minnows on Use of Pentachlorophenol as a Reference Toxicant. Water Res.10(8): 685-687, 1976. ECOREF #5600</t>
  </si>
  <si>
    <t>Adelman,I.R., and L.L.,Jr. Smith. Standard Test Fish Development.  Part I.  Fathead Minnows (Pimephales promelas) and Goldfish (Carassius auratus) as Standard Fish in Bioassays and Their Reaction to Potential Reference Toxicants. EPA-600/3-76-061A, U.S.EPA, Duluth, MN:77 p., 1976. ECOREF #2145</t>
  </si>
  <si>
    <t>Adelman,I.R., and L.L.,Jr. Smith. Standard Test Fish Development Part II. Chronic Toxicity of Guthion to the Fathead Minnow (Pimephales promelas Refinesque). EPA-600/3-76-061B, U.S.EPA, Duluth, MN:22 p., 1976. ECOREF #5300</t>
  </si>
  <si>
    <t>Alexander,H.C., D.C. Dill, L.W. Smith, P.D. Guiney, and P. Dorn. Bisphenol A:  Acute Aquatic Toxicity. Environ. Toxicol. Chem.7(1): 19-26, 1988. ECOREF #494</t>
  </si>
  <si>
    <t>German Dataset</t>
  </si>
  <si>
    <t>Alexander,H.C., F.M. Gersich, and M.A. Mayes. Acute Toxicity of Four Phenoxy Herbicides to Aquatic Organisms. Bull. Environ. Contam. Toxicol.35(3): 314-321, 1985. ECOREF #11504</t>
  </si>
  <si>
    <t>Alexander,H.C., J.A.,Jr. Quick, and E.A. Bartlett. Static Acute Toxicity of Sodium Bromide to Fathead Minnows. Bull. Environ. Contam. Toxicol.27(3): 326-331, 1981. ECOREF #5542</t>
  </si>
  <si>
    <t>Alexander,H.C., W.M. McCarty, and E.A. Bartlett. Toxicity of Perchloroethylene, Trichloroethylene, 1,1,1-Trichloroethane, and Methylene Chloride to Fathead Minnows. Bull. Environ. Contam. Toxicol.20(3): 344-352, 1978. ECOREF #973</t>
  </si>
  <si>
    <t>Allison,D.T., and R.O. Hermanutz. Toxicity of Diazinon to Brook Trout and Fathead Minnows. EPA-600/3-77-060, U.S.EPA, Duluth, MN:69 p., 1977. ECOREF #664</t>
  </si>
  <si>
    <t>Andrew,R.W.. Toxicity Relationships to Copper Forms in Natural Waters. In: R.W.Andrew, P.V.Hodson, and D.E.Konasewich (Eds.), Toxicity to Biota of Metal Forms in Nat.Water, Duluth, MN127:127-144, 1976. ECOREF #3609</t>
  </si>
  <si>
    <t>Arthur,J.W., A.E. Lemke, V.R. Mattson, and B.J. Halligan. Toxicity of Sodium Nitrilotriacetate (NTA) to the Fathead Minnow and an Amphipod in Soft Water. Water Res.8(2): 187-193, 1974. ECOREF #506</t>
  </si>
  <si>
    <t>Arthur,J.W., C.W. West, K.N. Allen, and S.F. Hedtke. Seasonal Toxicity of Ammonia to Five Fish and Nine Invertebrate Species. Bull. Environ. Contam. Toxicol.38(2): 324-331, 1987. ECOREF #12116</t>
  </si>
  <si>
    <t>Arthur,J.W., and J.G. Eaton. Chloramine Toxicity to the Amphipod Gammarus pseudolimnaeus and the Fathead Minnow (Pimephales promelas). J. Fish. Res. Board Can.28(12): 1841-1845, 1971. ECOREF #976</t>
  </si>
  <si>
    <t>Baer,K.N., K. Olivier, and C.N. Pope. Influence of Temperature and Dissolved Oxygen on the Acute Toxicity of Profenofos to Fathead Minnows (Pimephales promelas). Drug Chem. Toxicol.25(3): 231-245, 2002. ECOREF #68287</t>
  </si>
  <si>
    <t>Bailey,H.C., and D.H.W. Liu. Lumbriculus variegatus, a Benthic Oligochaete, as a Bioassay Organism. ASTM Spec. Tech. Publ.:205-215, 1980. ECOREF #6502</t>
  </si>
  <si>
    <t>Bailey,H.C., and R.J. Spanggord. The Relationship Between the Toxicity and Structure of Nitroaromatic Chemicals. ASTM Spec. Tech. Publ.:98-107, 1983. ECOREF #10141</t>
  </si>
  <si>
    <t>Barnhart,E.L., and G.R. Campbell. The Effect of Chlorination on Selected Organic Chemicals. EPA-12020-EXG, U.S.EPA, Washington, D.C.:105 p., 1972. ECOREF #8960</t>
  </si>
  <si>
    <t>Barnidge,D., D. Brooke, G. Elonen, T. Goldenstein, M. Hoglund, M. Kahl, G. Mielke, and A. Puglisi. Toxicity of Data Gap Compounds to Fathead Minnows (Pimephales promelas) and Daphnids (Daphnia magna). U. S. Environmental Protection Agency, Environmental Research Laboratory, Duluth, MN:47 p., 1990. ECOREF #164628</t>
  </si>
  <si>
    <t>Becker,E.. Ableitung von Qualitatszielen zum Schutz Oberirdischer Binnengewasser fur Organozinnverbindungen:  Dibutylzinnverbindungen, Tetrabutylzinn, Tributylzinnverbindungen, Triphenylzinnverbindungen. Umweltbundesamt, Entwurf fur den BLAK QZ, Stand 26.3.:, 1992. ECOREF #56312</t>
  </si>
  <si>
    <t>Bender,M.E.. The Toxicity of the Hydrolysis and Breakdown Products of Malathion to the Fathead Minnow (Pimephales promelas, Rafinesque). Water Res.3(8): 571-582, 1969. ECOREF #901</t>
  </si>
  <si>
    <t>Bennett,W.A., A. Sosa, and T.L. Beitinger. Oxygen Tolerance of Fathead Minnows Previously Exposed to Copper. Bull. Environ. Contam. Toxicol.55(4): 517-524, 1995. ECOREF #14988</t>
  </si>
  <si>
    <t>Benoit,D.A., and G.W. Holcombe. Toxic Effects of Zinc on Fathead Minnows (Pimephales promelas) in Soft Water. J. Fish Biol.13(6): 701-708, 1978. ECOREF #2116</t>
  </si>
  <si>
    <t>Benson,W.H., and W.J. Birge. Heavy Metal Tolerance and Metallothionein Induction in Fathead Minnows:  Results From Field and Laboratory Investigations. Environ. Toxicol. Chem.4(2): 209-217, 1983. ECOREF #10551</t>
  </si>
  <si>
    <t>Bentley,R.E., B.H. Sleight III, and K.J. Macek. Preliminary Evaluation of the Acute Toxicity of Desensitized Primer Compounds and Primer Waste Effluents to Representative Aquatic Organisms. U.S.Army Med.Res.Dev.Command, Washington, D.C.:35 p., 1975. ECOREF #5968</t>
  </si>
  <si>
    <t>Bentley,R.E., G.A. LeBlanc, T.A. Hollister, and B.H. Sleight III. Acute Toxicity of Diisopropylmethyl Phosphonate and Dicyclopentadiene to Aquatic Organisms. Contract No.DAMD-17-75-C-5073, Final Rep., U.S.Army Med.Res.Dev.Command, Washington, DC:98 p., 1976. ECOREF #5965</t>
  </si>
  <si>
    <t>Bentley,R.E., G.A. LeBlanc, T.A. Hollister, and B.H. Sleight III. Acute Toxicity of 1,3,5,7-Tetranitrooctahydro-1,3, 5,7-Tetrazocine (HMX) to Aquatic Organisms. U. S. Army Medical Research and Development Command, Washington, D.C.:23 p., 1977. ECOREF #5966</t>
  </si>
  <si>
    <t>Bentley,R.E., J.W. Dean, S.J. Ells, G.A. LeBlanc, S. Sauter, K.S. Buxton, and B.H. Sleight III. Laboratory Evaluation of the Toxicity of Nitroglycerine to Aquatic Organisms. U. S. Army Medical Research and Development Command, Washington, D.C.:82 p., 1978. ECOREF #5963</t>
  </si>
  <si>
    <t>Bentley,R.E., J.W. Dean, S.J. Ells, T.A. Hollister, G.A. LeBlanc, S. Sauter, and B.H. Sleight. Laboratory Evaluation of the Toxicity of Cyclotrimethylene Trinitramine (RDX) to Aquatic Organisms. U.S.Army Med.Res.Develop.Command, Frederick, MD:86 p., 1977. ECOREF #5962</t>
  </si>
  <si>
    <t>Bentley,R.E., J.W. Dean, T.A. Hollister, G.A. LeBlanc, S. Sauter, B.H. Sleight III, and W.G. Wilson. Laboratory Evaluation of the Toxicity of Elemental Phosphorus (P4) to Aquatic Organisms. U.S.Army Med.Res.Dev.Command, Washington, D.C.:105 p., 1978. ECOREF #5964</t>
  </si>
  <si>
    <t>Bergman,H.L., and A.D. Anderson. Effects of Aqueous Effluents from In Situ Fossil Fuel Processing Technologies on Aquatic Systems. Contract No.EY-77-C-04-3913, University of Wyoming, Laramie, WY:73 p., 1977. ECOREF #59196</t>
  </si>
  <si>
    <t>Beyers,D.W., and C. Sodergren. Evaluation of Interspecific Sensitivity to Selenium Exposure:  Larval Razorback Sucker Versus Flannelmouth Sucker. Final Rep.to Recovery Implementation Prog.Proj.CAP-6 SE-NF, Dep.Fish.and Wildl.Biol., Colorado State Univ., Fort Collins, CO:, 2001. ECOREF #82429</t>
  </si>
  <si>
    <t>Bielmyer,G.K., K.V. Brix, and M. Grosell. Is Cl- Protection Against Silver Toxicity Due to Chemical Speciation?. Aquat. Toxicol.87(2): 81-87, 2008. ECOREF #104888</t>
  </si>
  <si>
    <t>Bills,T.D., G.E. Howe, and L.L. Marking. Effects of Water Temperature, Hardness, and pH on the Toxicity of Benzocaine to Eleven Freshwater Fishes. Invest.Fish Control No.102, Fish Wildl.Serv., Bur.Sport Fish.Wildl., U.S.D.I., Washington, DC:6 p., 1990. ECOREF #182</t>
  </si>
  <si>
    <t>Bills,T.D., L.L. Marking, V.K. Dawson, and G.E. Howe. Effects of Organic Matter and Loading Rates of Fish on the Toxicity of Chloramine-T. Invest.Fish Control No.97, Fish Wildl.Serv., Bur.Sport Fish.Wildl., U.S.D.I., Washington, D.C.:4 p., 1988. ECOREF #3075</t>
  </si>
  <si>
    <t>Bills,T.D., L.L. Marking, V.K. Dawson, and J.J. Rach. Effects of Environmental Factors on the Toxicity of Chloramine-T to Fish. Invest.Fish Control No.96, Fish Wildl.Serv., Bur.Sport Fish.Wildl., U.S.D.I., Washington, D.C.:6 p., 1988. ECOREF #3074</t>
  </si>
  <si>
    <t>BioDynamics Inc.. A Flow-Through Acute Fish Toxicity Test of Naphthalene. EPA/OTS Doc.#86-870000910:26 p., 1987. ECOREF #83918</t>
  </si>
  <si>
    <t>Bionomics Laboratories. Acute Toxicity of RH-893 to Five Species of Freshwater Fishes (Bioassay Report). EPA/OTS Doc.#86-870001866:7 p., 1987. ECOREF #81371</t>
  </si>
  <si>
    <t>Birge,W.J., J.A. Black, A.G. Westerman, T.M. Short, S.B. Taylor, D.M. Bruser, and E.D. Wallingford. Recommendations on Numerical Values for Regulating Iron and Chloride Concentrations for the Purpose of Protecting Warmwater Species of Aquatic Life in the Commonwealth of Kentucky. University of Kentucky, Lexington, KY:73 p., 1985. ECOREF #45826</t>
  </si>
  <si>
    <t>Birge,W.J., J.A. Black, J.F. Hobson, A.G. Westerman, and T.M. Short. Toxicological Studies on Aquatic Contaminants Originating from Coal Production and Utilization:  The Induction of Tolerance to Silver in Laboratory Populations of Fish and the Chronic Toxicity of Nickel to Fish Early Li. Proj.No.G-844-02, Water Resources Research Institute Research Rep.No.151, University of Kentucky, Lexington, KY:36 p., 1984. ECOREF #18858</t>
  </si>
  <si>
    <t>Birge,W.J., J.A. Black, S.T. Ballard, and W.E. McDonnell. Acute Toxicity Testing with Freshwater Fish. EPA Contract No. 68-01-6201. NUS Corporation. Pittsburgh, Pennsylvania:47 p., 1982. ECOREF #45758</t>
  </si>
  <si>
    <t>Birge,W.J., W.H. Benson, and J.A. Black. The Induction of Tolerance to Heavy Metals in Natural and Laboratory Populations of Fish. Res.Rep.No.141, Water Resour.Res.Inst., Univ.of Kentucky, Lexington, KY:26 p., 1983. ECOREF #10237</t>
  </si>
  <si>
    <t>Black,M.C., W. Burton, J.F. McCarthy, M.J. Peterson, and G.R. Southworth. Accumulation of Contaminants by Biota in East Fork Poplar Creek. In: Oak Ridge Y12 Plant, Environ.Sci.Div.Publ.No.3859, Oak Ridge Natl.Lab., Oak Ridge, TN4:109-172, 1993. ECOREF #16467</t>
  </si>
  <si>
    <t>Blaylock,B.G., M.L. Frank, and J.F. McCarthy. Comparative Toxicity of Copper and Acridine to Fish, Daphnia and Algae. Environ. Toxicol. Chem.4(1): 63-71, 1985. ECOREF #10553</t>
  </si>
  <si>
    <t>Bottger,A.. Belastung der Anwohner von Chemisch-Reinigungsanlegen durch Tetrachlorethylen. vortrag:30, 1988. ECOREF #5876</t>
  </si>
  <si>
    <t>Bowen,G.M.R.. Joint Action of Sublethal Copper and Zinc on Locomotory Behaviour of Fathead Minnows. M.S. Thesis, University of Guelph, Ontario, Canada:100 p., 1990. ECOREF #9598</t>
  </si>
  <si>
    <t>Bowmer,C.T., R.N. Hooftman, A.O. Hanstveit, P.W.M. Venderbosch, and N. Van der Hoeven. The Ecotoxicity and the Biodegradability of Lactic Acid, Alkyl Lactate Esters and Lactate Salts. Chemosphere37(7): 1317-1333, 1998. ECOREF #7324</t>
  </si>
  <si>
    <t>Bradbury,S.P., J.R. Coats, and J.M. McKim. Differential Toxicity and Uptake of Two Fenvalerate Formulations in Fathead Minnows (Pimephales promelas). Environ. Toxicol. Chem.4(4): 533-541, 1985. ECOREF #10960</t>
  </si>
  <si>
    <t>Bringolf,R.B., B.A. Morris, C.J. Boese, R.C. Santore, H.E. Allen, and J.S. Meyer. Influence of Dissolved Organic Matter on Acute Toxicity of Zinc to Larval Fathead Minnows (Pimephales promelas). Arch. Environ. Contam. Toxicol.51(3): 438-444, 2006. ECOREF #96586</t>
  </si>
  <si>
    <t>Brix,K.V., J.S. Volosin, W.J. Adams, R.J. Reash, R.C. Carlton, and D.O. McIntyre. Effect of Sulfate Concentration on Acute Toxicity of Selenite and Selenate to Invertebrates and Fish. Final Report TR - 111878 to the Electric Power Research Inst.(EPRI), Palo Alto, CA:47 p., 1998. ECOREF #87256</t>
  </si>
  <si>
    <t>Brix,K.V., J.S. Volosin, W.J. Adams, R.J. Reash, R.G. Carlton, and D.O. McIntyre. Effects of Sulfate on the Acute Toxicity of Selenate to Freshwater Organisms. Environ. Toxicol. Chem.20(5): 1037-1045, 2001. ECOREF #58971</t>
  </si>
  <si>
    <t>Broderius,S., D. Hammermeister, C. Russom, D. Barnidge, D. Brooke, G. Elonen, M. Hoglund, M. Kahl, G. Mielke, and J. Th. Toxicity of Eight Terpenes to Fathead Minnows (Pimephales promelas), Daphnids (Daphnia magna), and Algae (Selanastrum capricornutum).. Manuscript: ASCI Corporation and the U.S.EPA Environmental Research Laboratory-Duluth, MN:57 p., 1990. ECOREF #97161</t>
  </si>
  <si>
    <t>Broderius,S., and M. Kahl. Acute Toxicity of Organic Chemical Mixtures to the Fathead Minnow. Aquat. Toxicol.6:307-322, 1985. ECOREF #14128</t>
  </si>
  <si>
    <t>Broderius,S.J., L.L.,Jr. Smith, and D.T. Lind. Relative Toxicity of Free Cyanide and Dissolved Sulfide Forms to the Fathead Minnow (Pimephales promelas). J. Fish. Res. Board Can.34(12): 2323-2332, 1977. ECOREF #519</t>
  </si>
  <si>
    <t>Broderius,S.J., M.D. Kahl, G.E. Elonen, D.E. Hammermeister, and M.D. Hoglund. A Comparison of the Lethal and Sublethal Toxicity of Organic Chemical Mixtures to the Fathead Minnow (Pimephales promelas). Environ. Toxicol. Chem.24(12): 3117-3127, 2005. ECOREF #86254</t>
  </si>
  <si>
    <t>Broderius,S.J., M.D. Kahl, and M.D. Hoglund. Use of Joint Toxic Response to Define the Primary Mode of Toxic Action for Diverse Industrial Organic Chemicals. Environ. Toxicol. Chem.14(9): 1591-1605, 1995. ECOREF #15031</t>
  </si>
  <si>
    <t>Broderius,S.J., and L.L.,Jr. Smith. Lethal and Sublethal Effects of Binary Mixtures of Cyanide and Hexavalent Chromium, Zinc, or Ammonia to the Fathead Minnow (Pimephales promelas) and Rainbow Trout (Salmo gairdneri). J. Fish. Res. Board Can.36(2): 164-172, 1979. ECOREF #2125</t>
  </si>
  <si>
    <t>Broderius,S.J., and L.L.,Jr. Smith. Relationship Between pH and Acute Toxicity of Free Cyanide and Dissolved Sulfide Forms to the Fathead Minnow. In: R.A.Tubb (Ed.), EPA 600/3-77-085, Recent Advances in Fish Toxicology, U.S.EPA, Corvallis, OR:88-117, 1977. ECOREF #20219</t>
  </si>
  <si>
    <t>Brooke,L.. Report of the Flow-Through and Static Acute Test Comparisons with Fathead Minnows and Acute Tests with an Amphipod and a Cladoceran. Memo to L.Larson, Center for Lake Superior Environmental Studies dated August 31:24 p., 1987. ECOREF #14339</t>
  </si>
  <si>
    <t>Brooke,L.. Results of Freshwater Exposures with the Chemicals 2,4-D and Diazinon to the Larval Leopard Frog (Rana pipiens), Juvenile Fathead Minnows (Pimephales promelas), Larval Midge (Chironomus riparius) and Adult Oligochaete W. February 15th Memo to R.Spehar, U.S.EPA, Duluth, MN:6 p., 1989. ECOREF #61180</t>
  </si>
  <si>
    <t>Brooke,L.T.. Results of Freshwater Exposures with the Chemicals Atrazine, Biphenyl, Butachlor, Carbaryl, Carbazole, Dibenzofuran, 3,3'-Dichlorobenzidine, Dichlorvos, 1,2-Epoxyethylbenzene (Styrene Oxide), Isophorone, Isopropalin, Ox. Center for Lake Superior Environmental Studies, University of Wisconsin, Superior, WI:110 p., 1991. ECOREF #17138</t>
  </si>
  <si>
    <t>Brooke,L.T.. Nonylphenol Toxicity:  Accumulation and Lethality for Two Freshwater Fishes (Fathead Minnow and Bluegill) to Nonylphenol. Rep.to the U.S.EPA for Work Assignment No.1-12 of U.S.EPA Contract No.68-C1-0034, Lake Superior Res.Inst., September 30, Univ.of Wisconsin-Superior, Superior, WI:50 p., 1993. ECOREF #20505</t>
  </si>
  <si>
    <t>Brooke,L.T.. Acute and Chronic Toxicity of Nonylphenol to Ten Species of Aquatic Organisms. Contract No.68-C1-0034, U.S.EPA, Duluth, MN:36 p., 1993. ECOREF #20506</t>
  </si>
  <si>
    <t>Brooke,L.T.. The Effects of Food and Test Solution Age on the Toxicity of Silver to Three Freshwater Organisms. Contract No.68-C1-0034, Work Assignment No.1-10, Environ.Health Lab, Univ.of Wisconsin-Superior, Superior, WI:19 p., 1993. ECOREF #77568</t>
  </si>
  <si>
    <t>Brooke,L.T.. Acute and Chronic Toxicity of Fluoranthene, with and Without Additional Ultraviolet Light, to Twelve Species of Freshwater Organisms. U.S.EPA Contract No.68-C1-0034, U.S.EPA, Duluth, MN:51 p., 1993. ECOREF #151475</t>
  </si>
  <si>
    <t>EPA Fathead Minnow Acute Toxicity Database (MED-Duluth)</t>
  </si>
  <si>
    <t>Brooke,L.T., D.J. Call, D.L. Geiger, and C.E. Northcott. Acute Toxicities of Organic Chemicals to Fathead Minnows (Pimephales promelas), Vol. 1. Center for Lake Superior Environmental Studies, University of Wisconsin-Superior, Superior, WI:414 p., 1984. ECOREF #12448</t>
  </si>
  <si>
    <t>Brooke,L.T., D.J. Call, S.H. Poirier, C.A. Lindberg, and T.P. Markee. Acute Toxicity of Antimony III to Several Species of Freshwater Organisms. Center for Lake Superior Environmental Studies, University of Wisconsin-Superior, Superior, WI:12 p., 1986. ECOREF #61178</t>
  </si>
  <si>
    <t>Brooke,L.T., D.J. Call, S.H. Poirier, T.P. Markee, C.A. Lindberg, D.J. McCauley, and P.G. Simonson. Acute Toxicity and Chronic Effects of bis(Tri-n-Butyltin) Oxide to Several Species of Freshwater Organisms. Center for Lake Superior Environmental Studies, University of Wisconsin, Superior, WI:20 p., 1986. ECOREF #59761</t>
  </si>
  <si>
    <t>Brooke,L.T., D.J. Call, S.L. Harting, C.A. Lindberg, T.P. Markee, D.J. McCauley, and S.H. Poirier. Acute Toxicity of Selenium(IV) and Selenium(VI) to Freshwater Organisms. Center for Lake Superior Environmental Studies, University of Wisconsin-Superior, Superior, WI:2-23, 1985. ECOREF #20295</t>
  </si>
  <si>
    <t>Brungs,W.A.. Toxic Effects on Fish of Two Dispersants Used to Introduce Organic Pesticides into Water. Manuscr., U.S.EPA, ERL-Narragansett, RI:9 p., 1982. ECOREF #4059</t>
  </si>
  <si>
    <t>Brungs,W.A.. Chronic Toxicity of Zinc to the Fathead Minnow, Pimephales promelas Rafinesque. Trans. Am. Fish. Soc.98(2): 272-279, 1969. ECOREF #5077</t>
  </si>
  <si>
    <t>Brungs,W.A., J.R. Geckler, and M. Gast. Acute and Chronic Toxicity of Copper to the Fathead Minnow in a Surface Water of Variable Quality. Water Res.10(1): 37-43, 1976. ECOREF #8320</t>
  </si>
  <si>
    <t>Brungs,W.A., and G.W. Bailey. Influence of Suspended Solids on the Acute Toxicity of Endrin to Fathead Minnows. Proc. 21st Ind. Waste Conf. , Purdue Univ. Eng. Bull 121, Part 150(2): 4-12, 1966. ECOREF #2099</t>
  </si>
  <si>
    <t>Buckler,D.R., A.,Jr. Witt, F.L. Mayer, and J.N. Huckins. Acute and Chronic Effects of Kepone and Mirex on the Fathead Minnow. Trans. Am. Fish. Soc.110(2): 270-280, 1981. ECOREF #2186</t>
  </si>
  <si>
    <t>Buhl,K.J.. The Relative Toxicity of Waterborne Inorganic Contaminants to the Rio Grande Silvery Minnow (Hybognathus amarus) and Fathead Minnow (Pimephales promelas) in a Water Quality Simulating that in the Rio Grande, New Mexico. Final Rep.to U.S.Fish and Wildl.Serv., Study No.2F33-9620003, U.S.Geol.Surv., Columbia Environ.Res.Ctr., Yankton Field Res.Stn., Yankton, SD:75 p., 2002. ECOREF #77828</t>
  </si>
  <si>
    <t>Burton,D.T., S.D. Turley, and G.T. Peters. The Acute and Chronic Toxicity of Hexahydro-1,3,5-Trinitro-1,3,5-Triazine (RDX) to the Fathead Minnow (Pimephales promelas). Chemosphere29(3): 567-579, 1994. ECOREF #17053</t>
  </si>
  <si>
    <t>Burton,D.T., S.D. Turley, and G.T. Peters. Toxicity of Nitroguanidine, Nitroglycerin, Hexahydro-1,3,5-Trinitro-1,3,5-Triazine (RDX), and 2,4,6-Trinitrotoluene (TNT) to Selected Freshwater Aquatic Organisms. Final Rep. April, 1993, WREC-93-B3, U.S. Army Med. Res. and Dev. Command, Ft. Detrick, Frederick, MD:262 p., 1993. ECOREF #17395</t>
  </si>
  <si>
    <t>Bury,N.R., F. Galvez, and C.M. Wood. Effects of Chloride, Calcium, and Dissolved Organic Carbon on Silver Toxicity: Comparison Between Rainbow Trout and Fathead Minnows. Environ. Toxicol. Chem.18(1): 56-62, 1999. ECOREF #19262</t>
  </si>
  <si>
    <t>Cairns,M.A., and A.V. Nebeker. Toxicity of Acenaphthene and Isophorone to Early Stages of Fathead Minnows. Arch. Environ. Contam. Toxicol.11(6): 703-707, 1982. ECOREF #15152</t>
  </si>
  <si>
    <t>Call,D.J., L.T. Brooke, N. Ahmad, and D.D. Vaishnav. Aquatic Pollutant Hazard Assessments and Development of a Hazard Prediction Technology by Quantitative Structure-Activity Relationships. Second Quarterly Rep., U.S.EPA Coop.Agreement No.CR 809234-01-0, Ctr.for Lake Superior Environ.Stud., Univ.of Wisconsin, Superior, WI:74 p., 1981. ECOREF #3690</t>
  </si>
  <si>
    <t>Call,D.J., L.T. Brooke, N. Ahmad, and D.D. Vaishnav. Aquatic Pollutant Hazard Assessments and Development of a Hazard Prediction Technology by Quantitative Structure-Activity Relationships. First Q.Rep., U.S.EPA Coop.Agreement No.CR 809234-01-0, Ctr.for Lake Superior Environ.Stud., Univ.of Wisconsin, Superior, WI:52 p., 1981. ECOREF #3771</t>
  </si>
  <si>
    <t>Call,D.J., L.T. Brooke, N. Ahmad, and J.E. Richter. Toxicity and Metabolism Studies with EPA (Environmental Protection Agency) Priority Pollutants and Related Chemicals in Freshwater Organisms. EPA 600/3-83-095, U.S.EPA, Duluth, MN:120 p., 1983. ECOREF #10579</t>
  </si>
  <si>
    <t>Call,D.J., L.T. Brooke, R.J. Kent, M.L. Knuth, C. Anderson, and C. Moriarity. Toxicity, Bioconcentration, and Metabolism of the Herbicide Propanil (3',4'-Dichloropropionanilide) in Freshwater Fish. Arch. Environ. Contam. Toxicol.12:175-182, 1983. ECOREF #15275</t>
  </si>
  <si>
    <t>Call,D.J., L.T. Brooke, R.J. Kent, M.L. Knuth, S.H. Poirier, J.M. Huot, and A.R. Lima. Bromacil and Diuron Herbicides: Toxicity, Uptake, and Elimination in Freshwater Fish. Arch. Environ. Contam. Toxicol.16(5): 607-613, 1987. ECOREF #12612</t>
  </si>
  <si>
    <t>Call,D.J., L.T. Brooke, R.J. Kent, S.H. Poirier, M.L. Knuth, P.J. Shubat, and E.J. Slick. Toxicity, Uptake, and Elimination of the Herbicides Alachlor and Dinoseb in Freshwater Fish. J. Environ. Qual.13(3): 493-498, 1984. ECOREF #10635</t>
  </si>
  <si>
    <t>Call,D.J., L.T. Brooke, and N. Ahmad. Estimates of "No Effect" Concentrations of Selected Pesticides in Freshwater Organisms. Fourth Quarterly Prog.Rep.to EPA, EPA Coop.Agreement No.CR 806864030, Univ.of Wisconsin, Superior, WI:84 p., 1981. ECOREF #4154</t>
  </si>
  <si>
    <t>Call,D.J., L.T. Brooke, and N. Ahmad. Estimates of "No Effect" Concentrations of Selected Pesticides in Freshwater Organisms. Third Quarterly Prog.Rep.to EPA, EPA Coop.Agreement No.CR 806864030, Univ.of Wisconsin, Superior, WI:37 p., 1980. ECOREF #5940</t>
  </si>
  <si>
    <t>Call,D.J., L.T. Brooke, and N. Ahmad. Toxicity, Bioconcentration, and Metabolism of Selected Chemicals in Aquatic Organisms. Fourth Quarterly Progress Report to EPA, Agreement No.CR 806864020, University of Wisconsin, Superior, WI:80 p., 1980. ECOREF #120926</t>
  </si>
  <si>
    <t>Call,D.J., L.T. Brooke, and N. Ahmad. Estimates of "No Effect" Concentrations of Selected Pesticides in Freshwater Organisms. First Quarterly Progress Report to EPA, University of Wisconsin, Superior, WI:45 p., 1980. ECOREF #120927</t>
  </si>
  <si>
    <t>Call,D.J., S.H. Poirier, C.A. Lindberg, S.L. Harting, T.P. Markee, L.T. Brooke, N. Zarvan, and C.E. Northcott. Toxicity of Selected Uncoupling and Acetylcholinesterase-Inhibiting Pesticides to the Fathead Minnow (Pimephales promelas). In: D.L.Weigmann (Ed.), Pesticides in Terrestrial and Aquatic Environments, Proc.Natl.Res.Conf., Virginia Polytechnic Inst.and State Univ., Blacksburg, VA:317-336, 1989. ECOREF #14097</t>
  </si>
  <si>
    <t>Call,D.J., S.H. Poirier, M.L. Knuth, S.L. Harting, and C.A. Lindberg. Toxicity of 3,4-Dichloroaniline to Fathead Minnows, Pimephales promelas, in Acute and Early Life-Stage Exposures. Bull. Environ. Contam. Toxicol.38(2): 352-358, 1987. ECOREF #12122</t>
  </si>
  <si>
    <t>Cardwell,R.D., D.G. Foreman, T.R. Payne, and D.J. Wilbur. Acute Toxicity of Selected Toxicants to Six Species of Fish. EPA-600/3-76-008, U.S.EPA, Duluth, MN:125 p., 1976. ECOREF #838</t>
  </si>
  <si>
    <t>Cardwell,R.D., D.G. Foreman, T.R. Payne, and D.J. Wilbur. Acute and Chronic Toxicity of Chlordane to Fish and Invertebrates. EPA-600/3-77-019, U.S.EPA, Duluth, MN:126 p., 1977. ECOREF #989</t>
  </si>
  <si>
    <t>Cardwell,R.D., D.G. Foreman, T.R. Payne, and D.J. Wilbur. Acute Toxicity of Selenium Dioxide to Freshwater Fishes. Arch. Environ. Contam. Toxicol.4(2): 129-144, 1976. ECOREF #2149</t>
  </si>
  <si>
    <t>Cardwell,R.D., D.G. Foreman, T.R. Payne, and D.J. Wilbur. Acute and Chronic Toxicity of Four Organic Chemicals to Fish. U.S.EPA, Environ.Res.Lab., Duluth, MN; Contract 68-01-0711 (Unpublished):26 p., 1978. ECOREF #2470</t>
  </si>
  <si>
    <t>Carlson,A.R.. Effects of Long-Term Exposure to Carbaryl (Sevin) on Survival, Growth, and Reproduction of the Fathead Minnow (Pimephales promelas). J. Fish. Res. Board Can.29:583-587, 1972. ECOREF #5073</t>
  </si>
  <si>
    <t>Carlson,A.R.. Effects of Lowered Dissolved Oxygen Concentration on the Toxicity of 1,2,4-Trichlorobenzene to Fathead Minnows. Bull. Environ. Contam. Toxicol.38:667-673, 1987. ECOREF #12123</t>
  </si>
  <si>
    <t>Carlson,A.R., H. Nelson, and D. Hammermeister. Evaluation of Site-Specific Criteria for Copper and Zinc: An Integration of Metal Addition Toxicity, Effluent and Receiving Water Toxicity, and Ecological Survey Data. EPA-600/3-86-026, U.S.EPA, Duluth, MN:68 p., 1986. ECOREF #2124</t>
  </si>
  <si>
    <t>Carlson,A.R., H. Nelson, and D. Hammermeister. Development and Validation of Site-Specific Water Quality Criteria for Copper. Environ. Toxicol. Chem.5:997-1012, 1986. ECOREF #12161</t>
  </si>
  <si>
    <t>Carlson,A.R., and P.A. Kosian. Toxicity of Chlorinated Benzenes to Fathead Minnows (Pimephales promelas). Arch. Environ. Contam. Toxicol.16(2): 129-135, 1987. ECOREF #12124</t>
  </si>
  <si>
    <t>Carlson,A.R., and T.H. Roush. Site-Specific Water Quality Studies of the Straight River, Minnesota: Complex Effluent Toxicity, Zinc Toxicity, and Biological Survey Relationships. EPA/600/3-85/005, U.S.EPA, Duluth, MN:60 p., 1985. ECOREF #3318</t>
  </si>
  <si>
    <t>Carrier,R., and T.L. Beitinger. Reduction in Thermal Tolerance of Notropis lutrensis and Pimephales promelas Exposed to Cadmium. Water Res.22(4): 511-515, 1988. ECOREF #6156</t>
  </si>
  <si>
    <t>Chemical Manufacturers Association. Exhibit III: Acute Toxicity of Fourteen Phthalate Esters to Fathead Minnows (Pimephales promelas). EPA/OTS 40-8326129:44 p., 2000. ECOREF #180491</t>
  </si>
  <si>
    <t>Cleveland,L., D.R. Buckler, F.L. Mayer, and D.R. Branson. Toxicity of Three Preparations of Pentachlorophenol to Fathead Minnows - a Comparative Study. Environ. Toxicol. Chem.1(3): 205-212, 1982. ECOREF #15155</t>
  </si>
  <si>
    <t>Cleveland,L., F.L. Mayer, D.R. Buckler, and D.U. Palawski. Toxicity of Five Alkyl-Aryl Phosphate Ester Chemicals to Four Species of Freshwater Fish. Environ. Toxicol. Chem.5:273-282, 1986. ECOREF #11702</t>
  </si>
  <si>
    <t>Cohen,J.M., L.J. Kamphake, A.E. Lemke, C. Henderson, and R.L. Woodward. Effect of Fish Poisons on Water Supplies.  Part 1.  Removal of Toxic Materials. J. Am. Water Works Assoc.52(12): 1551-1566, 1960. ECOREF #2082</t>
  </si>
  <si>
    <t>Conway,R.A., G.T. Waggy, M.H. Spiegel, and R.L. Berglund. Environmental Fate and Effects of Ethylene Oxide. Environ. Sci. Technol.17(2): 107-112, 1983. ECOREF #10117</t>
  </si>
  <si>
    <t>Cornell,J.S., D.A. Pillard, and M.T. Hernandez. Comparative Measures of the Toxicity of Component Chemicals in Aircraft Deicing Fluid. Environ. Toxicol. Chem.19(6): 1465-1472, 2000. ECOREF #48385</t>
  </si>
  <si>
    <t>Corrales,J., L.A. Kristofco, W.B. Steele, G.N. Saari, J. Kostal, E.S. Williams, M. Mills, E.P. Gallagher, T.J. Kavanagh. Toward the Design of Less Hazardous Chemicals: Exploring Comparative Oxidative Stress in Two Common Animal Models. Chem. Res. Toxicol.30(4): 893-904, 2017. ECOREF #177136</t>
  </si>
  <si>
    <t>Corsi,S.R., S.W. Geis, G. Bowman, G.G. Failey, and T.D. Rutter. Aquatic Toxicity of Airfield-Pavement Deicer Materials and Implications for Airport Runoff. Environ. Sci. Technol.43(1): 40-46, 2009. ECOREF #115482</t>
  </si>
  <si>
    <t>Curtis,M.W., C.M. Curran, and C.H. Ward. Aquatic Toxicity Testing As Fundament for a Spill Prevention Program. In: Proc.1980 Nat.Conf.Control of Hazardous Material Spills, Louisville, KY:284-287, 1981. ECOREF #2966</t>
  </si>
  <si>
    <t>Curtis,M.W., T.L. Copeland, and C.H. Ward. Acute Toxicity of 12 Industrial Chemicals to Freshwater and Saltwater Organisms. Water Res.13(2): 137-141, 1979. ECOREF #875</t>
  </si>
  <si>
    <t>Curtis,M.W., T.L. Copeland, and C.H. Ward. Aquatic Toxicity of Substances Proposed for Spill Prevention Regulation. In: Proc. Natl. Conf. Control of Hazardous Material Spills, Miami Beach, FL:99-103, 1978. ECOREF #5735</t>
  </si>
  <si>
    <t>Curtis,M.W., and C.H. Ward. Aquatic Toxicity of Forty Industrial Chemicals: Testing in Support of Hazardous Substance Spill Prevention Regulation. J. Hydrol.51:359-367, 1981. ECOREF #2965</t>
  </si>
  <si>
    <t>Cushman,J.R., G.A. Rausina, G. Cruzan, J. Gilbert, E. Williams, M.C. Harrass, J.V. Sousa, A.E. Putt, N.A. Garvey, J.P. . Ecotoxicity Hazard Assessment of Styrene. Ecotoxicol. Environ. Saf.37:173-180, 1997. ECOREF #18326</t>
  </si>
  <si>
    <t>Cytec Industries. Tetrabromobisphenol A: Report of Analytical Results - CAM Bioassay Screen in Pimephales promelas and Fathead Minnows with Cover Letter Dated 122292. EPA/OTS 86-930000091:5 p., 1992. ECOREF #180440</t>
  </si>
  <si>
    <t>De Foe,D.L.. Arsenic (V) Test Results. U.S.EPA, Duluth, MN (Memo to R.L.Spehar, U.S.EPA, Duluth, MN):9 p., 1982. ECOREF #3687</t>
  </si>
  <si>
    <t>De Perre,C., K.W.J. Williard, J.E. Schoonover, B.G. Young, T.M. Murphy, and M.J. Lydy. Assessing the Fate and Effects of an Insecticidal Formulation. Environ. Toxicol. Chem.34(1): 197-207, 2015. ECOREF #169751</t>
  </si>
  <si>
    <t>De Perre,C., T.M. Murphy, and M.J. Lydy. Fate and Effects of Clothianidin in Fields Using Conservation Practices. Environ. Toxicol. Chem.34(2): 258-265, 2015. ECOREF #173368</t>
  </si>
  <si>
    <t>DeFoe,D.L., G.W. Holcombe, D.E. Hammermeister, and K.E. Biesinger. Solubility and Toxicity of Eight Phthalate Esters to Four Aquatic Organisms. Environ. Toxicol. Chem.9(5): 623-636, 1990. ECOREF #180793</t>
  </si>
  <si>
    <t>DeGraeve,G.M., D.L. Geiger, J.S. Meyer, and H.L. Bergman. Acute and Embryo-Larval Toxicity of Phenolic Compounds to Aquatic Biota. Arch. Environ. Contam. Toxicol.9(5): 557-568, 1980. ECOREF #569</t>
  </si>
  <si>
    <t>DeGraeve,G.M., R.G. Elder, D.C. Woods, and H.L. Bergman. Effects of Naphthalene and Benzene on Fathead Minnows and Rainbow Trout. Arch. Environ. Contam. Toxicol.11(4): 487-490, 1982. ECOREF #17889</t>
  </si>
  <si>
    <t>DeGraeve,G.M., R.L. Overcast, and H.L. Bergman. Toxicity of Underground Coal Gasification Condenser Water and Selected Constituents to Aquatic Biota. Arch. Environ. Contam. Toxicol.9(5): 543-555, 1980. ECOREF #492</t>
  </si>
  <si>
    <t>DeGraeve,G.M., W.D. Palmer, E.L. Moore, J.J. Coyle, and P.L. Markham. The Effect of Temperature on the Acute and Chronic Toxicity of Un-ionized Ammonia to Fathead Minnows and Channel Catfish. Final Rep.to U.S.EPA by Battelle, Columbus, OH:39 p., 1987. ECOREF #88468</t>
  </si>
  <si>
    <t>Dennis,W.H.,Jr., E.P. Meier, A.B. Rosencrance, W.F. Randall, M.T. Reagan, and D.H. Rosenblatt. Chemical Degradation of Military Standard Formulations of Organophosphorus and Carbamate Pesticides.  II.  Degradation of Diazinon by Sodium Hypochlorite. U.S.Army Med.Bioeng.Res.Dev.Lab., Tech.Rep.No.7904, Fort Detrick, MD:40 p., 1979. ECOREF #5894</t>
  </si>
  <si>
    <t>Dennis,W.H.J., E.P. Meier, W.F. Randall, A.B. Rosencrance, and D.H. Rosenblatt. Degradation of Diazinon by Sodium Hypochlorite. Chemistry and Aquatic Toxicity. Environ. Sci. Technol.13(5): 594-598, 1979. ECOREF #866</t>
  </si>
  <si>
    <t>Denton,D.L., C.E. Wheelock, S.A. Murray, L.A. Deanovic, B.D. Hammock, and D.E. Hinton. Joint Acute Toxicity of Esfenvalerate and Diazinon to Larval Fathead Minnows (Pimephales promelas). Environ. Toxicol. Chem.22(2): 336-341, 2003. ECOREF #68197</t>
  </si>
  <si>
    <t>Devlin,E.W.. Developmental Studies on the Fathead Minnow (Pimephales promelas Raf.): I. The Prehatching Development of the Fathead Minnow.  II.  The Acute Effects of Toluene on Three Age Groups of Fathead Minnows.  III.  The Effect . Ph.D. Thesis, North Dakota State University, Fargo, ND:138 p., 1982. ECOREF #12405</t>
  </si>
  <si>
    <t>Devlin,E.W.. Acute Toxicity, Uptake and Histopathology of Aqueous Methyl Mercury to Fathead Minnow Embryos. Ecotoxicology15(1): 97-110, 2006. ECOREF #97384</t>
  </si>
  <si>
    <t>Devlin,E.W., J.D. Brammer, and R.L. Puyear. Acute Toxicity of Toluene to Three Age Groups of Fathead Minnows (Pimephales promelas). Bull. Environ. Contam. Toxicol.29(1): 12-17, 1982. ECOREF #15560</t>
  </si>
  <si>
    <t>Diamond,J.M., D.G. Mackler, W.J. Rasnake, and D. Gruber. Derivation of Site-Specific Ammonia Criteria for an Effluent-Dominated Headwater Stream. Environ. Toxicol. Chem.12:649-658, 1993. ECOREF #6510</t>
  </si>
  <si>
    <t>Diamond,S.A.. Characterization of Acute and Chronic Toxicity of Fluoranthene and the Potential for Acquisition Enhanced Tolerance in Fathead Minnows (Pimephales promelas). Ph.D.Thesis, Miami University, Oxford, OH:151 p., 1995. ECOREF #19043</t>
  </si>
  <si>
    <t>Dill,D.C., M.A. Mayes, C.G. Mendoza, G.U. Boggs, and J.A. Emmitte. Comparison of the Toxicities of Biphenyl, Monochlorobiphenyl, and 2,2',4,4'-Tetrachlorobiphenyl to Fish and Daphnids. ASTM Spec. Tech. Publ.:245-256, 1982. ECOREF #10120</t>
  </si>
  <si>
    <t>Dill,D.C., P.G. Murphy, and M.A. Mayes. Toxicity of Methylene Chloride to Life Stages of the Fathead Minnow, Pimephales promelas Rafinesque. Bull. Environ. Contam. Toxicol.39(5): 869-876, 1987. ECOREF #12567</t>
  </si>
  <si>
    <t>Dill,D.C., W.M. McCarty, H.C. Alexander, and E.A. Bartlett. Toxicity of 1,1-Dichloroethylene (Vinylidene Chloride) to Aquatic Organisms. EPA-600/3-80-057, U.S.EPA, Duluth, MN:17 p., 1980. ECOREF #5741</t>
  </si>
  <si>
    <t>Dionne,E.. Chronic Toxicity to the Fathead Minnow (Pimephales promelas) During a Full Life-Cycle Exposure. Lab.Study #92-7-4324,CIBA-GEIGY Corp., Greensboro, NC:439 p., 1992. ECOREF #78794</t>
  </si>
  <si>
    <t>Dorn,P.B., J.H.,Jr. Rodgers, K.M. Jop, J.C. Raia, and K.L. Dickson. Hexavalent Chromium as a Reference Toxicant in Effluent Toxicity Tests. Environ. Toxicol. Chem.6(6): 435-444, 1987. ECOREF #12660</t>
  </si>
  <si>
    <t>Dorn,P.B., J.P. Salanitro, S.H. Evans, and L. Kravetz. Assessing the Aquatic Hazard of Some Branched and Linear Nonionic Surfactants by Biodegradation and Toxicity. Environ. Toxicol. Chem.12(10): 1751-1762, 1993. ECOREF #20415</t>
  </si>
  <si>
    <t>Doudoroff,P.. Some Experiments on the Toxicity of Complex Cyanide to Fish. Sewage Ind. Wastes28(8): 1020-1040, 1956. ECOREF #2152</t>
  </si>
  <si>
    <t>Dow Chem Co.. Summaries of Environmental Data on Phenol, 1,4-Dioxane and Acrylonitrile with Attached Reports and Cover Letter Dated 101389. EPA/OTS Doc. #FYI-OTS-1089-0719:1071 p., 1989. ECOREF #177257</t>
  </si>
  <si>
    <t>Dow Chemical Co.. Environmental Behavior of Aqueous Acrylamide: Biodegradability and Fish Toxicity. Dow Chemical Co., Tech.Rep.Form No.192-476-76, Midland, MI:36-, 1976. ECOREF #6925</t>
  </si>
  <si>
    <t>Dow Chemical Co.. A Study to Assess the Influence of Age on the Response of Fathead Minnows in Static Acute Toxicity Tests with Cover Letter. EPA/OTS 878221113:31 p., 1982. ECOREF #91316</t>
  </si>
  <si>
    <t>Dow Chemical Co.. Static Acute Fish Toxicities Comparison. EPA/OTS Doc.#878213738:25 p., 1983. ECOREF #96222</t>
  </si>
  <si>
    <t>Dow Chemical Co.. Initial Submission:  2-(Decylthio)Ethanamine Hydrochloride:  Embryo-Larval Toxicity Test w Fathead Minnow, Pimephales promelas Rafinesque (Final Report) &amp; Cover Letter Dated 041092. EPA/OTS Doc.#88-920001947:28 p., 1985. ECOREF #107093</t>
  </si>
  <si>
    <t>Dow Chemical Co.. Study to Assess the Influence of Age on the Response of Fathead Minnows in Static Acute Toxicity Tests. EPA/OTS Doc.#86-870002091:32 p., 1987. ECOREF #163462</t>
  </si>
  <si>
    <t>Dow Chemical Co.. Acute Fish Toxicity of Five Chlorinated Solvents. EPA/OTS 86-870002073:22 p., 1976. ECOREF #177338</t>
  </si>
  <si>
    <t>Draper III,A.C., and W.S. Brewer. Measurement of the Aquatic Toxicity of Volatile Nitrosamines. J. Toxicol. Environ. Health5:985-993, 1979. ECOREF #479</t>
  </si>
  <si>
    <t>Drendel,G.H.. The Toxicity of Zinc to the Fathead Minnow in Soft, Hard, and Very Hard Waters. M.S.Thesis, Colorado State University, Fort Collins, CO:85 p., 1981. ECOREF #82108</t>
  </si>
  <si>
    <t>Drottar,K.R., and H.O. Krueger. PFOS: A 96-Hour Static Acute Toxicity Test with the Fathead Minnow (Pimephales promelas). Project 454A-102, Wildlife International Ltd., Easton, MD:58 p., 2000. ECOREF #180423</t>
  </si>
  <si>
    <t>Dwyer,F.J., F.L. Mayer, L.C. Sappington, D.R. Buckler, C.M. Bridges, I.E. Greer, D.K. Hardesty, C.E. Henke, C.G. Ingers. Assessing Contaminant Sensitivity of Endangered and Threatened Aquatic Species: Part I. Acute Toxicity of Five Chemicals. Arch. Environ. Contam. Toxicol.48(2): 143-154, 2005. ECOREF #81380</t>
  </si>
  <si>
    <t>Dwyer,F.J., L.C. Sappington, D.R. Buckler, and S.B. Jones. Use of Surrogate Species in Assessing Contaminant Risk to Endangered and Threatened Fishes. EPA/600/R-96/029, U.S.EPA, Washington, DC:78 p., 1995. ECOREF #73668</t>
  </si>
  <si>
    <t>Dyer,S.D., G.L. Brooks, K.L. Dickson, B.M. Sanders, and E.G. Zimmerman. Synthesis and Accumulation of Stress Proteins in Tissues of Arsenite-Exposed Fathead Minnows (Pimephales promelas). Environ. Toxicol. Chem.12:913-924, 1993. ECOREF #7266</t>
  </si>
  <si>
    <t>Dyer,S.D., K.L. Dickson, and E.G. Zimmerman. A Laboratory Evaluation of the Use of Stress Proteins in Fish to Detect Changes in Water Quality. ASTM Spec. Tech. Publ.:247-261, 1993. ECOREF #45073</t>
  </si>
  <si>
    <t>E.G. and G. Bionomics. The Acute Toxicity of Various Silver Compounds to the Fathead Minnow (Pimephales promelas). EG&amp;G Bionomics, Rep.#BW-79-12-576, Natl.Assoc.Photo.Manufacturers, Inc., Harrison, NY:, 1979. ECOREF #14379</t>
  </si>
  <si>
    <t>E.G. and G. Bionomics. Acute Toxicity of Hexachlorocyclopentadiene to Bluegill (Lepomis macrochirus), Channel Catfish (Ictalurus punctatus), Fathead Minnow (Pimephales promelas) and the Water Flea (Daphnia magna). Toxicity Test Rep.Submitted to Velsicol Chem.Corp., Chicago, IL:15 p., 1977. ECOREF #17136</t>
  </si>
  <si>
    <t>E.I. Du Pont De Nemours. 96 Hour LC50 to Fathead Minnows. EPA/OTS 86-870001016:4 p., 1977. ECOREF #177359</t>
  </si>
  <si>
    <t>E.I. Du Pont De Nemours. 96-Hour LC50 to Fathead Minnows. EPA/OTS 87-8220479:4 p., 1982. ECOREF #180478</t>
  </si>
  <si>
    <t>EA Engineering. Proposed Modified Effluent Limitations for Ammonia: Application for a 301 (g) Demonstration for the Sparrows Point Plant. E.A.Rep.BET54E, Prepared for Bethlehem Steel Corp., Sparrows Point, MD:243 p., 1985. ECOREF #60011</t>
  </si>
  <si>
    <t>EA Engineering Science and Technology. Results of Acute and Chronic Toxicity Testing with Sodium Perchlorate. Report 2900, EA Engineering, Science, and Technology, Sparks, MD:156 p., 1998. ECOREF #165478</t>
  </si>
  <si>
    <t>EPA/OTS. Technical and Toxicological Information on Various Materials from the FMC Corp. EPA/OTS 40-7942486:370 p., 2000. ECOREF #179719</t>
  </si>
  <si>
    <t>Eastman Kodak Co.. Letter Submitting Three Acute Aquatic Studies and One Ready Biodegradability Study as Required by the Testing Consent Order. EPA/OTS Doc. #40-9012050:392 p., 1990. ECOREF #151657</t>
  </si>
  <si>
    <t>Eaton,J.G.. Chronic Malathion Toxicity to the Bluegill (Lepomis macrochirus Rafinesque). Water Res.4(10): 673-684, 1970. ECOREF #640</t>
  </si>
  <si>
    <t>Elphick,J.R.F., K.D. Bergh, and H.C. Bailey. Chronic Toxicity of Chloride to Freshwater Species:  Effects of Hardness and Implications for Water Quality Guidelines. Environ. Toxicol. Chem.30(1): 239-246, 2011. ECOREF #158449</t>
  </si>
  <si>
    <t>Erickson,R.J.. Evaluation of a Model for the Prediction of the Effect of Fluctuating Concentrations on the Lethality of Copper to Fathead Minnows. Environmental Research Laboratory, U.S. Environmental Protection Agency, Duluth, MN:125 p., 1985. ECOREF #152780</t>
  </si>
  <si>
    <t>Erickson,R.J., C.F. Kleiner, J.T. Fiandt, and T.L. Highland. Effect of Acclimation Period on the Relationship of Acute Copper Toxicity to Water Hardness for Fathead Minnows. Environ. Toxicol. Chem.16(4): 813-815, 1997. ECOREF #17871</t>
  </si>
  <si>
    <t>Erickson,R.J., D.A. Benoit, V.R. Mattson, H.P.,Jr. Nelson, and E.N. Leonard. The Effects of Water Chemistry on the Toxicity of Copper to Fathead Minnows. Environ. Toxicol. Chem.15(2): 181-193, 1996. ECOREF #16342</t>
  </si>
  <si>
    <t>Erickson,R.J., D.A. Benoit, and V.R. Mattson. A Prototype Toxicity Factors Model for Site-Specific Copper Water Quality Criteria. U.S.EPA, Duluth, MN:36 p., 1996. ECOREF #76238</t>
  </si>
  <si>
    <t>Erickson,R.J., L.T. Brooke, M.D. Kahl, F.V. Venter, S.L. Harting, T.P. Markee, and R.L. Spehar. Effects of Laboratory Test Conditions on the Toxicity of Silver to Aquatic Organisms. Environ. Toxicol. Chem.17(4): 572-578, 1998. ECOREF #18938</t>
  </si>
  <si>
    <t>Erten-Unal,M., B.G. Wixson, N. Gale, and J.L. Pitt. Evaluation of Toxicity, Bioavailability and Speciation of Lead, Zinc and Cadmium in Mine/Mill Wastewaters. Chem. Spec. Bioavail.10(2): 37-46, 1998. ECOREF #76100</t>
  </si>
  <si>
    <t>Ewell,W.S., J.W. Gorsuch, R.O. Kringle, K.A. Robillard, and R.C. Spiegel. Simultaneous Evaluation of the Acute Effects of Chemicals on Seven Aquatic Species. Environ. Toxicol. Chem.5(9): 831-840, 1986. ECOREF #11951</t>
  </si>
  <si>
    <t>Fairchild,J.F., A.L. Allert, L.C. Sappington, and B. Waddell. Chronic Toxicity of Un-Ionized Ammonia to Early Life-Stages of Endangered Colorado Pikeminnow (Ptychocheilus lucious) and Razorback Sucker (Xyrauchen texanus) Compared to the Surrogate Fathead Minnow (Pimephales promela. Arch. Environ. Contam. Toxicol.49(3): 378-384, 2005. ECOREF #87170</t>
  </si>
  <si>
    <t>Fairchild,J.F., F.J. Dwyer, and T.W. LaPoint. Evaluation of a Laboratory-Generated NOEC for Linear Alkylbenzene Sulfonate in Outdoor Experimental Streams. Environ. Toxicol. Chem.12(10): 1763-1775, 1993. ECOREF #9311</t>
  </si>
  <si>
    <t>Farrell,A.P., C.J. Kennedy, A. Wood, B.D. Johnston, and W.R. Bennett. Acute Toxicity of a Didecyldimethylammonium Chloride-Based Wood Preservative, Bardac 2280, to Aquatic Species. Environ. Toxicol. Chem.17(8): 1552-1557, 1998. ECOREF #18386</t>
  </si>
  <si>
    <t>Felder,J.D., W.J. Adams, and V.W. Saeger. Assessment of the Safety of Dioctyl Adipate in Freshwater Environments. Environ. Toxicol. Chem.5(8): 777-784, 1986. ECOREF #12260</t>
  </si>
  <si>
    <t>Fieser,A.H.. Toxicity of Fluorides to Aquatic Organisms: Modeling for Water Hardness and Temperature. Ph.D Thesis, University of Pittsburgh:179 p., 1986. ECOREF #12734</t>
  </si>
  <si>
    <t>Finger,S.E., E.F. Little, M.G. Henry, J.F. Fairchild, and T.P. Boyle. Comparison of Laboratory and Field Assessment of Fluorene - Part 1: Effects of Fluorene on the Survival, Growth, Reproduction, and Behavior of Aquatic Organisms in Laboratory Tests. ASTM Spec. Tech. Publ.:120-133, 1985. ECOREF #9512</t>
  </si>
  <si>
    <t>Fisher,D.J., D.T. Burton, and R.L. Paulson. Comparative Acute Toxicity of Diethyleneglycol Dinitrate to Freshwater Aquatic Organisms. Environ. Toxicol. Chem.8(6): 545-550, 1989. ECOREF #734</t>
  </si>
  <si>
    <t>Folmar,L.C., H.O. Sanders, and A.M. Julin. Toxicity of the Herbicide Glyphosate and Several of Its Formulations to Fish and Aquatic Invertebrates. Arch. Environ. Contam. Toxicol.8(3): 269-278, 1979. ECOREF #5752</t>
  </si>
  <si>
    <t>Forsythe II,B.L.. Silver in a Freshwater Ecosystem:  Acute Toxicity and Trophic Transfer. Ph.D. Thesis, Clemson University, Clemson, SC:149 p., 1996. ECOREF #83754</t>
  </si>
  <si>
    <t>Gaikowski,M.P., S.J. Hamilton, K.J. Buhl, S.F. McDonald, and C.H. Summers. Acute Toxicity of Firefighting Chemical Formulations to Four Life Stages of Fathead Minnow. Ecotoxicol. Environ. Saf.34(3): 252-263, 1996. ECOREF #17382</t>
  </si>
  <si>
    <t>Gale,N.L., B.G. Wixson, and M. Erten. An Evaluation of the Acute Toxicity of Lead, Zinc, and Cadmium in Missouri Ozark Groundwater. Trace Subst. Environ. Health25:169-183, 1992. ECOREF #9180</t>
  </si>
  <si>
    <t>Geckler,J.R., W.B. Horning, T.M. Neiheisel, Q.H. Pickering, E.L. Robinson, and C.E. Stephan. Validity of Laboratory Tests for Predicting Copper Toxicity in Streams. EPA-600/3-76-116, U.S.EPA, Duluth, MN:208 p., 1976. ECOREF #2071</t>
  </si>
  <si>
    <t>Geiger,D.L., C.E. Northcott, D.J. Call, and L.T. Brooke. Acute Toxicities of Organic Chemicals to Fathead Minnows (Pimephales promelas), Volume II. Center for Lake Superior Environmental Studies, University of Wisconsin, Superior, WI:326 p., 1985. ECOREF #12447</t>
  </si>
  <si>
    <t>Geiger,D.L., D.J. Call, and L.T. Brooke. Acute Toxicities of Organic Chemicals to Fathead Minnows (Pimephales promelas) Volume IV. Center for Lake Superior Environmental Studies, University of Wisconsin, Superior, WI4:355 p., 1988. ECOREF #12859</t>
  </si>
  <si>
    <t>Geiger,D.L., L.T. Brooke, and D.J. Call. Acute Toxicities of Organic Chemicals to Fathead Minnows (Pimephales promelas), Volume V. Center for Lake Superior Environmental Studies, University of Wisconsin, Superior, WI:332 p., 1990. ECOREF #3217</t>
  </si>
  <si>
    <t>Geiger,D.L., S.H. Poirier, L.T. Brooke, and D.J. Call. Acute Toxicities of Organic Chemicals to Fathead Minnows (Pimephales promelas) Volume III. Center for Lake Superior Environmental Studies, University of Wisconsin, Superior, WI:328 p., 1986. ECOREF #12858</t>
  </si>
  <si>
    <t>Gendusa,T.C., T.L. Beitinger, and J.H. Rodgers. Toxicity of Hexavalent Chromium from Aqueous and Sediment Sources to Pimephales promelas and Ictalurus punctatus. Bull. Environ. Contam. Toxicol.50(1): 144-151, 1993. ECOREF #9390</t>
  </si>
  <si>
    <t>Gersich,F.M., and M.A. Mayes. Acute Toxicity Tests with Daphnia magna Straus and Pimephales promelas Rafinesque in Support of National Pollutant Discharge Elimination Permit. Water Res.20(7): 939-941, 1986. ECOREF #11961</t>
  </si>
  <si>
    <t>Gilderhus,P.A.. Effects of an Aquatic Plant and Suspended Clay on the Activity of Fish Toxicants. N. Am. J. Fish. Manag.2:301-306, 1982. ECOREF #15277</t>
  </si>
  <si>
    <t>Gledhill,W.E., R.G. Kaley, W.J. Adams, O. Hicks, P.R. Michael, V.W. Saeger, and G.A. LeBlanc. An Environmental Safety Assessment of Butyl Benzyl Phthalate. Environ. Sci. Technol.14(3): 301-305, 1980. ECOREF #15239</t>
  </si>
  <si>
    <t>Goettl,J.P.J., and P.H. Davies. Water Pollution Studies. Job Progress Report, Federal Aid Project F-33-R-13, DNR, Boulder, CO:46-, 1978. ECOREF #7341</t>
  </si>
  <si>
    <t>Goode,J.W., G. Rausina, M.L. Keplinger, and J.C. Calandra. Acute Static and Subacute Dynamic Toxicity Studies Conducted with Free and Combined Cyanide in Rainbow Trout and Fathead Minnows. Toxicol. Appl. Pharmacol.37(1): 118-, 1976. ECOREF #8353</t>
  </si>
  <si>
    <t>Goulet,R.R., P.A. Thompson, K.C. Serben, and C.V. Eickhoff. Impact of Environmentally Based Chemical Hardness on Uranium Speciation and Toxicity in Six Aquatic Species. Environ. Toxicol. Chem.34(3): 562-574, 2015. ECOREF #175095</t>
  </si>
  <si>
    <t>Graham,R.V.. A Comparison of the Environmental Cycling and Toxicity of Selenite and Selenomethionine. Ph.D.Thesis, University of Tennessee, Knoxville, TN:216 p., 1992. ECOREF #174085</t>
  </si>
  <si>
    <t>Great Lakes Chemical Corp.. Acute Toxicity of Tetrabromobisphenol A to Fathead Minnow (Pimephales promelas) Under Flow-Through Conditions with Attachments and Cover Letter Dated 111788. EPA/OTS 40-8898095:85 p., 2000. ECOREF #180457</t>
  </si>
  <si>
    <t>Greene,M.W., and R.M. Kocan. Toxicological Mechanisms of a Multicomponent Agricultural Seed Protectant in the Rainbow Trout (Oncorhynchus mykiss) and Fathead Minnow (Pimephales promelas). Can. J. Fish. Aquat. Sci.54:1387-1390, 1997. ECOREF #18390</t>
  </si>
  <si>
    <t>Hall,S., T. Bradley, J.T. Moore, T. Kuykindall, and L. Minella. Acute and Chronic Toxicity of Nano-Scale TiO2 Particles to Freshwater Fish, Cladocerans, and Green Algae, and Effects of Organic and Inorganic Substrate on TiO2 Toxicity. Nanotoxicology3(2): 91-97, 2009. ECOREF #120113</t>
  </si>
  <si>
    <t>Hall,W.S., K.L. Dickson, F.Y. Saleh, J.H.,Jr. Rodgers, D. Wilcox, and A. Entazami. Effects of Suspended Solids on the Acute Toxicity of Zinc to Daphnia magna and Pimephales promelas. Water Resour. Bull.22(6): 913-920, 1986. ECOREF #12267</t>
  </si>
  <si>
    <t>Hall,W.S., R.L. Paulson, L.W.,Jr. Hall, and D.T. Burton. Acute Toxicity of Cadmium and Sodium Pentachlorophenate to Daphnids and Fish. Bull. Environ. Contam. Toxicol.37(2): 308-316, 1986. ECOREF #11956</t>
  </si>
  <si>
    <t>Halter,M.T., W.J. Adams, and H.E. Johnson. Selenium Toxicity to Daphnia magna, Hyallela azteca, and the Fathead Minnow in Hard Water. Bull. Environ. Contam. Toxicol.24(1): 102-107, 1980. ECOREF #486</t>
  </si>
  <si>
    <t>Hamelink,J.L., D.R. Buckler, F.L. Mayer, D.U. Palawski, and H.O. Sanders. Toxicity of Fluridone to Aquatic Invertebrates and Fish. Environ. Toxicol. Chem.5(1): 87-94, 1986. ECOREF #12170</t>
  </si>
  <si>
    <t>Hammermeister,D., C. Northcott, L. Brooke, and D. Call. Comparison of Copper, Lead and Zinc Toxicity to Four Animal Species in Laboratory and St. Louis River Water. Center for Lake Superior Environmental Studies, University of Wisconsin, Superior, WI:19 p., 1982. ECOREF #121067</t>
  </si>
  <si>
    <t>Heath,S., W.A. Bennett, J. Kennedy, and T.L. Beitinger. Heat and Cold Tolerance of the Fathead Minnow, Pimephales promelas, Exposed to the Synthetic Pyrethroid Cyfluthrin. Can. J. Fish. Aquat. Sci.51(2): 437-440, 1994. ECOREF #81341</t>
  </si>
  <si>
    <t>Hedtke,S.F., C.W. West, K.N. Allen, T.J. Norberg-King, and D.I. Mount. Toxicity of Pentachlorophenol to Aquatic Organisms Under Naturally Varying and Controlled Environmental Conditions. Environ. Toxicol. Chem.5(6): 531-542, 1986. ECOREF #11958</t>
  </si>
  <si>
    <t>Henderson,C.. Bioassay Investigations for International Joint Commmission. Robert A.Taft Sanitary Engineering Center, U. S. Department of Health, Education and Welfare, Cincinnati, OH:17 p., 1956. ECOREF #17135</t>
  </si>
  <si>
    <t>Henderson,C., Q.H. Pickering, and A.E. Lemke. The Effect of Some Organic Cyanides (Nitriles) on Fish. Proceedings of the 15th Industrial Waste Conference, Purdue University65(2): 120-130, 1961. ECOREF #923</t>
  </si>
  <si>
    <t>Henderson,C., Q.H. Pickering, and C.M. Tarzwell. Relative Toxicity of Ten Chlorinated Hydrocarbon Insecticides to Four Species of Fish. Trans. Am. Fish. Soc.88(1): 23-32, 1959. ECOREF #878</t>
  </si>
  <si>
    <t>Henderson,C., Q.H. Pickering, and C.M. Tarzwell. The Toxicity of Organic Phosphorus and Chlorinated Hydrocarbon Insecticides to Fish. In: C.M.Tarzwell (Ed.), Biological Problems in Water Pollution, Trans.2nd Seminar, April 20-24,1959, Tech.Rep.W60-3, U.S.Public Health Service, R.A.Taft Sanitary Engineering Center, Cincinnati, OH:76-88, 1960. ECOREF #936</t>
  </si>
  <si>
    <t>Henderson,C., and Q.H. Pickering. Toxicity of Organic Phosphorus Insecticides to Fish. Trans. Am. Fish. Soc.87:39-51, 1958. ECOREF #2155</t>
  </si>
  <si>
    <t>Henry,C.J.. Effects of Rodeo Herbicide on Aquatic Invertebrates and Fathead Minnows. M.S.Thesis, South Dakota State University, Brookings, SD:63 p., 1992. ECOREF #8784</t>
  </si>
  <si>
    <t>Hermanutz,R.O., L.H. Mueller, and K.D. Kempfert. Captan Toxicity to Fathead Minnows (Pimephales promelas), Bluegills (Lepomis macrochirus), and Brook Trout (Salvelinus fontinalis). J. Fish. Res. Board Can.30(12): 1811-1817, 1973. ECOREF #945</t>
  </si>
  <si>
    <t>Ho,T.F.L., and J.R. Bolton. Toxicity Changes During the UV Treatment of Pentachlorophenol in Dilute Aqueous Solution. Water Res.32(2): 489-497, 1998. ECOREF #18647</t>
  </si>
  <si>
    <t>Hobson,J.F.. Acclimation-Induced Changes in Toxicity and Induction of Metallothionein-Like Proteins in the Fathead Minnow Following Sublethal Exposure to Cobalt, Silver, and Zinc. Ph.D.Thesis, University of Kentucky, Lexington, KY:145 p., 1986. ECOREF #150469</t>
  </si>
  <si>
    <t>Hobson,J.F., and W.J. Birge. Acclimation-Induced Changes in Toxicity and Induction of Metallothionein-Like Proteins in the Fathead Minnow Following Sublethal Exposure to Zinc. Environ. Toxicol. Chem.8(2): 157-169, 1989. ECOREF #678</t>
  </si>
  <si>
    <t>Hoke,R.A., L.D. Bouchelle, B.D. Ferrell, and R.C. Buck. Comparative Acute Freshwater Hazard Assessment and Preliminary PNEC Development for Eight Fluorinated Acids. Chemosphere87(7): 725-733, 2012. ECOREF #161077</t>
  </si>
  <si>
    <t>Holcombe,G., and G. Phipps. Memorandum to N.Thomas, C. Stephan, B. Spehar and S. Broderius, U.S. EPA. March 2, 1987. 2,4-Dimethylphenol and Methyl Parathion Multiple Species Acute Test Results for Criteria Document Development. Memo to N.Thomas, C.Stephan, B.Spehar, and S.Broderius, U.S.EPA, Duluth, MN:, 1987. ECOREF #56473</t>
  </si>
  <si>
    <t>Holcombe,G.W., G.L. Phipps, A.H. Sulaiman, and A.D. Hoffman. Simultaneous Multiple Species Testing: Acute Toxicity of 13 Chemicals to 12 Diverse Freshwater Amphibian, Fish, and Invertebrate Families. Arch. Environ. Contam. Toxicol.16:697-710, 1987. ECOREF #12665</t>
  </si>
  <si>
    <t>Holcombe,G.W., G.L. Phipps, M.L. Knuth, and T. Felhaber. The Acute Toxicity of Selected Substituted Phenols, Benzenes and Benzoic Acid Esters to Fathead Minnows Pimephales promelas. Environ. Pollut. A.35(4): 367-381, 1984. ECOREF #10954</t>
  </si>
  <si>
    <t>Holcombe,G.W., G.L. Phipps, and D.K. Tanner. The Acute Toxicity of Kelthane, Dursban, Disulfoton, Pydrin, and Permethrin to Fathead Minnows Pimephales promelas and Rainbow Trout Salmo gairdneri. Environ. Pollut. A.29(3): 167-178, 1982. ECOREF #10536</t>
  </si>
  <si>
    <t>Holcombe,G.W., G.L. Phipps, and J.T. Fiandt. Toxicity of Selected Priority Pollutants to Various Aquatic Organisms. Ecotoxicol. Environ. Saf.7(4): 400-409, 1983. ECOREF #10417</t>
  </si>
  <si>
    <t>Holman,W.F., and K.J. Macek. An Aquatic Safety Assessment of Linear Alkylbenzene Sulfonate (LAS): Chronic Effects on Fathead Minnows. Trans. Am. Fish. Soc.109(1): 122-131, 1980. ECOREF #475</t>
  </si>
  <si>
    <t>Horne,J.D., and B.R. Oblad. Aquatic Toxicity Studies of Six Priority Pollutants. EPA Contract No. 68-01-6201. NUS Corporation. Houston Environmental Center, Houston, TX:104 p., 1983. ECOREF #14396</t>
  </si>
  <si>
    <t>Inman,R.C.. Acute Toxicity of Phos-Check (Trade Name) 202 and Diammonium Phosphate to Fathead Minnows. Environ.Health Lab., Kelly Air Force Base, TX:13 p., 1974. ECOREF #6010</t>
  </si>
  <si>
    <t>Jarvinen,A.W., D.K. Tanner, E.R. Kline, and M.L. Knuth. Acute and Chronic Toxicity of Triphenyltin Hydroxide to Fathead Minnows (Pimephales promelas) Following Brief or Continuous Exposure. Environ. Pollut.52(4): 289-301, 1988. ECOREF #8678</t>
  </si>
  <si>
    <t>Jarvinen,A.W., D.K. Tanner, and E.R. Kline. Toxicity of Chlorpyrifos, Endrin, or Fenvalerate to Fathead Minnows Following Episodic or Continuous Exposure. Ecotoxicol. Environ. Saf.15(1): 78-95, 1988. ECOREF #12885</t>
  </si>
  <si>
    <t>Jarvinen,A.W., and D.K. Tanner. Toxicity of Selected Controlled Release and Corresponding Unformulated Technical Grade Pesticides to the Fathead Minnow Pimephales promelas. Environ. Pollut. A.27(3): 179-195, 1982. ECOREF #15462</t>
  </si>
  <si>
    <t>Johnson,B.M., M.M. Chao, O.R. Tedrow, A.D. McQueen, and J.H.,Jr. Rodgers. Responses of Lepomis macrochirus, Pimephales promelas, Hyalella azteca, Ceriodaphnia dubia, and Daphnia magna to Exposures of Algimycin PWF and Copper Sulfate Pentahydrate. J. Aquat. Plant Manag.46:176-183, 2008. ECOREF #115858</t>
  </si>
  <si>
    <t>Johnson,D.J.. Risk Assessment of Selective Serotonin Reuptake Inhibitors:  Comparing Methods in Tiered Environmental Risk Assessment. Ph.D. Thesis, University of Guelph, Ontario, Canada:124 p. , 2004. ECOREF #155180</t>
  </si>
  <si>
    <t>Johnson,W.W., and A.M. Julin. Acute Toxicity of Toxaphene to Fathead Minnows, Channel Catfish, and Bluegills. EPA-600/3-80-005, U.S.EPA, Duluth,MN:29 p., 1980. ECOREF #491</t>
  </si>
  <si>
    <t>Johnson,W.W., and H.O. Sanders. Chemical Forest Fire Retardants: Acute Toxicity to Five Freshwater Fishes and a Scud. Tech.Pap.No.91, Fish Wildl.Serv., U.S.D.I., Washington, D.C.:7 p., 1977. ECOREF #687</t>
  </si>
  <si>
    <t>Jop,K.M.. (Atrazine Technical) - Acute Toxicity to Fathead Minnows (Pimephales promelas) Under Static Conditions. SLI Rep.No.91-1-3630, Springborn Lab.Inc., Environ.Sci.Div., Wareham, MA:46 p., 1991. ECOREF #81782</t>
  </si>
  <si>
    <t>Jop,K.M., J.H.,Jr. Rodgers, P.B. Dorn, and K.L. Dickson. Use of Hexavalent Chromium as a Reference Toxicant in Aquatic Toxicity Tests. ASTM Spec. Tech. Publ.9:390-403, 1986. ECOREF #7772</t>
  </si>
  <si>
    <t>Jop,K.M., T.F. Parkerton, J.H.,Jr. Rodgers, K.L. Dickson, and P.B. Dorn. Comparative Toxicity and Speciation of Two Hexavalent Chromium Salts in Acute Toxicity Tests. Environ. Toxicol. Chem.6(9): 697-703, 1987. ECOREF #12721</t>
  </si>
  <si>
    <t>Judy,R.D.J., and P.H. Davies. Effects of Calcium Addition as Ca(NO3)2 on Zinc Toxicity to Fathead Minnows, (Pimephales promelas). Bull. Environ. Contam. Toxicol.22(1-2): 88-94, 1979. ECOREF #2114</t>
  </si>
  <si>
    <t>Julin,A.M., and H.O. Sanders. Toxicity of the IGR, Diflubenzuron, to Freshwater Invertebrates and Fishes. Mosq. News38(2): 256-259, 1978. ECOREF #939</t>
  </si>
  <si>
    <t>Kane,A.S., T.M. Stockdale, and D.L. Johnson. 3-Trifluoromethyl-4-Nitrophenol (TFM) Control of Tadpoles in Culture Ponds. Prog. Fish-Cult.47(4): 231-237, 1985. ECOREF #6667</t>
  </si>
  <si>
    <t>Karen,D.J., D.R. Ownby, B.L. Forsythe, T.P. Bills, T.W. LaPoint, G.B. Cobb, and S.J. Klaine. Influence of Water Quality on Silver Toxicity to Rainbow Trout (Oncorhynchus mykiss), Fathead Minnows (Pimephales promelas), and Water Fleas (Daphnia magna). Environ. Toxicol. Chem.18(1): 63-70, 1999. ECOREF #19218</t>
  </si>
  <si>
    <t>Keller,A.E., R.J. Dutton, and T.L. Crisman. Effect of Temperature on the Chronic Toxicity of Hydrothol-191 to the Fathead Minnow (Pimephales promelas). Bull. Environ. Contam. Toxicol.41(5): 770-775, 1988. ECOREF #674</t>
  </si>
  <si>
    <t>Kennedy,G.L.,Jr.. Acute and Environmental Toxicity Studies with Hexazinone. Fundam. Appl. Toxicol.4(4): 603-611, 1984. ECOREF #92379</t>
  </si>
  <si>
    <t>Kilch,L.R.. The Effect of Selected Concentrations of Selenium Dioxide on the Acute Toxicity of Mercuric Chloride to the Fathead Minnow (Pimephales promelas Rafinesque). M.S. Thesis, Tennessee Technological University, Cookeville, TN:29 p., 1976. ECOREF #167639</t>
  </si>
  <si>
    <t>Kimball,G.. The Effects of Lesser Known Metals and One Organic to Fathead Minnows (Pimephales promelas) and Daphnia magna. Manuscript, Department of Entomology, Fisheries and Wildlife, University of Minnesota, Minneapolis, MN:88 p., 1978. ECOREF #3783</t>
  </si>
  <si>
    <t>Klaine,S.J., T.W. La Point, G.P. Cobb, B.L. Forsythe II, T.P. Bills, M.D. Wenholz, and R.D. Jeffers. Influence of Water Quality Parameters on Silver Toxicity:  Preliminary Result. In: A.W.Andren and T.W.Bober (Eds.), Silver in the Environment: Transport, Fate and Effects, Washington, DC:65-77, 1996. ECOREF #20261</t>
  </si>
  <si>
    <t>Kleiner,C.F., R.L. Anderson, and D.K. Tanner. Toxicity of Fenitrothion to Fathead Minnows (Pimephales promelas) and Alternative Exposure Duration Studies with Fenitrothion and Endosulfan. Arch. Environ. Contam. Toxicol.13:573-578, 1984. ECOREF #11272</t>
  </si>
  <si>
    <t>Kline,E.R., R.A. Figueroa, J.H.,Jr. Rodgers, and P.B. Dorn. Effects of a Nonionic Surfactant (C14-15 AE-7) on Fish Survival, Growth and Reproduction in the Laboratory and in Outdoor Stream Mesocosms. Environ. Toxicol. Chem.15(6): 997-1002, 1996. ECOREF #16780</t>
  </si>
  <si>
    <t>Korver,R.M., and J.B. Sprague. Zinc Avoidance by Fathead Minnows (Pimephales promelas): Computerized Tracking and Greater Ecological Relevance. Can. J. Fish. Aquat. Sci.46(2): 494-502, 1989. ECOREF #3080</t>
  </si>
  <si>
    <t>Krautter,G.R., R.W. Mast, H.C. Alexander, C.H. Wolf, M.A. Friedman, F.J. Koschier, and C.M. Thompson. Acute Aquatic Toxicity Tests with Acrylamide Monomer and Macroinvertebrates and Fish. Environ. Toxicol. Chem.5(4): 373-377, 1986. ECOREF #12290</t>
  </si>
  <si>
    <t>Kszos,L.A., S.S. Talmage, G.W. Morris, B.K. Konetsky, and T. Rottero. Derivation of Aquatic Screening Benchmarks for 1,2-Dibromoethane. Arch. Environ. Contam. Toxicol.45(1): 66-71, 2003. ECOREF #71675</t>
  </si>
  <si>
    <t>Lan,C.H., T.S. Lin, and C.Y. Peng. Aquatic Toxicity of Nitrogen Mustard to Ceriodaphina dubia, Daphnia magna, and Pimephales promelas. Ecotoxicol. Environ. Saf.61(2): 273-279, 2005. ECOREF #80820</t>
  </si>
  <si>
    <t>Lande,S.S., M.T. Elnabarawy, E.A. Reiner, A.N. Welter, and R.R. Robideau. Laboratory Assessment of Environmental Impact of Phthalazine. Bull. Environ. Contam. Toxicol.38(2): 332-336, 1987. ECOREF #12578</t>
  </si>
  <si>
    <t>Lanno,R.P., B.E. Hickie, and D.G. Dixon. Feeding and Nutritional Considerations in Aquatic Toxicology. Hydrobiologia188/189:525-531, 1989. ECOREF #17753</t>
  </si>
  <si>
    <t>Launer,C.A., and T.D. Bills. Influences of Selected Environmental Factors on the Activity of a Prospective Fish Toxicant, 2-(Digeranylamino)-Ethanol, in Laboratory Tests. Invest.Fish Control No.88, Fish Wildl.Serv., Bur.Sport Fish Wildl., U.S.D.I., Washington, D.C.:4 p., 1979. ECOREF #6917</t>
  </si>
  <si>
    <t>LeBlanc,G.A., J.D. Mastone, A.P. Paradice, and B.F. Wilson. The Influence of Speciation on the Toxicity of Silver to Fathead Minnow (Pimephales promelas). Environ. Toxicol. Chem.3(1): 37-46, 1984. ECOREF #10538</t>
  </si>
  <si>
    <t>LeBlanc,G.A., and J.W. Dean. Antimony and Thallium Toxicity to Embryos and Larvae of Fathead Minnows (Pimephales promelas). Bull. Environ. Contam. Toxicol.32(5): 565-569, 1984. ECOREF #10427</t>
  </si>
  <si>
    <t>Lemke,A.E.. Interlaboratory Comparison Acute Testing Set. EPA-600/3-81-005, U.S.EPA, Duluth, MN:29 p., 1981. ECOREF #9479</t>
  </si>
  <si>
    <t>Lemke,A.E.. Static Bioassays with Benzidine. Nov.20, Memo to D.I.Mount, U.S.EPA, Duluth, MN:1 p., 1973. ECOREF #17728</t>
  </si>
  <si>
    <t>Lewis,M.A., and D. Suprenant. Comparative Acute Toxicities of Surfactants to Aquatic Invertebrates. Ecotoxicol. Environ. Saf.7(3): 313-322, 1983. ECOREF #2530</t>
  </si>
  <si>
    <t>Lima,A.R., C. Curtis, D.E. Hammermeister, D.J. Call, and T.A. Felhaber. Acute Toxicity of Silver to Selected Fish and Invertebrates. Bull. Environ. Contam. Toxicol.29(2): 184-189, 1982. ECOREF #15327</t>
  </si>
  <si>
    <t>Lima,A.R., C. Curtis, D.E. Hammermeister, T.P. Markee, C.E. Northcott, and L.T. Brooke. Acute and Chronic Toxicities of Arsenic(III) to Fathead Minnows, Flagfish, Daphnids, and an Amphipod. Arch. Environ. Contam. Toxicol.13(5): 595-601, 1984. ECOREF #10695</t>
  </si>
  <si>
    <t>Lind,D., K. Alto, and S. Chatterton. Regional Copper-Nickel Study. Draft Report, Minnesota Environmental Quality Board St.Paul, MN:54-, 1978. ECOREF #5081</t>
  </si>
  <si>
    <t>Little,L.W., J.C. Lamb III, M.A. Chillingworth, and W.B. Durkin. Acute Toxicity of Selected Commercial Dyes to the Fathead Minnow and Evaluation of Biological Treatment for Reduction of Toxicity. In: Proceedings of the 29th Industrial Waste Conference, Lafayette, IN:524-534, 1974. ECOREF #5789</t>
  </si>
  <si>
    <t>Little,L.W., and J.C. Lamb III. Acute Toxicity of 46 Selected Dyes to the Fathead Minnow, Pimephales promelas. Dyes and the Environment - Reports on Selected Dyes and Their Effects, American Dye Manufacturers Institute:123 p., 1973. ECOREF #6969</t>
  </si>
  <si>
    <t>Liu,D.H.W., R.J. Spanggord, H.C. Bailey, G.W.,Jr. Newell, G. Pearson, and M.C. Warner. Acute Toxicity of TNT Wastewater Components to the Fathead Minnow (Pimephales promelas). In: R.G.Burford (Ed.), Symposium: Int.Congress on Toxicology, Toronto, Ontario, Canada:527 p., 1977. ECOREF #5671</t>
  </si>
  <si>
    <t>Liu,D.H.W., R.J. Spanggord, H.C. Bailey, H.S. Javitz, and D.C.L. Jones. Toxicity of TNT Wastewaters to Aquatic Organisms:  Final Report.  Volume I.  Acute Toxicity of LAP Wastewater and 2,4,6-Trinitrotoluene. Contract No.DAMD17-75-C-5056, SRI Intl., Menlo Park, CA:82 p., 1983. ECOREF #73461</t>
  </si>
  <si>
    <t>Liu,D.H.W., R.J. Spanggord, and H.C. Bailey. Toxicity of TNT Wastewater (Pink Water) to Aquatic Organisms. Contract No.DAMD 17-75-C-5056, Defense Tech.Inf.Ctr., No.ADA031067, U.S.Army Med.Res.Develop.Command, Washington, DC:33-, 1976. ECOREF #6021</t>
  </si>
  <si>
    <t>Lozano,S.J., J.C. Brazner, M.L. Knuth, L.J. Heinis, K.W. Sargent, D.K. Tanner, L.E. Anderson, S.L. O'Halloran, S.L. Ber. Effects, Persistence and Distribution of Esfenvalerate in Littoral Enclosures. Rep.No.DU E104/PPA 06/7592A, U.S.EPA, Duluth &amp; Univ.of Wisconsin-Superior, Superior, WI:276 p., 1989. ECOREF #19341</t>
  </si>
  <si>
    <t>Macek,K.J., K.S. Buxton, S. Sauter, S. Gnilka, and J.W. Dean. Chronic Toxicity of Atrazine to Selected Aquatic Invertebrates and Fishes. EPA-600/3-76-047, U.S.EPA, Duluth, MN:50 p., 1976. ECOREF #631</t>
  </si>
  <si>
    <t>Macek,K.J., K.S. Buxton, S.K. Derr, J.W. Dean, and S. Sauter. Chronic Toxicity of Lindane to Selected Aquatic Invertebrates and Fishes. EPA-600/3-76-046, U.S.EPA, Duluth, MN:50 p., 1976. ECOREF #630</t>
  </si>
  <si>
    <t>Macek,K.J., and H.O. Sanders. Biological Variation in the Susceptibility of Fish and Aquatic Invertebrates to DDT. Trans. Am. Fish. Soc.99(1): 89-90, 1970. ECOREF #2011</t>
  </si>
  <si>
    <t>Macek,K.J., and R.N. Sturm. Survival and Gill Condition of Bluegill (Lepomis macrochirus) and Fathead Minnows (Pimephales promelas) Exposed to Sodium Nitrilotriacetate. J. Fish. Res. Board Can.30(2): 323-325, 1973. ECOREF #505</t>
  </si>
  <si>
    <t>Macek,K.J., and W.A. McAllister. Insecticide Susceptibility of Some Common Fish Family Representatives. Trans. Am. Fish. Soc.99(1): 20-27, 1970. ECOREF #610</t>
  </si>
  <si>
    <t>Maki,A.W., A.J. Rubin, R.M. Sykes, and R.L. Shank. Reduction of Nonionic Surfactant Toxicity Following Secondary Treatment. J. Water Pollut. Control Fed.51(9): 2301-2313, 1979. ECOREF #5933</t>
  </si>
  <si>
    <t>Marchini,S., M.D. Hoglund, S.J. Broderius, and M.L. Tosato. Comparison of the Susceptibility of Daphnids and Fish to Benzene Derivatives. Sci. Total Environ.Suppl.:799-808, 1993. ECOREF #4343</t>
  </si>
  <si>
    <t>Marchini,S., M.L. Tosato, T.J. Norberg-King, D.E. Hammermeister, and M.D. Hoglund. Lethal and Sublethal Toxicity of Benzene Derivatives to the Fathead Minnow, Using a Short-Term Test. Environ. Toxicol. Chem.11(2): 187-195, 1992. ECOREF #3910</t>
  </si>
  <si>
    <t>Marine Bioassay Laboratories. Flow-Through Early-Life Stage Toxicity Tests with Fathead Minnows (Pimephales promelas). Report Prepared for U.S. EPA, Contract No. 68-03-2947,  Marine Bioassay Laboratories, Watsonville, CA:72 p., 1981. ECOREF #150003</t>
  </si>
  <si>
    <t>Marking,L.L.. Toxicity of 2-(Digeranylamino)-Ethanol, a Candidate Selective Fish Toxicant. Trans. Am. Fish. Soc.103(4): 736-742, 1974. ECOREF #685</t>
  </si>
  <si>
    <t>Marking,L.L.. Salicylanilide I, an Effective Non-Persistent Candidate Piscicide. Trans. Am. Fish. Soc.101(3): 526-533, 1972. ECOREF #9128</t>
  </si>
  <si>
    <t>Marking,L.L., E.L. King, C.R. Walker, and J.H. Howell. Toxicity of 33NCS (3'-Chloro-3-Nitrosalicylanilide) to Freshwater Fish and Sea Lamprey. Invest.Fish Control No.38, Fish Wildl.Serv., Bur.Sport Fish.Wildl., USDI, Washington, DC:16 p., 1970. ECOREF #9129</t>
  </si>
  <si>
    <t>Marking,L.L., T.D. Bills, and J.H.,Jr. Chandler. Toxicity of Furanace to Fish, Aquatic Invertebrates, and Frog Eggs and Larvae. Invest.Fish Control Rep.No.76, Fish Wildl.Serv., Bur.Sport Fish.Wildl., USDI, Washington, DC:6 p., 1977. ECOREF #7567</t>
  </si>
  <si>
    <t>Marking,L.L., and J.W. Hogan. Toxicity of Bayer 73 to Fish. Invest.Fish Control No.19, Res.Publ.No.36, USDI Fish Wildl.Serv., Bur.Sport Fish.Wildl., Washington, DC:3-13, 1967. ECOREF #14052</t>
  </si>
  <si>
    <t>Marking,L.L., and L.E. Olson. Toxicity of the Lampricide 3-Trifluoromethyl-4-Nitrophenol (TFM) to Nontarget Fish in Static Tests. Invest.Fish Control No.60, Fish Wildl.Serv., Bur.Sport Fish.Wildl., USDI, Washington, DC:27 p., 1975. ECOREF #997</t>
  </si>
  <si>
    <t>Marking,L.L., and T.D. Bills. Toxicity of Rotenone to Fish in Standardized Laboratory Tests. Invest.Fish Control No.72, Fish Wildl.Serv., Bur.Sport Fish.Wildl., U.S.D.I., Washington, D.C.:11 p., 1976. ECOREF #7853</t>
  </si>
  <si>
    <t>Marking,L.L., and T.D. Bills. Effects of Contaminants on Toxicity of the Lampricides TFM and Bayer 73 to Three Species of Fish. J. Great Lakes Res.11(2): 171-178, 1985. ECOREF #10938</t>
  </si>
  <si>
    <t>Markle,P.J., J.R. Gully, R.B. Baird, K.M. Nakada, and J.P. Bottomley. Effects of Several Variables on Whole Effluent Toxicity Test Performance and Interpretation. Environ. Toxicol. Chem.19(1): 123-132, 2000. ECOREF #51911</t>
  </si>
  <si>
    <t>Mattson,V.R., J.W. Arthur, and C.T. Walbridge. Acute Toxicity of Selected Organic Compounds to Fathead Minnows. EPA-600/3-76-097, U.S.EPA, Duluth, MN:12 p., 1976. ECOREF #719</t>
  </si>
  <si>
    <t>Mauck,W.L., L.E. Olson, and J.W. Hogan. Effects of Water Quality on Deactivation and Toxicity of Mexacarbate (Zectran) to Fish. Arch. Environ. Contam. Toxicol.6(4): 385-393, 1977. ECOREF #665</t>
  </si>
  <si>
    <t>Mauck,W.L., L.E. Olson, and L.L. Marking. Toxicity of Natural Pyrethrins and Five Pyrethroids to Fish. Arch. Environ. Contam. Toxicol.4(1): 18-29, 1976. ECOREF #835</t>
  </si>
  <si>
    <t>Mayer,F.L., D.R. Buckler, F.J. Dwyer, M.R. Ellersieck, L.C. Sappington, J.M. Besser, and C.M. Bridges. Endangered Aquatic Vertebrates: Comparative and Probabilistic-Based Toxicology. EPA/600/R-08/045, U.S.EPA, Washington, DC:43 p., 2008. ECOREF #153255</t>
  </si>
  <si>
    <t>Mayer,F.L., W.J. Adams, M.T. Finley, P.R. Michael, P.M. Mehrle, and V.W. Saeger. Phosphate Ester Hydraulic Fluids: An Aquatic Environmental Assessment of Pydrauls 50E and 115E. ASTM Spec. Tech. Publ.:103-123, 1981. ECOREF #2957</t>
  </si>
  <si>
    <t>Mayer,F.L.,Jr.. Pesticides as Pollutants. In: B.G.Liptak (Ed.), Environmental Engineer's Handbook, Chilton Book Co., Radnor, PA:405-418, 1974. ECOREF #70421</t>
  </si>
  <si>
    <t>Mayer,F.L.,Jr., P.M.,Jr. Mehrle, and W.P. Dwyer. Toxaphene: Chronic Toxicity to Fathead Minnows and Channel Catfish. EPA-600/3-77-069, U.S.EPA, Duluth, MN:38 p., 1977. ECOREF #648</t>
  </si>
  <si>
    <t>USGS Acute Toxicity Database</t>
  </si>
  <si>
    <t>Mayer,F.L.,Jr., and M.R. Ellersieck. Manual of Acute Toxicity: Interpretation and Data Base for 410 Chemicals and 66 Species of Freshwater Animals. USDI Fish and Wildlife Service, Publication No.160, Washington, DC:505 p., 1986. ECOREF #6797</t>
  </si>
  <si>
    <t>Mayes,M.A., D.C. Dill, K.M. Bodner, and C.G. Mendoza. Triclopyr Triethylamine Salt Toxicity to Life Stages of the Fathead Minnow (Pimephales promelas Rafinesque). Bull. Environ. Contam. Toxicol.33(3): 339-347, 1984. ECOREF #10699</t>
  </si>
  <si>
    <t>Mayes,M.A., F.A. Blanchard, D.L. Hopkins, and I.T. Takahashi. Static Acute Toxicity of Dibromonitrilopropionamide and Selected Degradation Products to the Fathead Minnow (Pimephales promelas Rafinesque). Environ. Toxicol. Chem.4(6): 823-830, 1985. ECOREF #11439</t>
  </si>
  <si>
    <t>Mayes,M.A., H.C. Alexander, D.L. Hopkins, and P.B. Latvaitis. Acute and Chronic Toxicity of Ammonia to Freshwater Fish: A Site-Specific Study. Environ. Toxicol. Chem.5(5): 437-442, 1986. ECOREF #12303</t>
  </si>
  <si>
    <t>Mayes,M.A., H.C. Alexander, and D.C. Dill. A Study to Assess the Influence of Age on the Response of Fathead Minnows in Static Acute Toxicity Tests. Bull. Environ. Contam. Toxicol.31(2): 139-147, 1983. ECOREF #10432</t>
  </si>
  <si>
    <t>Mayes,M.A., and D.C. Dill. The Acute Toxicity of Picloram, Picloram Potassium Salt, and Picloram Triisopropanolamine Salt to Aquatic Organisms. Environ. Toxicol. Chem.3(2): 263-269, 1984. ECOREF #10698</t>
  </si>
  <si>
    <t>Mayes,M.A., and G.R. Oliver. An Aquatic Hazard Assessment: Picloram. ASTM Spec. Tech. Publ.:253-269, 1985. ECOREF #9330</t>
  </si>
  <si>
    <t>McCarthy,J.F., and D.K. Whitmore. Chronic Toxicity of Di-n-butyl and Di-n-octyl Phthalate to Daphnia magna and the Fathead Minnow. Environ. Toxicol. Chem.4(2): 167-179, 1985. ECOREF #10614</t>
  </si>
  <si>
    <t>McCauley,D., and C. Lindberg. Seven-Day Larval Fathead Minnow Toxicity Test with Zinc and Copper in Lake Superior Water. Center for Lake Superior Environmental Studies, University of Wisconsin, Superior, WI:5 p., 1983. ECOREF #152293</t>
  </si>
  <si>
    <t>McKim,J.M., J.W. Arthur, and T.W. Thorslund. Toxicity of a Linear Alkylate Sulfonate Detergent to Larvae of Four Species of Freshwater Fish. Bull. Environ. Contam. Toxicol.14(1): 1-7, 1975. ECOREF #545</t>
  </si>
  <si>
    <t>Meier,E.P., W.H. Dennis, A.B. Rosencrance, W.F. Randall, W.J. Cooper, and M.C. Warner. Sulfotepp, a Toxic Impurity in Formulations of Diazinon. Bull. Environ. Contam. Toxicol.23(1-2): 158-164, 1979. ECOREF #551</t>
  </si>
  <si>
    <t>Merna,J.W., M.E. Bender, and J.R. Novy. The Effects of Methoxychlor on Fishes. 1. Acute Toxicity and Breakdown Studies. Trans. Am. Fish. Soc.101(2): 298-301, 1972. ECOREF #5811</t>
  </si>
  <si>
    <t>Merna,J.W., and P.J. Eisele. The Effects of Methoxychlor on Aquatic Biota. EPA-R3-73-046, U.S.EPA, Washington, DC:59 p., 1973. ECOREF #5070</t>
  </si>
  <si>
    <t>Meyer,J.S., C.J. Boese, and J.M. Morris. Use of the Biotic Ligand Model to Predict Pulse-Exposure Toxicity of Copper to Fathead Minnows (Pimephales promelas). Aquat. Toxicol.84(2): 268-278, 2007. ECOREF #100936</t>
  </si>
  <si>
    <t>Meyer,J.S., D.A. Sanchez, J.A. Brookman, D.B. McWhorter, and H.L. Bergman. Chemistry and Aquatic Toxicity of Raw Oil Shale Leachates from Piceance Basin, Colorado. Environ. Toxicol. Chem.4:559-572, 1985. ECOREF #116913</t>
  </si>
  <si>
    <t>Millemann,R.E., W.J. Birge, J.A. Black, R.M. Cushman, K.L. Daniels, P.J. Franco, J.M. Giddings, J.F. McCarthy, and A.J.. Comparative Acute Toxicity to Aquatic Organisms of Components of Coal-Derived Synthetic Fuels. Trans. Am. Fish. Soc.113(1): 74-85, 1984. ECOREF #11725</t>
  </si>
  <si>
    <t>Minnesota Mining. 96-Hour LC50 Aquatic Test on Fathead Minnows with Cover Letter. EPA/OTS Doc.#878210636:28 p., 1982. ECOREF #115283</t>
  </si>
  <si>
    <t>Monsanto Co.. Initial Submission:  Acute Toxicity of TCC to Fathead Minnows with Cover Letter Dated 081492. EPA/OTS Doc.#88-920008373:35 p., 1992. ECOREF #90730</t>
  </si>
  <si>
    <t>Monsanto Co.. Comparative Toxicity of Aniline with Cover Letter. EPA/OTS Doc.# 878211204:1500 p., 1982. ECOREF #104273</t>
  </si>
  <si>
    <t>Monsanto Co.. Acute Toxicity of ACD to Fathead Minnows (Pimephales promelas). EPA/OTS Doc.#878211017:44 p., 1983. ECOREF #104277</t>
  </si>
  <si>
    <t>Monsanto Co.. Acute Toxicity of Nitro Products and Effluents to Fathead Minnows (Pimephales promelas) and Daphnids (Ceriodaphnia dubia and Daphnia magna) with Cover Letter Dated 04/13/94. EPA/OTS Doc.#86940000356:222 p., 1994. ECOREF #111868</t>
  </si>
  <si>
    <t>Monsanto Co.. Toxicologic Investigation of:  Ureka White. EPA/OTS Doc.#878215064:190 p., 1985. ECOREF #112108</t>
  </si>
  <si>
    <t>Moore,A.P., and R.B. Bringolf. Comparative Toxicity of Nitrate to Common and Imperiled Freshwater Mussel Glochidia and Larval Fishes. Arch. Environ. Contam. Toxicol.78:536-544, 2020. ECOREF #183436</t>
  </si>
  <si>
    <t>Mount,D.I.. Chronic Toxicity of Copper to Fathead Minnows (Pimephales promelas, Rafinesque). Water Res.2(3): 215-223, 1968. ECOREF #2006</t>
  </si>
  <si>
    <t>Mount,D.I.. The Effect of Total Hardness and pH on Acute Toxicity of Zinc to Fish. Air Water Pollut.10:49-56, 1966. ECOREF #2118</t>
  </si>
  <si>
    <t>Mount,D.I., and C.E. Stephan. Chronic Toxicity of Copper to the Fathead Minnow (Pimephales promelas) in Soft Water. J. Fish. Res. Board Can.26(9): 2449-2457, 1969. ECOREF #5075</t>
  </si>
  <si>
    <t>Mount,D.R., D.D. Gulley, J.R. Hockett, T.D. Garrison, and J.M. Evans. Statistical Models to Predict the Toxicity of Major Ions to Ceriodaphnia dubia, Daphnia magna and Pimephales promelas (Fathead Minnows). Environ. Toxicol. Chem.16(10): 2009-2019, 1997. ECOREF #18272</t>
  </si>
  <si>
    <t>Murray-Gulde,C.L., J.E. Heatley, A.L. Schwartzman, and J.H.,Jr. Rodgers. Algicidal Effectiveness of Clearigate, Cutrine-Plus, and Copper Sulfate and Margins of Safety Associated with Their Use. Arch. Environ. Contam. Toxicol.43(1): 19-27, 2002. ECOREF #65821</t>
  </si>
  <si>
    <t>Naddy,R.B., W.A. Stubblefield, J.R. May, S.A. Tucker, and J.R. Hockett. The Effect of Calcium and Magnesium Ratios on the Toxicity of Copper to Five Aquatic Species in Freshwater. Environ. Toxicol. Chem.21(2): 347-352, 2002. ECOREF #66375</t>
  </si>
  <si>
    <t>National Association of Photographic Manufacturers. Environmental Effect of Photoprocessing Chemicals Vol I and II (557). EPA/OTS Doc. #40-8469216:536 p., 1974. ECOREF #167113</t>
  </si>
  <si>
    <t>Nebeker,A.V., C.K. McAuliffe, R. Mshar, and D.G. Stevens. Toxicity of Silver to Steelhead and Rainbow Trout, Fathead Minnows and Daphnia magna. Environ. Toxicol. Chem.2:95-104, 1983. ECOREF #10525</t>
  </si>
  <si>
    <t>Nebeker,A.V., F.A. Puglisi, and D.L. DeFoe. Effect of Polychlorinated Biphenyl Compounds on Survival and Reproduction of the Fathead Minnow and Flagfish. Trans. Am. Fish. Soc.103(3): 562-568, 1974. ECOREF #679</t>
  </si>
  <si>
    <t>Nebeker,A.V., J.K. McCrady, R. Mshar, and C.K. McAuliffe. Relative Sensitivity of Daphnia magna, Rainbow Trout and Fathead Minnows to Endosulfan. Environ. Toxicol. Chem.2(1): 69-72, 1983. ECOREF #10526</t>
  </si>
  <si>
    <t>Nelson,H., D. Benoit, R. Erickson, V. Mattson, and J. Lindberg. The Effects of Variable Hardness, pH, Alkalinity, Suspended Clay, and Humics on the Chemical Speciation and Aquatic Toxicity of Copper. EPA/600/3-86/023, U.S.EPA, Duluth, MN:120 p., 1985. ECOREF #5203</t>
  </si>
  <si>
    <t>Newman,J.W., D.L. Denton, C. Morisseau, C.S. Koger, C.E. Wheelock, D.E. Hinton, and B.D. Hammock. Evaluation of Fish Models of Soluble Epoxide Hydrolase Inhibition. Environ. Health Perspect.109(1): 61-66, 2001. ECOREF #60040</t>
  </si>
  <si>
    <t>Newsome,C.S.. Susceptibility of Various Fish Species at Different Stages of Development to Aquatic Pollutants. In: Environment and Quality of Life, Principles for the Interpretation of the Results of Testing Procedures in Ecotoxicology, EUR 7549, 342, Comm.Eur.Commun., Luxembourge, Belgium:284-295, 1982. ECOREF #17931</t>
  </si>
  <si>
    <t>Nimmo,D.W.R., D. Link, L.P. Parrish, G.J. Rodriguez, W. Wuerthele, and P.H. Davies. Comparison of On-Site and Laboratory Toxicity Tests:  Derivation of Site-Specific Criteria for Un-Ionized Ammonia in a Colorado Transitional Stream. Environ. Toxicol. Chem.8(12): 1177-1189, 1989. ECOREF #69474</t>
  </si>
  <si>
    <t>Norberg,T.J., and D.I. Mount. A New Fathead Minnow (Pimephales promelas) Subchronic Toxicity Test. Environ. Toxicol. Chem.4(5): 711-718, 1985. ECOREF #11182</t>
  </si>
  <si>
    <t>Norberg-King,T.J.. An Evaluation of the Fathead Minnow Seven-Day Subchronic Test for Estimating Chronic Toxicity. Environ. Toxicol. Chem.8(11): 1075-1089, 1989. ECOREF #5313</t>
  </si>
  <si>
    <t>Orvos,D.R., D.J. Versteeg, J. Inauen, M. Capdevielle, A. Rothenstein, and V. Cunningham. Aquatic Toxicity of Triclosan. Environ. Toxicol. Chem.21(7): 1338-1349, 2002. ECOREF #64961</t>
  </si>
  <si>
    <t>Palachek,R.M., and J.R. Tomasso. Nitrite Toxicity to Fathead Minnows:  Effect of Fish Weight. Bull. Environ. Contam. Toxicol.32(2): 238-242, 1984. ECOREF #10097</t>
  </si>
  <si>
    <t>Palawski,D., J.B. Hunn, and F.J. Dwyer. Sensitivity of Young Striped Bass to Organic and Inorganic Contaminants in Fresh and Saline Waters. Trans. Am. Fish. Soc.114(5): 748-753, 1985. ECOREF #11334</t>
  </si>
  <si>
    <t>Pearson,J.G., J.P. Glennon, J.J. Barkley, and J.W. Highfill. An Approach to the Toxicological Evaluation of a Complex Industrial Wastewater. ASTM Spec. Tech. Publ.:284-301, 1979. ECOREF #5087</t>
  </si>
  <si>
    <t>Phipps,G.L., G.W. Holcombe, and J.T. Fiandt. Acute Toxicity of Phenol and Substituted Phenols to the Fathead Minnow. Bull. Environ. Contam. Toxicol.26(5): 585-593, 1981. ECOREF #2189</t>
  </si>
  <si>
    <t>Phipps,G.L., and G.W. Holcombe. A Method for Aquatic Multiple Species Toxicant Testing: Acute Toxicity of 10 Chemicals to 5 Vertebrates and 2 Invertebrates. Environ. Pollut. A.38(2): 141-157, 1985. ECOREF #10775</t>
  </si>
  <si>
    <t>Pickering,Q.H.. Chronic Toxicity of Hexavalent Chromium to the Fathead Minnow (Pimephales promelas). Arch. Environ. Contam. Toxicol.9:405-413, 1980. ECOREF #584</t>
  </si>
  <si>
    <t>Pickering,Q.H.. Chronic Toxicity of Trivalent Chromium to the Fathead Minnow, (Pimephales promelas), in Hard Water. Manuscr., U.S.EPA, Cincinnati, OH:9 p., 1980. ECOREF #3677</t>
  </si>
  <si>
    <t>Pickering,Q.H.. Chronic Toxicity of Nickel to the Fathead Minnow. J. Water Pollut. Control Fed.46(4): 760-765, 1974. ECOREF #5225</t>
  </si>
  <si>
    <t>Pickering,Q.H.. Acute Toxicity of Alkyl Benzene Sulfonate and Linear Alkylate Sulfonate to the Eggs of the Fathead Minnow, Pimephales promelas. Air Water Pollut.10:385-391, 1966. ECOREF #8095</t>
  </si>
  <si>
    <t>Pickering,Q.H., C. Henderson, and A.E. Lemke. The Toxicity of Organic Phosphorus Insecticides to Different Species of Warmwater Fishes. Trans. Am. Fish. Soc.91:175-184, 1962. ECOREF #2893</t>
  </si>
  <si>
    <t>Pickering,Q.H., W. Brungs, and M. Gast. Effect of Exposure Time and Copper Concentration on Reproduction of the Fathead Minnow (Pimephales promelas). Water Res.11(12): 1079-1083, 1977. ECOREF #2004</t>
  </si>
  <si>
    <t>Pickering,Q.H., and C. Henderson. Acute Toxicity of Some Important Petrochemicals to Fish. J. Water Pollut. Control Fed.38(9): 1419-1429, 1966. ECOREF #728</t>
  </si>
  <si>
    <t>Pickering,Q.H., and C. Henderson. The Acute Toxicity of Some Heavy Metals to Different Species of Warm Water Fishes. Proc. Ind. Waste Conf.10:453-463, 1966. ECOREF #2033</t>
  </si>
  <si>
    <t>Pickering,Q.H., and C. Henderson. The Acute Toxicity of Some Pesticides to Fish. Ohio J. Sci.66(5): 508-513, 1966. ECOREF #8096</t>
  </si>
  <si>
    <t>Pickering,Q.H., and M.H. Gast. Acute and Chronic Toxicity of Cadmium to the Fathead Minnow (Pimephales promelas). J. Fish. Res. Board Can.29(8): 1099-1106, 1972. ECOREF #5231</t>
  </si>
  <si>
    <t>Pickering,Q.H., and T.O. Thatcher. The Chronic Toxicity of Linear Alkylate Sulfonate (LAS) to Pimephales promelas, Rafinesque. J. Water Pollut. Control Fed.42(2): 243-254, 1970. ECOREF #544</t>
  </si>
  <si>
    <t>Pickering,Q.H., and W.N. Vigor. The Acute Toxicity of Zinc to Eggs and Fry of the Fathead Minnow. Prog. Fish-Cult.27(3): 153-157, 1965. ECOREF #2109</t>
  </si>
  <si>
    <t>Pickering,Q.H., and W.T. Gilliam. Toxicity of Aldicarb and Fonofos to the Early-Life Stage of the Fathead Minnow. Arch. Environ. Contam. Toxicol.11(6): 699-702, 1982. ECOREF #15169</t>
  </si>
  <si>
    <t>Pillard,D.A.. Comparative Toxicity of Formulated Glycol Deicers and Pure Ethylene and Propylene Glycol to Ceroidaphnia dubia and Pimephales promelas. Environ. Toxicol. Chem.14(2): 311-315, 1995. ECOREF #13727</t>
  </si>
  <si>
    <t>Pillard,D.A., J.S. Cornell, D.L. DuFresne, and M.T. Hernandez. Toxicity of Benzotriazole and Benzotriazole Derivatives to Three Aquatic Species. Water Res.35(2): 557-560, 2001. ECOREF #60072</t>
  </si>
  <si>
    <t>Pittinger,C.A., D.J. Versteeg, B.A. Blatz, and E.M. Meiers. Environmental Toxicology of Succinate Tartrates. Aquat. Toxicol.24(1-2): 83-102, 1992. ECOREF #6561</t>
  </si>
  <si>
    <t>Pitts,T.. Presentation of Evidence Concerning Water Quality Classifications and Standards for the Cache la Poudre River, Big Thompson River, and Segments of the South Platte River. Tom Pitts and Associates, Loveland, CO:169 p., 1980. ECOREF #165613</t>
  </si>
  <si>
    <t>Playle,R.C., D.G. Dixon, and K. Burnison. Copper and Cadmium Binding to Fish Gills:  Estimates of Metal-Gill Stability Constants and Modelling of Metal Accumulation. Can. J. Fish. Aquat. Sci.50:2678-2687, 1993. ECOREF #4468</t>
  </si>
  <si>
    <t>Poirier,S.H., M.L. Knuth, C.D. Anderson-Buchou, L.T. Brooke, A.R. Lima, and P.J. Shubat. Comparative Toxicity of Methanol and N,N-Dimethylformamide to Freshwater Fish and Invertebrates. Bull. Environ. Contam. Toxicol.37(4): 615-621, 1986. ECOREF #11988</t>
  </si>
  <si>
    <t>Posner,S., and S. Reimer. The Determination of TLM Values of Diazinon on Fingerling Fish. U.S.EPA-OPP Registration Standard:, 1970. ECOREF #13005</t>
  </si>
  <si>
    <t>Price,E.E.. Response of Freshwater and Saltwater Toxicity Test Species to Calcium and Salinity Concentrations Encountered in Toxicity Tests. Ph.D.Thesis, University of North Texas, Denton, TX:126 p., 1989. ECOREF #19549</t>
  </si>
  <si>
    <t>Priester,L.E.,Jr.. The Accumulation and Metabolism of DDT, Parathion, and Endrin by Aquatic Food-Chain Organisms. Ph.D. Thesis, Clemson University, Clemson, SC:74 p., 1965. ECOREF #14649</t>
  </si>
  <si>
    <t>Rachlin,J.W., and A. Perlmutter. Response of an Inbred Strain of Platyfish and the Fathead Minnow to Zinc. Prog. Fish-Cult.30(4): 203-207, 1968. ECOREF #2115</t>
  </si>
  <si>
    <t>Rand,G.M., and J.R. Clark. Hazard/Risk Assessment of Pyridaben:  I.  Aquatic Toxicity and Environmental Chemistry. Ecotoxicology9(3): 157-168, 2000. ECOREF #117771</t>
  </si>
  <si>
    <t>Reinbold,K.A., and S.M. Pescitelli. Effects of Cold Temperature on Toxicity of Ammonia to Rainbow Trout, Bluegills and Fathead Minnows. Proj.Rep., Contract No.68-01-5832, Illinois Natural History Survey, Champaign, IL:19 p., 1982. ECOREF #14556</t>
  </si>
  <si>
    <t>Richards,V.L., and T.L. Beitinger. Reciprocal Influences of Temperature and Copper on Survival of Fathead Minnows, Pimephales promelas. Bull. Environ. Contam. Toxicol.55(2): 230-236, 1995. ECOREF #14976</t>
  </si>
  <si>
    <t>Rifici,L.M., D.S. Cherry, J.L. Farris, and J.,Jr. Cairns. Acute and Subchronic Toxicity of Methylene Blue to Larval Fathead Minnows (Pimephales promelas): Implications for Aquatic Toxicity Testing. Environ. Toxicol. Chem.15(8): 1304-1308, 1996. ECOREF #17225</t>
  </si>
  <si>
    <t>Rodgers,J.H.J., E. Deaver, B.C. Suedel, and P.L. Rogers. Comparative Aqueous Toxicity of Silver Compounds: Laboratory Studies with Freshwater Species. Bull. Environ. Contam. Toxicol.58:851-858, 1997. ECOREF #17981</t>
  </si>
  <si>
    <t>Ruesink,R.G., and L.L.,Jr. Smith. The Relationship of the 96-Hour LC50 to the Lethal Threshold Concentration of Hexavalent Chromium, Phenol, and Sodium Pentachlorophenate for Fathead Minnows (Pimephales promelas Rafinesque). Trans. Am. Fish. Soc.104(3): 567-570, 1975. ECOREF #837</t>
  </si>
  <si>
    <t>Russo,R.C., and R.V. Thurston. The Acute Toxicity of Nitrite to Fishes. In: R.A.Tubbs (Ed), EPA-600/3-77-085, Recent Advances in Fish Toxicology - A Symposium:118-131, 1977. ECOREF #5090</t>
  </si>
  <si>
    <t>Russom,C.L.. Acute and Early Life Stage Toxicity Data. June 21 Memo from U.S.EPA, Duluth, MN.to R.Spehar U.S.EPA, Duluth, MN:41 p., 1993. ECOREF #57532</t>
  </si>
  <si>
    <t>Russom,C.L., R.A. Drummond, and A.D. Hoffman. Acute Toxicity and Behavioral Effects of Acrylates and Methacrylates to Juvenile Fathead Minnows. Bull. Environ. Contam. Toxicol.41:589-596, 1988. ECOREF #13120</t>
  </si>
  <si>
    <t>Ryan,A.C., E.J. Van Genderen, J.R. Tomasso, and S.J. Klaine. Influence of Natural Organic Matter Source on Copper Toxicity to Larval Fathead Minnows (Pimephales promelas):  Implications for the Biotic Ligand Model. Environ. Toxicol. Chem.23(6): 1567-1574, 2004. ECOREF #80428</t>
  </si>
  <si>
    <t>S R Hansen &amp; Associates. Acute Toxicity of Two Wastewater Treatment Chemicals Containing Sodium Bisulfite to the Waterflea and the Fathead Minnow with Cover Letter Dated 05/19/94 (Sanitized). S. R. Hansen and Associates, Valley Ford, CA:26 p., 1994. ECOREF #119883</t>
  </si>
  <si>
    <t>Sabourin,T.D.. A Summary of the Results of Toxicity Tests Performed by Battelle Between March and August in 1986. Battelle Columbus Labs, Columbus, OH:2 p., 1986. ECOREF #14314</t>
  </si>
  <si>
    <t>Sabourin,T.D.. Methods for Aquatic Toxicity Tests Conducted with Acrolein and DEHP as well as the Methods and Results for Acrylonitrile Tests. September 18 Memo to D.Call, University of Wisconsin, Superior, WI:16 p., 1987. ECOREF #17132</t>
  </si>
  <si>
    <t>Sanders,H.O., M.T. Finley, and J.B. Hunn. Acute Toxicity of Six Forest Insecticides to Three Aquatic Invertebrates and Four Fishes. Tech.Pap.No.110, U.S.Fish Wildl.Serv., Washington, DC:1-5, 1983. ECOREF #15574</t>
  </si>
  <si>
    <t>Sappington,L.C., F.L. Mayer, F.J. Dwyer, D.R. Buckler, J.R. Jones, and M.R. Ellersieck. Contaminant Sensitivity of Threatened and Endangered Fishes Compared to Standard Surrogate Species. Environ. Toxicol. Chem.20(12): 2869-2876, 2001. ECOREF #65396</t>
  </si>
  <si>
    <t>Schlueter,M.A., S.I. Guttman, J.T. Oris, and A.J. Bailer. Survival of Copper-Exposed Juvenile Fathead Minnows (Pimephales promelas) Differs Among Allozyme Genotypes. Environ. Toxicol. Chem.14(10): 1727-1734, 1995. ECOREF #15904</t>
  </si>
  <si>
    <t>Schoettger,R.A.. Fish-Pesticide Research Laboratory. In: Prog. in Sport Fish. Res., U.S. Dep. Interior, Bur. Sport Fish. and Wildl. Res., Publ. No.106:2-40, 1970. ECOREF #6615</t>
  </si>
  <si>
    <t>Schubauer-Berigan,M.K., J.R. Dierkes, P.D. Monson, and G.T. Ankley. pH-Dependent Toxicity of Cd, Cu, Ni, Pb and Zn to Ceriodaphnia dubia, Pimephales promelas, Hyalella azteca and Lumbriculus variegatus. Environ. Toxicol. Chem.12:1261-1266, 1993. ECOREF #7289</t>
  </si>
  <si>
    <t>Scott,G., and R.L. Crunkilton. Acute and Chronic Toxicity of Nitrate to Fathead Minnows (Pimephales promelas), Ceriodaphnia dubia, and Daphnia magna. Environ. Toxicol. Chem.19(12): 2918-2922, 2000. ECOREF #60121</t>
  </si>
  <si>
    <t>Sherman,R.E., S.P. Gloss, and L.W. Lion. A Comparison of Toxicity Tests Conducted in the Laboratory and in Experimental Ponds Using Cadmium and the Fathead Minnow (Pimephales promelas). Water Res.21(3): 317-323, 1987. ECOREF #12647</t>
  </si>
  <si>
    <t>Sherrard,R.M., C.L. Murray-Gulde, J.H.,Jr. Rodgers, and Y.T. Shah. Comparative Toxicity of Chlorothalonil: Ceriodaphnia dubia and Pimephales promelas. Ecotoxicol. Environ. Saf.56(3): 327-333, 2003. ECOREF #72623</t>
  </si>
  <si>
    <t>Sherrard,R.M., C.L. Murray-Gulde, J.H.,Jr. Rodgers, and Y.T. Shah. Comparative Toxicity of Chlorothalonil and Chlorpyrifos:  Ceriodaphnia dubia and Pimephales promelas. Environ. Toxicol.17(6): 503-512, 2002. ECOREF #101293</t>
  </si>
  <si>
    <t>Shifrer,C.C., E.J. Middlebrooks, D.B. Porcella, and W.F. Sigler. Effects of Temperature on the Toxicity of Oil Refinery Waste, Sodium Chlorate, and Treated Sewage to Fathead Minnows. In: Effects of Temperature on the Toxicity of Oil Refinery Waste, Sodium Chlorate, and Treated Sewage to Fathead Minnows, Utah Water Research Lab, College of Engineering, Utah State University, Logan, UT:79 p., 1974. ECOREF #6051</t>
  </si>
  <si>
    <t>Sijm,D.T.H.M., M. Schipper, and A. Opperhuizen. Toxicokinetics of Halogenated Benzenes in Fish: Lethal Body Burden as a Toxicological End Point. Environ. Toxicol. Chem.12:1117-1127, 1993. ECOREF #7257</t>
  </si>
  <si>
    <t>Skea,J.C., and H.A. Simonin. Evaluation of Cutrine for Use in Fish Culture. Prog. Fish-Cult.41(4): 171-174, 1979. ECOREF #590</t>
  </si>
  <si>
    <t>Skelley,J.R.. Toxicity of 2-Sec-Butyl-4,6-Dinitrophenol (Dinoseb)and Monosodium Methanearsonate (MSMA), Individuallyand in a Mixture, to Channel Catfish. Environ. Toxicol. Chem.8(7): 623-628, 1989. ECOREF #759</t>
  </si>
  <si>
    <t>Smith,L.L.,Jr., S.J. Broderius, D.M. Oseid, G.L. Kimball, and W.M. Koenst. Acute Toxicity of Hydrogen Cyanide to Freshwater Fishes. Arch. Environ. Contam. Toxicol.7(3): 325-337, 1978. ECOREF #520</t>
  </si>
  <si>
    <t>Smith,L.L.J., D.M. Oseid, and L.E. Olson. Acute and Chronic Toxicity of Hydrogen Sulfide to the Fathead Minnow, Pimephales promelas. Environ. Sci. Technol.10(6): 565-568, 1976. ECOREF #5885</t>
  </si>
  <si>
    <t>Smith,L.L.J., and D.M. Oseid. Chronic Effects of Low Levels of Hydrogen Sulfide on Freshwater Fish. Prog. Water Technol.7(3-4): 599-605, 1975. ECOREF #414</t>
  </si>
  <si>
    <t>Smith,L.L.J., and D.M. Oseid. Effect of Hydrogen Sulfide on Development and Survival of Eight Freshwater Fish Species. In: J.H.S.Blaxter (Ed.), The Early Life History of Fish, Proceedings of an International Symposium, Oban, Scotland:417-430, 1974. ECOREF #8719</t>
  </si>
  <si>
    <t>Smith,L.L.J., and D.M. Oseid. Toxic Effects of Hydrogen Sulfide to Juvenile Fish and Fish Eggs. Proc. Ind. Waste Conf.137(2): 739-744, 1970. ECOREF #9699</t>
  </si>
  <si>
    <t>Smith,L.R., T.M. Holsen, N.C. Ibay, R.M. Block, and A.B. De Leon. Studies on the Acute Toxicity of Fluoride Ion to Stickleback, Fathead Minnow, and Rainbow Trout. Chemosphere14(9): 1383-1389, 1985. ECOREF #11675</t>
  </si>
  <si>
    <t>Smock,L.A., D.L. Stoneburner, and J.R. Clark. The Toxic Effects of Trinitrotoluene (TNT) and its Primary Degradation Products on Two Species of Algae and the Fathead Minnow. Water Res.10(6): 537-543, 1976. ECOREF #926</t>
  </si>
  <si>
    <t>Snarski,V.M., and G.F. Olson. Chronic Toxicity and Bioaccumulation of Mercuric Chloride in the Fathead Minnow (Pimephales promelas). Aquat. Toxicol.2:143-156, 1982. ECOREF #15318</t>
  </si>
  <si>
    <t>Solon,J.M., J.L. Lincer, and J.H. Nair III. The Effect of Sublethal Concentration of LAS on the Acute Toxicity of Various Insecticides to the Fathead Minnow (Pimephales promelas Rafinesque). Water Res.3(10): 767-775, 1969. ECOREF #2100</t>
  </si>
  <si>
    <t>Solon,J.M., and J.H. Nair III. The Effect of a Sublethal Concentration of LAS on the Acute Toxicity of Various Phosphate Pesticides to the Fathead Minnow (Pimephales promelas Rafinesque). Bull. Environ. Contam. Toxicol.5(5): 408-413, 1970. ECOREF #605</t>
  </si>
  <si>
    <t>Spacie,A.. Acute and Chronic Parathion Toxicity to Fish and Invertebrates. Office of Research and Monitoring, U. S. Environmental Protection Agency, Washington, DC:106 p., 1976. ECOREF #14170</t>
  </si>
  <si>
    <t>Spacie,A., A.G. Vilkas, G.F. Doebbler, W.J. Kuc, and G.R. Iwan. Acute and Chronic Parathion Toxicity to Fish and Invertebrates. EPA 600/3-81-047, U.S.EPA, Washington, DC:78 p., 1981. ECOREF #983</t>
  </si>
  <si>
    <t>Sparks,R.E.. The Acute, Lethal Effects of Ammonia on Channel Catfish (Ictalurus punctatus), Bluegills (Lepomis macrochirus), and Fathead Minnows (Pimephales promelas). Rep.to Illinois, Proj.No.20.060, Inst.for Environ.Qual., Chicago, IL:15 p., 1975. ECOREF #14553</t>
  </si>
  <si>
    <t>Spehar,R.L.. Aquatic Toxicity Test Information on Acrolein with Fathead Minnows (Pimephales promelas) and Flagfish (Jordanella floridae). U.S.EPA, Duluth, MN:5 p., 1989. ECOREF #14754</t>
  </si>
  <si>
    <t>Spehar,R.L.. Criteria Document Data. Memorandum to D.J. Call, Center for Lake Superior Environmental Studies, University of Wisconsin-Superior. September 16, 1986. Memo to D.J.Call, U.S.EPA, Duluth, MN /Center for Lake Superior Environ.Studies, Univ.of Wisconsin-Superior, Superior, WI:17 p., 1986. ECOREF #56474</t>
  </si>
  <si>
    <t>Spehar,R.L., G.D. Veith, D.L. DeFoe, and B.V. Bergstedt. Toxicity and Bioaccumulation of Hexachlorocyclopentadiene, Hexachloronorbornadiene and Heptachloronorbornene in Larval and Early Juvenile Fathead Minnows, Pimephales promelas. Bull. Environ. Contam. Toxicol.21(4/5): 576-583, 1979. ECOREF #2097</t>
  </si>
  <si>
    <t>Spehar,R.L., H.P. Nelson, M.J. Swanson, and J.W. Renoos. Pentachlorophenol Toxicity to Amphipods and Fathead Minnows at Different Test pH Values. Environ. Toxicol. Chem.4:389-397, 1985. ECOREF #10679</t>
  </si>
  <si>
    <t>Spehar,R.L., L.T. Brooke, T.P. Markee, and M.D. Kahl. Comparative Toxicity and Bioconcentration of Nonylphenol in Freshwater Organisms. Environ. Toxicol. Chem.29(9): 2104-2111, 2010. ECOREF #164890</t>
  </si>
  <si>
    <t>Spehar,R.L., S. Poucher, L.T. Brooke, D.J. Hansen, D. Champlin, and D.A. Cox. Comparative Toxicity of Fluoranthene to Freshwater and Saltwater Species Under Fluorescent and Ultraviolet Light. Arch. Environ. Contam. Toxicol.37(4): 496-502, 1999. ECOREF #20588</t>
  </si>
  <si>
    <t>Spehar,R.L., and A.R. Carlson. Derivation of Site-Specific Water Quality Criteria for Cadmium and the St. Louis River Basin, Duluth, Minnesota. Environ. Toxicol. Chem.3(4): 651-665, 1984. ECOREF #10485</t>
  </si>
  <si>
    <t>Spehar,R.L., and J.T. Fiandt. Acute and Chronic Effects of Water Quality Criteria-Based Metal Mixtures on Three Aquatic Species. Environ. Toxicol. Chem.5(10): 917-931, 1986. ECOREF #12093</t>
  </si>
  <si>
    <t>Stay,F.S., and A.W. Jarvinen. Use of Microcosm and Fish Toxicity Data to Select Mesocosm Treatment Concentrations. Arch. Environ. Contam. Toxicol.28(4): 451-458, 1995. ECOREF #14914</t>
  </si>
  <si>
    <t>Stephan,C.E.. Results of Toxicity Tests. Feb.13th Memo to J.Carroll, U.S.EPA, Washington, DC:2 p., 1978. ECOREF #120966</t>
  </si>
  <si>
    <t>Sturm,R.N., and A.G. Payne. Environmental Testing of Trisodium Nitrilotriacetate: Bioassays for Aquatic Safety and Algal Stimulation. In: G.E.Glass (Ed.), Bioassay Techniques and Environmental Chemistry, Ann Arbor, MI:403-424, 1973. ECOREF #8995</t>
  </si>
  <si>
    <t>Suedel,B.C., E. Deaver, and J.H.,Jr. Rodgers. Experimental Factors that may Affect Toxicity of Aqueous and Sediment-Bound Copper to Freshwater Organisms. Arch. Environ. Contam. Toxicol.30(1): 40-46, 1996. ECOREF #18527</t>
  </si>
  <si>
    <t>Suedel,B.C., J.H.,Jr. Rodgers, and E. Deaver. Experimental Factors that may Affect Toxicity of Cadmium to Freshwater Organisms. Arch. Environ. Contam. Toxicol.33(2): 188-193, 1997. ECOREF #18420</t>
  </si>
  <si>
    <t>Surber,E.W., and Q.H. Pickering. Acute Toxicity of Endothal, Diquat, Hyamine, Dalapon, and Silvex to Fish. Prog. Fish-Cult.24(4): 164-171, 1962. ECOREF #892</t>
  </si>
  <si>
    <t>Sweeny,K.H., J.R. Fischer, A.F. Graefe, H.L. Marcus, and D.H.W. Liu. Development of Field Applied DDT. EPA-660/2-74-036, U.S.EPA, Washington, DC:95 p., 1974. ECOREF #8455</t>
  </si>
  <si>
    <t>Sweet,L.I., and P.G. Meier. Lethal and Sublethal Effects of Azulene and Longifolene to Microtox, Ceriodaphnia dubia, Daphnia magna, and Pimephales promelas. Bull. Environ. Contam. Toxicol.58(2): 268-274, 1997. ECOREF #17881</t>
  </si>
  <si>
    <t>Swigert,J.P., and A. Spacie. Survival and Growth of Warmwater Fishes Exposed to Ammonia Under Low Flow Conditions. Tech.Rep.157, Purdue Univ., Water Resour.Res.Center, West Lafayette, IN:40 p., 1983. ECOREF #10281</t>
  </si>
  <si>
    <t>Takacs,P.. Evaluation of Probabilistic Ecological Risk Assessment Methodology Using Aquatic Microcosms and Azinphos-Methyl. M.S.Thesis, Univ.of Guelph, Ontario, Canada:211 p., 1999. ECOREF #86345</t>
  </si>
  <si>
    <t>Tarzwell,C.M., and C. Henderson. Toxicity of Less Common Metals to Fishes. Ind. Wastes5:12-, 1960. ECOREF #2042</t>
  </si>
  <si>
    <t>Tarzwell,C.M., and C. Henderson. Toxicity of Dieldrin to Fish. Trans. Am. Fish. Soc.86:245-257, 1957. ECOREF #16212</t>
  </si>
  <si>
    <t>Tatum,V.L., D.L. Borton, W.R. Streblow, J. Louch, and J.P. Shepard. Acute Toxicity of Commonly Used Forestry Herbicide Mixtures to Ceriodaphnia dubia and Pimephales promelas. Environ. Toxicol.27(12): 671-684, 2012. ECOREF #160505</t>
  </si>
  <si>
    <t>TenEyck,M.C., and T.P. Markee. Toxicity of Nonylphenol, Nonylphenol Monoethoxylate, and Nonylphenol Diethoxylate and Mixtures of These Compounds to Pimephales promelas (Fathead Minnow) and Ceriodaphnia dubia. Arch. Environ. Contam. Toxicol.53(4): 599-606, 2007. ECOREF #107584</t>
  </si>
  <si>
    <t>Thatcher,T.O., and J.F. Santner. Acute Toxicity of LAS to Various Fish Species. Proc. 21st Purdue Ind. Waste Conf.50(2): 996-1002, 1966. ECOREF #541</t>
  </si>
  <si>
    <t>The Academy of Natural Sciences. Early Life Stage Studies Using the Fathead Minnow (Pimephales promelas) to Assess the Effects of Isophorone and Acenaphthene. Div.Limnol.Ecol., Philadelphia, PA, Manuscript Submission to U.S.EPA, Cincinnati, OH:27 p., 1981. ECOREF #60679</t>
  </si>
  <si>
    <t>Thurston,R.V., R.C. Russo, and G.A. Vinogradov. Ammonia Toxicity to Fishes.  Effect of pH on the Toxicity of the Un-ionized Ammonia Species. Environ. Sci. Technol.15(7): 837-840, 1981. ECOREF #10303</t>
  </si>
  <si>
    <t>Thurston,R.V., R.C. Russo, and G.R. Phillips. Acute Toxicity of Ammonia to Fathead Minnows. Trans. Am. Fish. Soc.112(5): 705-711, 1983. ECOREF #10130</t>
  </si>
  <si>
    <t>Thurston,R.V., T.A. Gilfoil, E.L. Meyn, R.K. Zajdel, T.L. Aoki, and G.D. Veith. Comparative Toxicity of Ten Organic Chemicals to Ten Common Aquatic Species. Water Res.19(9): 1145-1155, 1985. ECOREF #12004</t>
  </si>
  <si>
    <t>Turner,L.W.. Acute Toxicity of Selected Chemicals to Fathead Minnow, Water Flea and Mysid Shrimp Under Static and Flow-Through Test Conditions. Final Rep.Coop.Agreement 807479-01-0, U.S.EPA, Off.of Pestic.and Toxic Subst., Washington, DC:258 p., 1982. ECOREF #9994</t>
  </si>
  <si>
    <t>EPA Office of Pesticides Program Database</t>
  </si>
  <si>
    <t>U.S. Environmental Protection Agency. Pesticide Ecotoxicity Database (Formerly: Environmental Effects Database (EEDB)). Environmental Fate and Effects Division, U.S.EPA, Washington, D.C.:, 1992. ECOREF #344</t>
  </si>
  <si>
    <t>Union Carbide Corp.. Glutaraldehyde - Reduction of Fish Toxicity by Reaction with Sodium Bisulfite, with Cover Letter Dated 6/24/96. EPA/OTS Doc.#86960000551:16 p., 1996. ECOREF #79952</t>
  </si>
  <si>
    <t>Union Carbide Corp.. Letter from Union Carbide Submitting Ecotoxicological Studies on a Number of Chemicals with Cover Letter Dated 022593. EPA/OTS 86-930000141:18 p., 1993. ECOREF #177942</t>
  </si>
  <si>
    <t>Van der Schalie,W.H.. The Acute and Chronic Toxicity of 3,5-Dinitroaniline, 1,3-Dinitrobenzene, and 1,3,5-Trinitrobenzene to Freshwater Aquatic. Tech.Rep.8305, U.S.Army Med.Bioeng.Res.&amp; Dev.Lab., Frederick, MD:53 p., 1983. ECOREF #11830</t>
  </si>
  <si>
    <t>VanGenderen,E.J., A.C. Ryan, J.R. Tomasso, and S.J. Klaine. Influence of Dissolved Organic Matter Source on Silver Toxicity to Pimephales promelas. Environ. Toxicol. Chem.22(11): 2746-2751, 2003. ECOREF #71734</t>
  </si>
  <si>
    <t>Vardy,D.W., J. Oellers, J.A. Doering, H. Hollert, J.P. Giesy, and M. Hecker. Sensitivity of Early Life Stages of White Sturgeon, Rainbow Trout, and Fathead Minnow to Copper. Ecotoxicology22(1): 139-147, 2013. ECOREF #164074</t>
  </si>
  <si>
    <t>Veith,G.D., D.J. Call, and L.T. Brooke. Estimating the Acute Toxicity of Narcotic Industrial Chemicals to Fathead Minnows. ASTM Spec. Tech. Publ.:90-97, 1983. ECOREF #10183</t>
  </si>
  <si>
    <t>Veith,G.D., R.L. Lipnick, and C.L. Russom. The Toxicity of Acetylenic Alcohols to the Fathead Minnow, Pimephales promelas: Narcosis and Proelectrophile Activation. Xenobiotica19(5): 555-565, 1989. ECOREF #2721</t>
  </si>
  <si>
    <t>Velte,J.S.. Acute Toxicity of Hydrazine Hydrate to the Fathead Minnow (Pimephales promelas) and Daphnid (Daphnia pulex). Bull. Environ. Contam. Toxicol.33(5): 598-604, 1984. ECOREF #10452</t>
  </si>
  <si>
    <t>Versteeg,D.J., J. Rawlings, E. Bozso, and J. Shi. The Acute and Chronic Toxicity of Hexadecyl and Heptadecyl Sulfate to Aquatic Organisms. Arch. Environ. Contam. Toxicol.51(1): 43-53, 2006. ECOREF #110632</t>
  </si>
  <si>
    <t>Versteeg,D.J., and S.J. Shorter. Effect of Organic Carbon on the Uptake and Toxicity of Quaternary Ammonium Compounds to the Fathead Minnow, Pimephales promelas. Environ. Toxicol. Chem.11(4): 571-580, 1992. ECOREF #5893</t>
  </si>
  <si>
    <t>Waheda,M.F.. Effect of Size of Fathead Minnows (Pimephales promelas) and Green Sunfish (Lepomis cyanellus) on Hexavalent Chromium Toxicity. M.S.Thesis, Wright State University, Berkley, CA:35 p., 1977. ECOREF #3675</t>
  </si>
  <si>
    <t>Walbridge,C.T., J.T. Fiandt, G.L. Phipps, and G.W. Holcombe. Acute Toxicity of Ten Chlorinated Aliphatic Hydrocarbons to the Fathead Minnow (Pimephales promelas). Arch. Environ. Contam. Toxicol.12(6): 661-666, 1983. ECOREF #11227</t>
  </si>
  <si>
    <t>Welsh,P.G.. Influence of Dissolved Organic Carbon on the Speciation, Bioavailability and Toxicity of Metals to Aquatic Biota in Soft Water Lakes. Ph.D.Thesis, University of Waterloo, Ontario, Canada:181 p., 1996. ECOREF #45189</t>
  </si>
  <si>
    <t>Welsh,P.G., J.F. Skidmore, D.J. Spry, D.G. Dixon, P.V. Hodson, N.J. Hutchinson, and B.E. Hickie. Effect of pH and Dissolved Organic Carbon on the Toxicity of Copper to Larval Fathead Minnow (Pimephales promelas) in Natural Lake Waters of Low Alkalinity. Can. J. Fish. Aquat. Sci.50(7): 1356-1362, 1993. ECOREF #8034</t>
  </si>
  <si>
    <t>Welsh,P.G., J.L. Parrott, D.G. Dixon, P.V. Hodson, D.J. Spry, and G. Mierle. Estimating Acute Copper Toxicity to Larval Fathead Minnow (Pimephales promelas) in Soft Water from Measurements of Dissolved Organic Carbon, Calcium, and pH. Can. J. Fish. Aquat. Sci.53:1263-1271, 1996. ECOREF #17105</t>
  </si>
  <si>
    <t>Werner,I., L.A. Deanovic, D.E. Hinton, J.D. Henderson, G.H. De Oliveira, B.W. Wilson, W. Krueger, W.W. Wallender, M.N. . Toxicity of Stormwater Runoff After Dormant Spray Application of Diazinon and Esfenvalerate (Asana) in a French Prune Orchard, Glenn County, California, USA. Bull. Environ. Contam. Toxicol.68(1): 29-36, 2002. ECOREF #65773</t>
  </si>
  <si>
    <t>White,A.M.. The Toxicity of Hexavalent Chromium (Cr+6) to Twenty-One Species Aquatic Animals Native to Ohio. Manuscr., John Carroll Univ., University Heights, OH:13-, 1983. ECOREF #3679</t>
  </si>
  <si>
    <t>Wilde,E.W., R.J. Soracco, L.A. Mayack, R.L. Shealy, T.L. Broadwell, and R.F. Steffen. Comparison of Chlorine and Chlorine Dioxide Toxicity to Fathead Minnows and Bluegill. Water Res.17(10): 1327-1331, 1983. ECOREF #15763</t>
  </si>
  <si>
    <t>Wilde,E.W., R.J. Soracco, L.A. Mayack, R.L. Shealy, and T.L. Broadwell. Acute Toxicity of Chlorine and Bromine to Fathead Minnows and Bluegills. Bull. Environ. Contam. Toxicol.31(3): 309-314, 1983. ECOREF #10137</t>
  </si>
  <si>
    <t>Wildlife International Ltd.. Perfluorobutane Sulfonate, Potassium Salt (PFBS): A 96-Hour Static Acute Toxicity Test with the Fathead Minnow (Pimephales promelas). Wildlife International Ltd., Project No. 454A-115:42 p., 2001. ECOREF #185937</t>
  </si>
  <si>
    <t>Willingham,T.. Acute and Short-Term Chronic Ammonia Toxicity to Fathead Minnows (Pimephales promelas) and Ceriodaphnia dubia Using Laboratory Dilution Water and Lake Mead Dilution Water. EPA-822-R-99-014, U.S.EPA, Denver, CO:36 p., 1987. ECOREF #86288</t>
  </si>
  <si>
    <t>Wong,D.C.L., P.B. Dorn, and E.Y. Chai. Acute Toxicity and Structure-Activity Relationships of Nine Alcohol Ethoxylate Surfactants to Fathead Minnow and Daphnia magna. Environ. Toxicol. Chem.16(9): 1970-1976, 1997. ECOREF #18155</t>
  </si>
  <si>
    <t>Yoo,L.J., G.R. Lotufo, A.B. Gibson, J.A. Steevens, and J.G. Sims. Toxicity and Bioaccumulation of 2,4,6-Trinitrotoluene in Fathead Minnow (Pimephales promelas). Environ. Toxicol. Chem.25(12): 3253-3260, 2006. ECOREF #115501</t>
  </si>
  <si>
    <t>Zanella,E.. Effect of pH on Acute Toxicity of Dehydroabietic Acid and Chlorinated Dehydroabietic Acid to Fish and Daphnia. Bull. Environ. Contam. Toxicol.30(2): 133-140, 1983. ECOREF #10550</t>
  </si>
  <si>
    <t>Zillich,J.. A Biological Evaluation of Six Chemicals Used to Disperse Oil Spills. Michigan Dep.Natural Resour., Water Resour.Commiss., Lansing, MI:12 p., 1969. ECOREF #959</t>
  </si>
  <si>
    <t>Category</t>
  </si>
  <si>
    <t>Parameter Group</t>
  </si>
  <si>
    <t>Name</t>
  </si>
  <si>
    <t>Value</t>
  </si>
  <si>
    <t>Additional Info</t>
  </si>
  <si>
    <t>Search run-time</t>
  </si>
  <si>
    <t>Habitat</t>
  </si>
  <si>
    <t>Aquatic</t>
  </si>
  <si>
    <t>Chemicals</t>
  </si>
  <si>
    <t>Effect Measurements</t>
  </si>
  <si>
    <t>Mortality Group</t>
  </si>
  <si>
    <t>ALL</t>
  </si>
  <si>
    <t>Endpoints</t>
  </si>
  <si>
    <t>Concentration Based Endpoints</t>
  </si>
  <si>
    <t>Species</t>
  </si>
  <si>
    <t>Name(s) / Number(s)</t>
  </si>
  <si>
    <t>Pimephalespromelas</t>
  </si>
  <si>
    <t>Test Conditions</t>
  </si>
  <si>
    <t>Publication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</si>
</sst>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62" x14ac:knownFonts="1">
    <font>
      <sz val="11"/>
      <color indexed="8"/>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s>
  <fills count="3">
    <fill>
      <patternFill patternType="none"/>
    </fill>
    <fill>
      <patternFill patternType="gray125"/>
    </fill>
    <fill>
      <patternFill patternType="none">
        <bgColor indexed="64"/>
      </patternFill>
    </fill>
  </fills>
  <borders count="2">
    <border>
      <left/>
      <right/>
      <top/>
      <bottom/>
      <diagonal/>
    </border>
    <border>
      <left/>
      <right/>
      <top/>
      <bottom/>
      <diagonal/>
    </border>
  </borders>
  <cellStyleXfs count="1">
    <xf numFmtId="0" fontId="0" fillId="0" borderId="0"/>
  </cellStyleXfs>
  <cellXfs count="46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8" fillId="0" borderId="0" xfId="0" applyFont="1"/>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0" borderId="0" xfId="0" applyFont="1"/>
    <xf numFmtId="0" fontId="75" fillId="0" borderId="0" xfId="0" applyFont="1"/>
    <xf numFmtId="0" fontId="76" fillId="0" borderId="0" xfId="0" applyFont="1"/>
    <xf numFmtId="0" fontId="77" fillId="0" borderId="0" xfId="0" applyFont="1"/>
    <xf numFmtId="0" fontId="78" fillId="0" borderId="0" xfId="0" applyFont="1"/>
    <xf numFmtId="0" fontId="79" fillId="0" borderId="0" xfId="0" applyFont="1"/>
    <xf numFmtId="0" fontId="80" fillId="0" borderId="0" xfId="0" applyFont="1"/>
    <xf numFmtId="0" fontId="81" fillId="0" borderId="0" xfId="0" applyFont="1"/>
    <xf numFmtId="0" fontId="82" fillId="0" borderId="0" xfId="0" applyFont="1"/>
    <xf numFmtId="0" fontId="83" fillId="0" borderId="0" xfId="0" applyFont="1"/>
    <xf numFmtId="0" fontId="84" fillId="0" borderId="0" xfId="0" applyFont="1"/>
    <xf numFmtId="0" fontId="85" fillId="0" borderId="0" xfId="0" applyFont="1"/>
    <xf numFmtId="0" fontId="86" fillId="0" borderId="0" xfId="0" applyFont="1"/>
    <xf numFmtId="0" fontId="87" fillId="0" borderId="0" xfId="0" applyFont="1"/>
    <xf numFmtId="0" fontId="88" fillId="0" borderId="0" xfId="0" applyFont="1"/>
    <xf numFmtId="0" fontId="89" fillId="0" borderId="0" xfId="0" applyFont="1"/>
    <xf numFmtId="0" fontId="90" fillId="0" borderId="0" xfId="0" applyFont="1"/>
    <xf numFmtId="0" fontId="91" fillId="0" borderId="0" xfId="0" applyFont="1"/>
    <xf numFmtId="0" fontId="92" fillId="0" borderId="0" xfId="0" applyFont="1"/>
    <xf numFmtId="0" fontId="93" fillId="0" borderId="0" xfId="0" applyFont="1"/>
    <xf numFmtId="0" fontId="94" fillId="0" borderId="0" xfId="0" applyFont="1"/>
    <xf numFmtId="0" fontId="95" fillId="0" borderId="0" xfId="0" applyFont="1"/>
    <xf numFmtId="0" fontId="96" fillId="0" borderId="0" xfId="0" applyFont="1"/>
    <xf numFmtId="0" fontId="97" fillId="0" borderId="0" xfId="0" applyFont="1"/>
    <xf numFmtId="0" fontId="98" fillId="0" borderId="0" xfId="0" applyFont="1"/>
    <xf numFmtId="0" fontId="99" fillId="0" borderId="0" xfId="0" applyFont="1"/>
    <xf numFmtId="0" fontId="100" fillId="0" borderId="0" xfId="0" applyFont="1"/>
    <xf numFmtId="0" fontId="101" fillId="0" borderId="0" xfId="0" applyFont="1"/>
    <xf numFmtId="0" fontId="102" fillId="0" borderId="0" xfId="0" applyFont="1"/>
    <xf numFmtId="0" fontId="103" fillId="0" borderId="0" xfId="0" applyFont="1"/>
    <xf numFmtId="0" fontId="104" fillId="0" borderId="0" xfId="0" applyFont="1"/>
    <xf numFmtId="0" fontId="105" fillId="0" borderId="0" xfId="0" applyFont="1"/>
    <xf numFmtId="0" fontId="106" fillId="0" borderId="0" xfId="0" applyFont="1"/>
    <xf numFmtId="0" fontId="107" fillId="0" borderId="0" xfId="0" applyFont="1"/>
    <xf numFmtId="0" fontId="108" fillId="0" borderId="0" xfId="0" applyFont="1"/>
    <xf numFmtId="0" fontId="109" fillId="0" borderId="0" xfId="0" applyFont="1"/>
    <xf numFmtId="0" fontId="110" fillId="0" borderId="0" xfId="0" applyFont="1"/>
    <xf numFmtId="0" fontId="111" fillId="0" borderId="0" xfId="0" applyFont="1"/>
    <xf numFmtId="0" fontId="112" fillId="0" borderId="0" xfId="0" applyFont="1"/>
    <xf numFmtId="0" fontId="113" fillId="0" borderId="0" xfId="0" applyFont="1"/>
    <xf numFmtId="0" fontId="114" fillId="0" borderId="0" xfId="0" applyFont="1"/>
    <xf numFmtId="0" fontId="115" fillId="0" borderId="0" xfId="0" applyFont="1"/>
    <xf numFmtId="0" fontId="116" fillId="0" borderId="0" xfId="0" applyFont="1"/>
    <xf numFmtId="0" fontId="117" fillId="0" borderId="0" xfId="0" applyFont="1"/>
    <xf numFmtId="0" fontId="118" fillId="0" borderId="0" xfId="0" applyFont="1"/>
    <xf numFmtId="0" fontId="119" fillId="0" borderId="0" xfId="0" applyFont="1"/>
    <xf numFmtId="0" fontId="120" fillId="0" borderId="0" xfId="0" applyFont="1"/>
    <xf numFmtId="0" fontId="121" fillId="0" borderId="0" xfId="0" applyFont="1"/>
    <xf numFmtId="0" fontId="122" fillId="0" borderId="0" xfId="0" applyFont="1"/>
    <xf numFmtId="0" fontId="123" fillId="0" borderId="0" xfId="0" applyFont="1"/>
    <xf numFmtId="0" fontId="124" fillId="0" borderId="0" xfId="0" applyFont="1"/>
    <xf numFmtId="0" fontId="125" fillId="0" borderId="0" xfId="0" applyFont="1"/>
    <xf numFmtId="0" fontId="126" fillId="0" borderId="0" xfId="0" applyFont="1"/>
    <xf numFmtId="0" fontId="127" fillId="0" borderId="0" xfId="0" applyFont="1"/>
    <xf numFmtId="0" fontId="128" fillId="0" borderId="0" xfId="0" applyFont="1"/>
    <xf numFmtId="0" fontId="129" fillId="0" borderId="0" xfId="0" applyFont="1"/>
    <xf numFmtId="0" fontId="130" fillId="0" borderId="0" xfId="0" applyFont="1"/>
    <xf numFmtId="0" fontId="131" fillId="0" borderId="0" xfId="0" applyFont="1"/>
    <xf numFmtId="0" fontId="132" fillId="0" borderId="0" xfId="0" applyFont="1"/>
    <xf numFmtId="0" fontId="133" fillId="0" borderId="0" xfId="0" applyFont="1"/>
    <xf numFmtId="0" fontId="134" fillId="0" borderId="0" xfId="0" applyFont="1"/>
    <xf numFmtId="0" fontId="135" fillId="0" borderId="0" xfId="0" applyFont="1"/>
    <xf numFmtId="0" fontId="136" fillId="0" borderId="0" xfId="0" applyFont="1"/>
    <xf numFmtId="0" fontId="137" fillId="0" borderId="0" xfId="0" applyFont="1"/>
    <xf numFmtId="0" fontId="138" fillId="0" borderId="0" xfId="0" applyFont="1"/>
    <xf numFmtId="0" fontId="139" fillId="0" borderId="0" xfId="0" applyFont="1"/>
    <xf numFmtId="0" fontId="140" fillId="0" borderId="0" xfId="0" applyFont="1"/>
    <xf numFmtId="0" fontId="141" fillId="0" borderId="0" xfId="0" applyFont="1"/>
    <xf numFmtId="0" fontId="142" fillId="0" borderId="0" xfId="0" applyFont="1"/>
    <xf numFmtId="0" fontId="143" fillId="0" borderId="0" xfId="0" applyFont="1"/>
    <xf numFmtId="0" fontId="144" fillId="0" borderId="0" xfId="0" applyFont="1"/>
    <xf numFmtId="0" fontId="145" fillId="0" borderId="0" xfId="0" applyFont="1"/>
    <xf numFmtId="0" fontId="146" fillId="0" borderId="0" xfId="0" applyFont="1"/>
    <xf numFmtId="0" fontId="147" fillId="0" borderId="0" xfId="0" applyFont="1"/>
    <xf numFmtId="0" fontId="148" fillId="0" borderId="0" xfId="0" applyFont="1"/>
    <xf numFmtId="0" fontId="149" fillId="0" borderId="0" xfId="0" applyFont="1"/>
    <xf numFmtId="0" fontId="150" fillId="0" borderId="0" xfId="0" applyFont="1"/>
    <xf numFmtId="0" fontId="151" fillId="0" borderId="0" xfId="0" applyFont="1"/>
    <xf numFmtId="0" fontId="152" fillId="0" borderId="0" xfId="0" applyFont="1"/>
    <xf numFmtId="0" fontId="153" fillId="0" borderId="0" xfId="0" applyFont="1"/>
    <xf numFmtId="0" fontId="154" fillId="0" borderId="0" xfId="0" applyFont="1"/>
    <xf numFmtId="0" fontId="155" fillId="0" borderId="0" xfId="0" applyFont="1"/>
    <xf numFmtId="0" fontId="156" fillId="0" borderId="0" xfId="0" applyFont="1"/>
    <xf numFmtId="0" fontId="157" fillId="0" borderId="0" xfId="0" applyFont="1"/>
    <xf numFmtId="0" fontId="158" fillId="0" borderId="0" xfId="0" applyFont="1"/>
    <xf numFmtId="0" fontId="159" fillId="0" borderId="0" xfId="0" applyFont="1"/>
    <xf numFmtId="0" fontId="160" fillId="0" borderId="0" xfId="0" applyFont="1"/>
    <xf numFmtId="0" fontId="161" fillId="0" borderId="0" xfId="0" applyFont="1"/>
    <xf numFmtId="0" fontId="162" fillId="0" borderId="0" xfId="0" applyFont="1"/>
    <xf numFmtId="0" fontId="163" fillId="0" borderId="0" xfId="0" applyFont="1"/>
    <xf numFmtId="0" fontId="164" fillId="0" borderId="0" xfId="0" applyFont="1"/>
    <xf numFmtId="0" fontId="165" fillId="0" borderId="0" xfId="0" applyFont="1"/>
    <xf numFmtId="0" fontId="166" fillId="0" borderId="0" xfId="0" applyFont="1"/>
    <xf numFmtId="0" fontId="167" fillId="0" borderId="0" xfId="0" applyFont="1"/>
    <xf numFmtId="0" fontId="168" fillId="0" borderId="0" xfId="0" applyFont="1"/>
    <xf numFmtId="0" fontId="169" fillId="0" borderId="0" xfId="0" applyFont="1"/>
    <xf numFmtId="0" fontId="170" fillId="0" borderId="0" xfId="0" applyFont="1"/>
    <xf numFmtId="0" fontId="171" fillId="0" borderId="0" xfId="0" applyFont="1"/>
    <xf numFmtId="0" fontId="172" fillId="0" borderId="0" xfId="0" applyFont="1"/>
    <xf numFmtId="0" fontId="173" fillId="0" borderId="0" xfId="0" applyFont="1"/>
    <xf numFmtId="0" fontId="174" fillId="0" borderId="0" xfId="0" applyFont="1"/>
    <xf numFmtId="0" fontId="175" fillId="0" borderId="0" xfId="0" applyFont="1"/>
    <xf numFmtId="0" fontId="176" fillId="0" borderId="0" xfId="0" applyFont="1"/>
    <xf numFmtId="0" fontId="177" fillId="0" borderId="0" xfId="0" applyFont="1"/>
    <xf numFmtId="0" fontId="178" fillId="0" borderId="0" xfId="0" applyFont="1"/>
    <xf numFmtId="0" fontId="179" fillId="0" borderId="0" xfId="0" applyFont="1"/>
    <xf numFmtId="0" fontId="180" fillId="0" borderId="0" xfId="0" applyFont="1"/>
    <xf numFmtId="0" fontId="181" fillId="0" borderId="0" xfId="0" applyFont="1"/>
    <xf numFmtId="0" fontId="182" fillId="0" borderId="0" xfId="0" applyFont="1"/>
    <xf numFmtId="0" fontId="183" fillId="0" borderId="0" xfId="0" applyFont="1"/>
    <xf numFmtId="0" fontId="184" fillId="0" borderId="0" xfId="0" applyFont="1"/>
    <xf numFmtId="0" fontId="185" fillId="0" borderId="0" xfId="0" applyFont="1"/>
    <xf numFmtId="0" fontId="186" fillId="0" borderId="0" xfId="0" applyFont="1"/>
    <xf numFmtId="0" fontId="187" fillId="0" borderId="0" xfId="0" applyFont="1"/>
    <xf numFmtId="0" fontId="188" fillId="0" borderId="0" xfId="0" applyFont="1"/>
    <xf numFmtId="0" fontId="189" fillId="0" borderId="0" xfId="0" applyFont="1"/>
    <xf numFmtId="0" fontId="190" fillId="0" borderId="0" xfId="0" applyFont="1"/>
    <xf numFmtId="0" fontId="191" fillId="0" borderId="0" xfId="0" applyFont="1"/>
    <xf numFmtId="0" fontId="192" fillId="0" borderId="0" xfId="0" applyFont="1"/>
    <xf numFmtId="0" fontId="193" fillId="0" borderId="0" xfId="0" applyFont="1"/>
    <xf numFmtId="0" fontId="194" fillId="0" borderId="0" xfId="0" applyFont="1"/>
    <xf numFmtId="0" fontId="195" fillId="0" borderId="0" xfId="0" applyFont="1"/>
    <xf numFmtId="0" fontId="196" fillId="0" borderId="0" xfId="0" applyFont="1"/>
    <xf numFmtId="0" fontId="197" fillId="0" borderId="0" xfId="0" applyFont="1"/>
    <xf numFmtId="0" fontId="198" fillId="0" borderId="0" xfId="0" applyFont="1"/>
    <xf numFmtId="0" fontId="199" fillId="0" borderId="0" xfId="0" applyFont="1"/>
    <xf numFmtId="0" fontId="200" fillId="0" borderId="0" xfId="0" applyFont="1"/>
    <xf numFmtId="0" fontId="201" fillId="0" borderId="0" xfId="0" applyFont="1"/>
    <xf numFmtId="0" fontId="202" fillId="0" borderId="0" xfId="0" applyFont="1"/>
    <xf numFmtId="0" fontId="203" fillId="0" borderId="0" xfId="0" applyFont="1"/>
    <xf numFmtId="0" fontId="204" fillId="0" borderId="0" xfId="0" applyFont="1"/>
    <xf numFmtId="0" fontId="205" fillId="0" borderId="0" xfId="0" applyFont="1"/>
    <xf numFmtId="0" fontId="206" fillId="0" borderId="0" xfId="0" applyFont="1"/>
    <xf numFmtId="0" fontId="207" fillId="0" borderId="0" xfId="0" applyFont="1"/>
    <xf numFmtId="0" fontId="208" fillId="0" borderId="0" xfId="0" applyFont="1"/>
    <xf numFmtId="0" fontId="209" fillId="0" borderId="0" xfId="0" applyFont="1"/>
    <xf numFmtId="0" fontId="210" fillId="0" borderId="0" xfId="0" applyFont="1"/>
    <xf numFmtId="0" fontId="211" fillId="0" borderId="0" xfId="0" applyFont="1"/>
    <xf numFmtId="0" fontId="212" fillId="0" borderId="0" xfId="0" applyFont="1"/>
    <xf numFmtId="0" fontId="213" fillId="0" borderId="0" xfId="0" applyFont="1"/>
    <xf numFmtId="0" fontId="214" fillId="0" borderId="0" xfId="0" applyFont="1"/>
    <xf numFmtId="0" fontId="215" fillId="0" borderId="0" xfId="0" applyFont="1"/>
    <xf numFmtId="0" fontId="216" fillId="0" borderId="0" xfId="0" applyFont="1"/>
    <xf numFmtId="0" fontId="217" fillId="0" borderId="0" xfId="0" applyFont="1"/>
    <xf numFmtId="0" fontId="218" fillId="0" borderId="0" xfId="0" applyFont="1"/>
    <xf numFmtId="0" fontId="219" fillId="0" borderId="0" xfId="0" applyFont="1"/>
    <xf numFmtId="0" fontId="220" fillId="0" borderId="0" xfId="0" applyFont="1"/>
    <xf numFmtId="0" fontId="221" fillId="0" borderId="0" xfId="0" applyFont="1"/>
    <xf numFmtId="0" fontId="222" fillId="0" borderId="0" xfId="0" applyFont="1"/>
    <xf numFmtId="0" fontId="223" fillId="0" borderId="0" xfId="0" applyFont="1"/>
    <xf numFmtId="0" fontId="224" fillId="0" borderId="0" xfId="0" applyFont="1"/>
    <xf numFmtId="0" fontId="225" fillId="0" borderId="0" xfId="0" applyFont="1"/>
    <xf numFmtId="0" fontId="226" fillId="0" borderId="0" xfId="0" applyFont="1"/>
    <xf numFmtId="0" fontId="227" fillId="0" borderId="0" xfId="0" applyFont="1"/>
    <xf numFmtId="0" fontId="228" fillId="0" borderId="0" xfId="0" applyFont="1"/>
    <xf numFmtId="0" fontId="229" fillId="0" borderId="0" xfId="0" applyFont="1"/>
    <xf numFmtId="0" fontId="230" fillId="0" borderId="0" xfId="0" applyFont="1"/>
    <xf numFmtId="0" fontId="231" fillId="0" borderId="0" xfId="0" applyFont="1"/>
    <xf numFmtId="0" fontId="232" fillId="0" borderId="0" xfId="0" applyFont="1"/>
    <xf numFmtId="0" fontId="233" fillId="0" borderId="0" xfId="0" applyFont="1"/>
    <xf numFmtId="0" fontId="234" fillId="0" borderId="0" xfId="0" applyFont="1"/>
    <xf numFmtId="0" fontId="235" fillId="0" borderId="0" xfId="0" applyFont="1"/>
    <xf numFmtId="0" fontId="236" fillId="0" borderId="0" xfId="0" applyFont="1"/>
    <xf numFmtId="0" fontId="237" fillId="0" borderId="0" xfId="0" applyFont="1"/>
    <xf numFmtId="0" fontId="238" fillId="0" borderId="0" xfId="0" applyFont="1"/>
    <xf numFmtId="0" fontId="239" fillId="0" borderId="0" xfId="0" applyFont="1"/>
    <xf numFmtId="0" fontId="240" fillId="0" borderId="0" xfId="0" applyFont="1"/>
    <xf numFmtId="0" fontId="241" fillId="0" borderId="0" xfId="0" applyFont="1"/>
    <xf numFmtId="0" fontId="242" fillId="0" borderId="0" xfId="0" applyFont="1"/>
    <xf numFmtId="0" fontId="243" fillId="0" borderId="0" xfId="0" applyFont="1"/>
    <xf numFmtId="0" fontId="244" fillId="0" borderId="0" xfId="0" applyFont="1"/>
    <xf numFmtId="0" fontId="245" fillId="0" borderId="0" xfId="0" applyFont="1"/>
    <xf numFmtId="0" fontId="246" fillId="0" borderId="0" xfId="0" applyFont="1"/>
    <xf numFmtId="0" fontId="247" fillId="0" borderId="0" xfId="0" applyFont="1"/>
    <xf numFmtId="0" fontId="248" fillId="0" borderId="0" xfId="0" applyFont="1"/>
    <xf numFmtId="0" fontId="249" fillId="0" borderId="0" xfId="0" applyFont="1"/>
    <xf numFmtId="0" fontId="250" fillId="0" borderId="0" xfId="0" applyFont="1"/>
    <xf numFmtId="0" fontId="251" fillId="0" borderId="0" xfId="0" applyFont="1"/>
    <xf numFmtId="0" fontId="252" fillId="0" borderId="0" xfId="0" applyFont="1"/>
    <xf numFmtId="0" fontId="253" fillId="0" borderId="0" xfId="0" applyFont="1"/>
    <xf numFmtId="0" fontId="254" fillId="0" borderId="0" xfId="0" applyFont="1"/>
    <xf numFmtId="0" fontId="255" fillId="0" borderId="0" xfId="0" applyFont="1"/>
    <xf numFmtId="0" fontId="256" fillId="0" borderId="0" xfId="0" applyFont="1"/>
    <xf numFmtId="0" fontId="257" fillId="0" borderId="0" xfId="0" applyFont="1"/>
    <xf numFmtId="0" fontId="258" fillId="0" borderId="0" xfId="0" applyFont="1"/>
    <xf numFmtId="0" fontId="259" fillId="0" borderId="0" xfId="0" applyFont="1"/>
    <xf numFmtId="0" fontId="260" fillId="0" borderId="0" xfId="0" applyFont="1"/>
    <xf numFmtId="0" fontId="261" fillId="0" borderId="0" xfId="0" applyFont="1"/>
    <xf numFmtId="0" fontId="262" fillId="0" borderId="0" xfId="0" applyFont="1"/>
    <xf numFmtId="0" fontId="263" fillId="0" borderId="0" xfId="0" applyFont="1"/>
    <xf numFmtId="0" fontId="264" fillId="0" borderId="0" xfId="0" applyFont="1"/>
    <xf numFmtId="0" fontId="265" fillId="0" borderId="0" xfId="0" applyFont="1"/>
    <xf numFmtId="0" fontId="266" fillId="0" borderId="0" xfId="0" applyFont="1"/>
    <xf numFmtId="0" fontId="267" fillId="0" borderId="0" xfId="0" applyFont="1"/>
    <xf numFmtId="0" fontId="268" fillId="0" borderId="0" xfId="0" applyFont="1"/>
    <xf numFmtId="0" fontId="269" fillId="0" borderId="0" xfId="0" applyFont="1"/>
    <xf numFmtId="0" fontId="270" fillId="0" borderId="0" xfId="0" applyFont="1"/>
    <xf numFmtId="0" fontId="271" fillId="0" borderId="0" xfId="0" applyFont="1"/>
    <xf numFmtId="0" fontId="272" fillId="0" borderId="0" xfId="0" applyFont="1"/>
    <xf numFmtId="0" fontId="273" fillId="0" borderId="0" xfId="0" applyFont="1"/>
    <xf numFmtId="0" fontId="274" fillId="0" borderId="0" xfId="0" applyFont="1"/>
    <xf numFmtId="0" fontId="275" fillId="0" borderId="0" xfId="0" applyFont="1"/>
    <xf numFmtId="0" fontId="276" fillId="0" borderId="0" xfId="0" applyFont="1"/>
    <xf numFmtId="0" fontId="277" fillId="0" borderId="0" xfId="0" applyFont="1"/>
    <xf numFmtId="0" fontId="278" fillId="0" borderId="0" xfId="0" applyFont="1"/>
    <xf numFmtId="0" fontId="279" fillId="0" borderId="0" xfId="0" applyFont="1"/>
    <xf numFmtId="0" fontId="280" fillId="0" borderId="0" xfId="0" applyFont="1"/>
    <xf numFmtId="0" fontId="281" fillId="0" borderId="0" xfId="0" applyFont="1"/>
    <xf numFmtId="0" fontId="282" fillId="0" borderId="0" xfId="0" applyFont="1"/>
    <xf numFmtId="0" fontId="283" fillId="0" borderId="0" xfId="0" applyFont="1"/>
    <xf numFmtId="0" fontId="284" fillId="0" borderId="0" xfId="0" applyFont="1"/>
    <xf numFmtId="0" fontId="285" fillId="0" borderId="0" xfId="0" applyFont="1"/>
    <xf numFmtId="0" fontId="286" fillId="0" borderId="0" xfId="0" applyFont="1"/>
    <xf numFmtId="0" fontId="287" fillId="0" borderId="0" xfId="0" applyFont="1"/>
    <xf numFmtId="0" fontId="288" fillId="0" borderId="0" xfId="0" applyFont="1"/>
    <xf numFmtId="0" fontId="289" fillId="0" borderId="0" xfId="0" applyFont="1"/>
    <xf numFmtId="0" fontId="290" fillId="0" borderId="0" xfId="0" applyFont="1"/>
    <xf numFmtId="0" fontId="291" fillId="0" borderId="0" xfId="0" applyFont="1"/>
    <xf numFmtId="0" fontId="292" fillId="0" borderId="0" xfId="0" applyFont="1"/>
    <xf numFmtId="0" fontId="293" fillId="0" borderId="0" xfId="0" applyFont="1"/>
    <xf numFmtId="0" fontId="294" fillId="0" borderId="0" xfId="0" applyFont="1"/>
    <xf numFmtId="0" fontId="295" fillId="0" borderId="0" xfId="0" applyFont="1"/>
    <xf numFmtId="0" fontId="296" fillId="0" borderId="0" xfId="0" applyFont="1"/>
    <xf numFmtId="0" fontId="297" fillId="0" borderId="0" xfId="0" applyFont="1"/>
    <xf numFmtId="0" fontId="298" fillId="0" borderId="0" xfId="0" applyFont="1"/>
    <xf numFmtId="0" fontId="299" fillId="0" borderId="0" xfId="0" applyFont="1"/>
    <xf numFmtId="0" fontId="300" fillId="0" borderId="0" xfId="0" applyFont="1"/>
    <xf numFmtId="0" fontId="301" fillId="0" borderId="0" xfId="0" applyFont="1"/>
    <xf numFmtId="0" fontId="302" fillId="0" borderId="0" xfId="0" applyFont="1"/>
    <xf numFmtId="0" fontId="303" fillId="0" borderId="0" xfId="0" applyFont="1"/>
    <xf numFmtId="0" fontId="304" fillId="0" borderId="0" xfId="0" applyFont="1"/>
    <xf numFmtId="0" fontId="305" fillId="0" borderId="0" xfId="0" applyFont="1"/>
    <xf numFmtId="0" fontId="306" fillId="0" borderId="0" xfId="0" applyFont="1"/>
    <xf numFmtId="0" fontId="307" fillId="0" borderId="0" xfId="0" applyFont="1"/>
    <xf numFmtId="0" fontId="308" fillId="0" borderId="0" xfId="0" applyFont="1"/>
    <xf numFmtId="0" fontId="309" fillId="0" borderId="0" xfId="0" applyFont="1"/>
    <xf numFmtId="0" fontId="310" fillId="0" borderId="0" xfId="0" applyFont="1"/>
    <xf numFmtId="0" fontId="311" fillId="0" borderId="0" xfId="0" applyFont="1"/>
    <xf numFmtId="0" fontId="312" fillId="0" borderId="0" xfId="0" applyFont="1"/>
    <xf numFmtId="0" fontId="313" fillId="0" borderId="0" xfId="0" applyFont="1"/>
    <xf numFmtId="0" fontId="314" fillId="0" borderId="0" xfId="0" applyFont="1"/>
    <xf numFmtId="0" fontId="315" fillId="0" borderId="0" xfId="0" applyFont="1"/>
    <xf numFmtId="0" fontId="316" fillId="0" borderId="0" xfId="0" applyFont="1"/>
    <xf numFmtId="0" fontId="317" fillId="0" borderId="0" xfId="0" applyFont="1"/>
    <xf numFmtId="0" fontId="318" fillId="0" borderId="0" xfId="0" applyFont="1"/>
    <xf numFmtId="0" fontId="319" fillId="0" borderId="0" xfId="0" applyFont="1"/>
    <xf numFmtId="0" fontId="320" fillId="0" borderId="0" xfId="0" applyFont="1"/>
    <xf numFmtId="0" fontId="321" fillId="0" borderId="0" xfId="0" applyFont="1"/>
    <xf numFmtId="0" fontId="322" fillId="0" borderId="0" xfId="0" applyFont="1"/>
    <xf numFmtId="0" fontId="323" fillId="0" borderId="0" xfId="0" applyFont="1"/>
    <xf numFmtId="0" fontId="324" fillId="0" borderId="0" xfId="0" applyFont="1"/>
    <xf numFmtId="0" fontId="325" fillId="0" borderId="0" xfId="0" applyFont="1"/>
    <xf numFmtId="0" fontId="326" fillId="0" borderId="0" xfId="0" applyFont="1"/>
    <xf numFmtId="0" fontId="327" fillId="0" borderId="0" xfId="0" applyFont="1"/>
    <xf numFmtId="0" fontId="328" fillId="0" borderId="0" xfId="0" applyFont="1"/>
    <xf numFmtId="0" fontId="329" fillId="0" borderId="0" xfId="0" applyFont="1"/>
    <xf numFmtId="0" fontId="330" fillId="0" borderId="0" xfId="0" applyFont="1"/>
    <xf numFmtId="0" fontId="331" fillId="0" borderId="0" xfId="0" applyFont="1"/>
    <xf numFmtId="0" fontId="332" fillId="0" borderId="0" xfId="0" applyFont="1"/>
    <xf numFmtId="0" fontId="333" fillId="0" borderId="0" xfId="0" applyFont="1"/>
    <xf numFmtId="0" fontId="334" fillId="0" borderId="0" xfId="0" applyFont="1"/>
    <xf numFmtId="0" fontId="335" fillId="0" borderId="0" xfId="0" applyFont="1"/>
    <xf numFmtId="0" fontId="336" fillId="0" borderId="0" xfId="0" applyFont="1"/>
    <xf numFmtId="0" fontId="337" fillId="0" borderId="0" xfId="0" applyFont="1"/>
    <xf numFmtId="0" fontId="338" fillId="0" borderId="0" xfId="0" applyFont="1"/>
    <xf numFmtId="0" fontId="339" fillId="0" borderId="0" xfId="0" applyFont="1"/>
    <xf numFmtId="0" fontId="340" fillId="0" borderId="0" xfId="0" applyFont="1"/>
    <xf numFmtId="0" fontId="341" fillId="0" borderId="0" xfId="0" applyFont="1"/>
    <xf numFmtId="0" fontId="342" fillId="0" borderId="0" xfId="0" applyFont="1"/>
    <xf numFmtId="0" fontId="343" fillId="0" borderId="0" xfId="0" applyFont="1"/>
    <xf numFmtId="0" fontId="344" fillId="0" borderId="0" xfId="0" applyFont="1"/>
    <xf numFmtId="0" fontId="345" fillId="0" borderId="0" xfId="0" applyFont="1"/>
    <xf numFmtId="0" fontId="346" fillId="0" borderId="0" xfId="0" applyFont="1"/>
    <xf numFmtId="0" fontId="347" fillId="0" borderId="0" xfId="0" applyFont="1"/>
    <xf numFmtId="0" fontId="348" fillId="0" borderId="0" xfId="0" applyFont="1"/>
    <xf numFmtId="0" fontId="349" fillId="0" borderId="0" xfId="0" applyFont="1"/>
    <xf numFmtId="0" fontId="350" fillId="0" borderId="0" xfId="0" applyFont="1"/>
    <xf numFmtId="0" fontId="351" fillId="0" borderId="0" xfId="0" applyFont="1"/>
    <xf numFmtId="0" fontId="352" fillId="0" borderId="0" xfId="0" applyFont="1"/>
    <xf numFmtId="0" fontId="353" fillId="0" borderId="0" xfId="0" applyFont="1"/>
    <xf numFmtId="0" fontId="354" fillId="0" borderId="0" xfId="0" applyFont="1"/>
    <xf numFmtId="0" fontId="355" fillId="0" borderId="0" xfId="0" applyFont="1"/>
    <xf numFmtId="0" fontId="356" fillId="0" borderId="0" xfId="0" applyFont="1"/>
    <xf numFmtId="0" fontId="357" fillId="0" borderId="0" xfId="0" applyFont="1"/>
    <xf numFmtId="0" fontId="358" fillId="0" borderId="0" xfId="0" applyFont="1"/>
    <xf numFmtId="0" fontId="359" fillId="0" borderId="0" xfId="0" applyFont="1"/>
    <xf numFmtId="0" fontId="360" fillId="0" borderId="0" xfId="0" applyFont="1"/>
    <xf numFmtId="0" fontId="361" fillId="0" borderId="0" xfId="0" applyFont="1"/>
    <xf numFmtId="0" fontId="362" fillId="0" borderId="0" xfId="0" applyFont="1"/>
    <xf numFmtId="0" fontId="363" fillId="0" borderId="0" xfId="0" applyFont="1"/>
    <xf numFmtId="0" fontId="364" fillId="0" borderId="0" xfId="0" applyFont="1"/>
    <xf numFmtId="0" fontId="365" fillId="0" borderId="0" xfId="0" applyFont="1"/>
    <xf numFmtId="0" fontId="366" fillId="0" borderId="0" xfId="0" applyFont="1"/>
    <xf numFmtId="0" fontId="367" fillId="0" borderId="0" xfId="0" applyFont="1"/>
    <xf numFmtId="0" fontId="368" fillId="0" borderId="0" xfId="0" applyFont="1"/>
    <xf numFmtId="0" fontId="369" fillId="0" borderId="0" xfId="0" applyFont="1"/>
    <xf numFmtId="0" fontId="370" fillId="0" borderId="0" xfId="0" applyFont="1"/>
    <xf numFmtId="0" fontId="371" fillId="0" borderId="0" xfId="0" applyFont="1"/>
    <xf numFmtId="0" fontId="372" fillId="0" borderId="0" xfId="0" applyFont="1"/>
    <xf numFmtId="0" fontId="373" fillId="0" borderId="0" xfId="0" applyFont="1"/>
    <xf numFmtId="0" fontId="374" fillId="0" borderId="0" xfId="0" applyFont="1"/>
    <xf numFmtId="0" fontId="375" fillId="0" borderId="0" xfId="0" applyFont="1"/>
    <xf numFmtId="0" fontId="376" fillId="0" borderId="0" xfId="0" applyFont="1"/>
    <xf numFmtId="0" fontId="377" fillId="0" borderId="0" xfId="0" applyFont="1"/>
    <xf numFmtId="0" fontId="378" fillId="0" borderId="0" xfId="0" applyFont="1"/>
    <xf numFmtId="0" fontId="379" fillId="0" borderId="0" xfId="0" applyFont="1"/>
    <xf numFmtId="0" fontId="380" fillId="0" borderId="0" xfId="0" applyFont="1"/>
    <xf numFmtId="0" fontId="381" fillId="0" borderId="0" xfId="0" applyFont="1"/>
    <xf numFmtId="0" fontId="382" fillId="0" borderId="0" xfId="0" applyFont="1"/>
    <xf numFmtId="0" fontId="383" fillId="0" borderId="0" xfId="0" applyFont="1"/>
    <xf numFmtId="0" fontId="384" fillId="0" borderId="0" xfId="0" applyFont="1"/>
    <xf numFmtId="0" fontId="385" fillId="0" borderId="0" xfId="0" applyFont="1"/>
    <xf numFmtId="0" fontId="386" fillId="0" borderId="0" xfId="0" applyFont="1"/>
    <xf numFmtId="0" fontId="387" fillId="0" borderId="0" xfId="0" applyFont="1"/>
    <xf numFmtId="0" fontId="388" fillId="0" borderId="0" xfId="0" applyFont="1"/>
    <xf numFmtId="0" fontId="389" fillId="0" borderId="0" xfId="0" applyFont="1"/>
    <xf numFmtId="0" fontId="390" fillId="0" borderId="0" xfId="0" applyFont="1"/>
    <xf numFmtId="0" fontId="391" fillId="0" borderId="0" xfId="0" applyFont="1"/>
    <xf numFmtId="0" fontId="392" fillId="0" borderId="0" xfId="0" applyFont="1"/>
    <xf numFmtId="0" fontId="393" fillId="0" borderId="0" xfId="0" applyFont="1"/>
    <xf numFmtId="0" fontId="394" fillId="0" borderId="0" xfId="0" applyFont="1"/>
    <xf numFmtId="0" fontId="395" fillId="0" borderId="0" xfId="0" applyFont="1"/>
    <xf numFmtId="0" fontId="396" fillId="0" borderId="0" xfId="0" applyFont="1"/>
    <xf numFmtId="0" fontId="397" fillId="0" borderId="0" xfId="0" applyFont="1"/>
    <xf numFmtId="0" fontId="398" fillId="0" borderId="0" xfId="0" applyFont="1"/>
    <xf numFmtId="0" fontId="399" fillId="0" borderId="0" xfId="0" applyFont="1"/>
    <xf numFmtId="0" fontId="400" fillId="0" borderId="0" xfId="0" applyFont="1"/>
    <xf numFmtId="0" fontId="401" fillId="0" borderId="0" xfId="0" applyFont="1"/>
    <xf numFmtId="0" fontId="402" fillId="0" borderId="0" xfId="0" applyFont="1"/>
    <xf numFmtId="0" fontId="403" fillId="0" borderId="0" xfId="0" applyFont="1"/>
    <xf numFmtId="0" fontId="404" fillId="0" borderId="0" xfId="0" applyFont="1"/>
    <xf numFmtId="0" fontId="405" fillId="0" borderId="0" xfId="0" applyFont="1"/>
    <xf numFmtId="0" fontId="406" fillId="0" borderId="0" xfId="0" applyFont="1"/>
    <xf numFmtId="0" fontId="407" fillId="0" borderId="0" xfId="0" applyFont="1"/>
    <xf numFmtId="0" fontId="408" fillId="0" borderId="0" xfId="0" applyFont="1"/>
    <xf numFmtId="0" fontId="409" fillId="0" borderId="0" xfId="0" applyFont="1"/>
    <xf numFmtId="0" fontId="410" fillId="0" borderId="0" xfId="0" applyFont="1"/>
    <xf numFmtId="0" fontId="411" fillId="0" borderId="0" xfId="0" applyFont="1"/>
    <xf numFmtId="0" fontId="412" fillId="0" borderId="0" xfId="0" applyFont="1"/>
    <xf numFmtId="0" fontId="413" fillId="0" borderId="0" xfId="0" applyFont="1"/>
    <xf numFmtId="0" fontId="414" fillId="0" borderId="0" xfId="0" applyFont="1"/>
    <xf numFmtId="0" fontId="415" fillId="0" borderId="0" xfId="0" applyFont="1"/>
    <xf numFmtId="0" fontId="416" fillId="0" borderId="0" xfId="0" applyFont="1"/>
    <xf numFmtId="0" fontId="417" fillId="0" borderId="0" xfId="0" applyFont="1"/>
    <xf numFmtId="0" fontId="418" fillId="0" borderId="0" xfId="0" applyFont="1"/>
    <xf numFmtId="0" fontId="419" fillId="0" borderId="0" xfId="0" applyFont="1"/>
    <xf numFmtId="0" fontId="420" fillId="0" borderId="0" xfId="0" applyFont="1"/>
    <xf numFmtId="0" fontId="421" fillId="0" borderId="0" xfId="0" applyFont="1"/>
    <xf numFmtId="0" fontId="422" fillId="0" borderId="0" xfId="0" applyFont="1"/>
    <xf numFmtId="0" fontId="423" fillId="0" borderId="0" xfId="0" applyFont="1"/>
    <xf numFmtId="0" fontId="424" fillId="0" borderId="0" xfId="0" applyFont="1"/>
    <xf numFmtId="0" fontId="425" fillId="0" borderId="0" xfId="0" applyFont="1"/>
    <xf numFmtId="0" fontId="426" fillId="0" borderId="0" xfId="0" applyFont="1"/>
    <xf numFmtId="0" fontId="427" fillId="0" borderId="0" xfId="0" applyFont="1"/>
    <xf numFmtId="0" fontId="428" fillId="0" borderId="0" xfId="0" applyFont="1"/>
    <xf numFmtId="0" fontId="429" fillId="0" borderId="0" xfId="0" applyFont="1"/>
    <xf numFmtId="0" fontId="430" fillId="0" borderId="0" xfId="0" applyFont="1"/>
    <xf numFmtId="0" fontId="431" fillId="0" borderId="0" xfId="0" applyFont="1"/>
    <xf numFmtId="0" fontId="432" fillId="0" borderId="0" xfId="0" applyFont="1"/>
    <xf numFmtId="0" fontId="433" fillId="0" borderId="0" xfId="0" applyFont="1"/>
    <xf numFmtId="0" fontId="434" fillId="0" borderId="0" xfId="0" applyFont="1"/>
    <xf numFmtId="0" fontId="435" fillId="0" borderId="0" xfId="0" applyFont="1"/>
    <xf numFmtId="0" fontId="436" fillId="0" borderId="0" xfId="0" applyFont="1"/>
    <xf numFmtId="0" fontId="437" fillId="0" borderId="0" xfId="0" applyFont="1"/>
    <xf numFmtId="0" fontId="438" fillId="0" borderId="0" xfId="0" applyFont="1"/>
    <xf numFmtId="0" fontId="439" fillId="0" borderId="0" xfId="0" applyFont="1"/>
    <xf numFmtId="0" fontId="440" fillId="0" borderId="0" xfId="0" applyFont="1"/>
    <xf numFmtId="0" fontId="441" fillId="0" borderId="0" xfId="0" applyFont="1"/>
    <xf numFmtId="0" fontId="442" fillId="0" borderId="0" xfId="0" applyFont="1"/>
    <xf numFmtId="0" fontId="443" fillId="0" borderId="0" xfId="0" applyFont="1"/>
    <xf numFmtId="0" fontId="444" fillId="0" borderId="0" xfId="0" applyFont="1"/>
    <xf numFmtId="0" fontId="445" fillId="0" borderId="0" xfId="0" applyFont="1"/>
    <xf numFmtId="0" fontId="446" fillId="0" borderId="0" xfId="0" applyFont="1"/>
    <xf numFmtId="0" fontId="447" fillId="0" borderId="0" xfId="0" applyFont="1"/>
    <xf numFmtId="0" fontId="448" fillId="0" borderId="0" xfId="0" applyFont="1"/>
    <xf numFmtId="0" fontId="449" fillId="0" borderId="0" xfId="0" applyFont="1"/>
    <xf numFmtId="0" fontId="450" fillId="0" borderId="0" xfId="0" applyFont="1"/>
    <xf numFmtId="0" fontId="451" fillId="0" borderId="0" xfId="0" applyFont="1"/>
    <xf numFmtId="0" fontId="452" fillId="0" borderId="0" xfId="0" applyFont="1"/>
    <xf numFmtId="0" fontId="453" fillId="0" borderId="0" xfId="0" applyFont="1"/>
    <xf numFmtId="0" fontId="454" fillId="0" borderId="0" xfId="0" applyFont="1"/>
    <xf numFmtId="0" fontId="455" fillId="0" borderId="0" xfId="0" applyFont="1"/>
    <xf numFmtId="0" fontId="456" fillId="0" borderId="0" xfId="0" applyFont="1"/>
    <xf numFmtId="0" fontId="457" fillId="0" borderId="0" xfId="0" applyFont="1"/>
    <xf numFmtId="0" fontId="458" fillId="0" borderId="0" xfId="0" applyFont="1"/>
    <xf numFmtId="0" fontId="459" fillId="0" borderId="0" xfId="0" applyFont="1"/>
    <xf numFmtId="0" fontId="460" fillId="0" borderId="0" xfId="0" applyFont="1"/>
    <xf numFmtId="0" fontId="461" fillId="0" borderId="0" xfId="0" applyFont="1"/>
    <xf numFmtId="164" fontId="0" fillId="2" borderId="1"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4482"/>
  <sheetViews>
    <sheetView tabSelected="1" workbookViewId="0">
      <pane xSplit="1" ySplit="1" topLeftCell="B1727" activePane="bottomRight" state="frozen"/>
      <selection pane="topRight"/>
      <selection pane="bottomLeft"/>
      <selection pane="bottomRight" activeCell="V1749" sqref="V1749"/>
    </sheetView>
  </sheetViews>
  <sheetFormatPr defaultRowHeight="14.5" x14ac:dyDescent="0.35"/>
  <sheetData>
    <row r="1" spans="1:5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row>
    <row r="2" spans="1:56" x14ac:dyDescent="0.35">
      <c r="A2">
        <v>50000</v>
      </c>
      <c r="B2" t="s">
        <v>56</v>
      </c>
      <c r="D2" t="s">
        <v>57</v>
      </c>
      <c r="E2">
        <v>90</v>
      </c>
      <c r="F2" t="s">
        <v>58</v>
      </c>
      <c r="G2" t="s">
        <v>59</v>
      </c>
      <c r="H2" t="s">
        <v>60</v>
      </c>
      <c r="J2">
        <v>30</v>
      </c>
      <c r="K2" t="s">
        <v>61</v>
      </c>
      <c r="L2" t="s">
        <v>62</v>
      </c>
      <c r="M2" t="s">
        <v>63</v>
      </c>
      <c r="N2" t="s">
        <v>64</v>
      </c>
      <c r="P2" t="s">
        <v>65</v>
      </c>
      <c r="R2">
        <v>26.3</v>
      </c>
      <c r="T2">
        <v>23.2</v>
      </c>
      <c r="V2">
        <v>29.7</v>
      </c>
      <c r="W2" t="s">
        <v>66</v>
      </c>
      <c r="X2" t="s">
        <v>67</v>
      </c>
      <c r="Y2" t="s">
        <v>67</v>
      </c>
      <c r="Z2" t="s">
        <v>68</v>
      </c>
      <c r="AB2">
        <v>4</v>
      </c>
      <c r="AC2" t="s">
        <v>61</v>
      </c>
      <c r="AJ2" t="s">
        <v>69</v>
      </c>
      <c r="AY2" t="s">
        <v>70</v>
      </c>
      <c r="AZ2">
        <v>14339</v>
      </c>
      <c r="BA2" t="s">
        <v>71</v>
      </c>
      <c r="BB2" t="s">
        <v>72</v>
      </c>
      <c r="BC2">
        <v>1987</v>
      </c>
      <c r="BD2" t="s">
        <v>73</v>
      </c>
    </row>
    <row r="3" spans="1:56" x14ac:dyDescent="0.35">
      <c r="A3">
        <v>50000</v>
      </c>
      <c r="B3" t="s">
        <v>56</v>
      </c>
      <c r="D3" t="s">
        <v>57</v>
      </c>
      <c r="E3">
        <v>90</v>
      </c>
      <c r="F3" t="s">
        <v>58</v>
      </c>
      <c r="G3" t="s">
        <v>59</v>
      </c>
      <c r="H3" t="s">
        <v>60</v>
      </c>
      <c r="J3">
        <v>34</v>
      </c>
      <c r="K3" t="s">
        <v>61</v>
      </c>
      <c r="L3" t="s">
        <v>74</v>
      </c>
      <c r="M3" t="s">
        <v>63</v>
      </c>
      <c r="N3" t="s">
        <v>64</v>
      </c>
      <c r="O3">
        <v>6</v>
      </c>
      <c r="P3" t="s">
        <v>65</v>
      </c>
      <c r="R3">
        <v>24.1</v>
      </c>
      <c r="T3">
        <v>22.6</v>
      </c>
      <c r="V3">
        <v>25.7</v>
      </c>
      <c r="W3" t="s">
        <v>66</v>
      </c>
      <c r="X3" t="s">
        <v>67</v>
      </c>
      <c r="Y3" t="s">
        <v>67</v>
      </c>
      <c r="Z3" t="s">
        <v>68</v>
      </c>
      <c r="AB3">
        <v>4</v>
      </c>
      <c r="AC3" t="s">
        <v>61</v>
      </c>
      <c r="AJ3" t="s">
        <v>69</v>
      </c>
      <c r="AY3" t="s">
        <v>75</v>
      </c>
      <c r="AZ3">
        <v>3217</v>
      </c>
      <c r="BA3" t="s">
        <v>76</v>
      </c>
      <c r="BB3" t="s">
        <v>77</v>
      </c>
      <c r="BC3">
        <v>1990</v>
      </c>
      <c r="BD3" t="s">
        <v>73</v>
      </c>
    </row>
    <row r="4" spans="1:56" x14ac:dyDescent="0.35">
      <c r="A4">
        <v>50000</v>
      </c>
      <c r="B4" t="s">
        <v>56</v>
      </c>
      <c r="D4" t="s">
        <v>57</v>
      </c>
      <c r="E4">
        <v>90</v>
      </c>
      <c r="F4" t="s">
        <v>58</v>
      </c>
      <c r="G4" t="s">
        <v>59</v>
      </c>
      <c r="H4" t="s">
        <v>60</v>
      </c>
      <c r="J4">
        <v>30</v>
      </c>
      <c r="K4" t="s">
        <v>61</v>
      </c>
      <c r="L4" t="s">
        <v>74</v>
      </c>
      <c r="M4" t="s">
        <v>63</v>
      </c>
      <c r="N4" t="s">
        <v>64</v>
      </c>
      <c r="P4" t="s">
        <v>65</v>
      </c>
      <c r="R4">
        <v>24.5</v>
      </c>
      <c r="T4">
        <v>22.9</v>
      </c>
      <c r="V4">
        <v>26.2</v>
      </c>
      <c r="W4" t="s">
        <v>66</v>
      </c>
      <c r="X4" t="s">
        <v>67</v>
      </c>
      <c r="Y4" t="s">
        <v>67</v>
      </c>
      <c r="Z4" t="s">
        <v>68</v>
      </c>
      <c r="AB4">
        <v>4</v>
      </c>
      <c r="AC4" t="s">
        <v>61</v>
      </c>
      <c r="AJ4" t="s">
        <v>69</v>
      </c>
      <c r="AY4" t="s">
        <v>70</v>
      </c>
      <c r="AZ4">
        <v>14339</v>
      </c>
      <c r="BA4" t="s">
        <v>71</v>
      </c>
      <c r="BB4" t="s">
        <v>72</v>
      </c>
      <c r="BC4">
        <v>1987</v>
      </c>
      <c r="BD4" t="s">
        <v>73</v>
      </c>
    </row>
    <row r="5" spans="1:56" x14ac:dyDescent="0.35">
      <c r="A5">
        <v>50066</v>
      </c>
      <c r="B5" t="s">
        <v>78</v>
      </c>
      <c r="D5" t="s">
        <v>57</v>
      </c>
      <c r="E5" t="s">
        <v>79</v>
      </c>
      <c r="F5" t="s">
        <v>58</v>
      </c>
      <c r="G5" t="s">
        <v>59</v>
      </c>
      <c r="H5" t="s">
        <v>60</v>
      </c>
      <c r="J5">
        <v>30</v>
      </c>
      <c r="K5" t="s">
        <v>61</v>
      </c>
      <c r="L5" t="s">
        <v>74</v>
      </c>
      <c r="M5" t="s">
        <v>63</v>
      </c>
      <c r="N5" t="s">
        <v>64</v>
      </c>
      <c r="P5" t="s">
        <v>65</v>
      </c>
      <c r="R5">
        <v>484</v>
      </c>
      <c r="T5">
        <v>446</v>
      </c>
      <c r="V5">
        <v>526</v>
      </c>
      <c r="W5" t="s">
        <v>66</v>
      </c>
      <c r="X5" t="s">
        <v>67</v>
      </c>
      <c r="Y5" t="s">
        <v>67</v>
      </c>
      <c r="Z5" t="s">
        <v>68</v>
      </c>
      <c r="AB5">
        <v>4</v>
      </c>
      <c r="AC5" t="s">
        <v>61</v>
      </c>
      <c r="AJ5" t="s">
        <v>69</v>
      </c>
      <c r="AY5" t="s">
        <v>80</v>
      </c>
      <c r="AZ5">
        <v>12859</v>
      </c>
      <c r="BA5" t="s">
        <v>81</v>
      </c>
      <c r="BB5" t="s">
        <v>82</v>
      </c>
      <c r="BC5">
        <v>1988</v>
      </c>
      <c r="BD5" t="s">
        <v>73</v>
      </c>
    </row>
    <row r="6" spans="1:56" x14ac:dyDescent="0.35">
      <c r="A6">
        <v>50293</v>
      </c>
      <c r="B6" t="s">
        <v>83</v>
      </c>
      <c r="C6" t="s">
        <v>84</v>
      </c>
      <c r="D6" t="s">
        <v>85</v>
      </c>
      <c r="E6">
        <v>100</v>
      </c>
      <c r="F6" t="s">
        <v>58</v>
      </c>
      <c r="G6" t="s">
        <v>59</v>
      </c>
      <c r="H6" t="s">
        <v>60</v>
      </c>
      <c r="J6" t="s">
        <v>86</v>
      </c>
      <c r="L6" t="s">
        <v>62</v>
      </c>
      <c r="M6" t="s">
        <v>63</v>
      </c>
      <c r="N6" t="s">
        <v>64</v>
      </c>
      <c r="P6" t="s">
        <v>65</v>
      </c>
      <c r="R6">
        <v>2.5999999999999999E-2</v>
      </c>
      <c r="W6" t="s">
        <v>66</v>
      </c>
      <c r="X6" t="s">
        <v>67</v>
      </c>
      <c r="Y6" t="s">
        <v>67</v>
      </c>
      <c r="Z6" t="s">
        <v>68</v>
      </c>
      <c r="AB6">
        <v>4</v>
      </c>
      <c r="AC6" t="s">
        <v>61</v>
      </c>
      <c r="AJ6" t="s">
        <v>69</v>
      </c>
      <c r="AY6" t="s">
        <v>87</v>
      </c>
      <c r="AZ6">
        <v>878</v>
      </c>
      <c r="BA6" t="s">
        <v>88</v>
      </c>
      <c r="BB6" t="s">
        <v>89</v>
      </c>
      <c r="BC6">
        <v>1959</v>
      </c>
      <c r="BD6" t="s">
        <v>90</v>
      </c>
    </row>
    <row r="7" spans="1:56" x14ac:dyDescent="0.35">
      <c r="A7">
        <v>50293</v>
      </c>
      <c r="B7" t="s">
        <v>83</v>
      </c>
      <c r="C7" t="s">
        <v>91</v>
      </c>
      <c r="D7" t="s">
        <v>85</v>
      </c>
      <c r="E7">
        <v>76</v>
      </c>
      <c r="F7" t="s">
        <v>58</v>
      </c>
      <c r="G7" t="s">
        <v>59</v>
      </c>
      <c r="H7" t="s">
        <v>60</v>
      </c>
      <c r="J7" t="s">
        <v>86</v>
      </c>
      <c r="L7" t="s">
        <v>62</v>
      </c>
      <c r="M7" t="s">
        <v>63</v>
      </c>
      <c r="N7" t="s">
        <v>64</v>
      </c>
      <c r="P7" t="s">
        <v>65</v>
      </c>
      <c r="R7">
        <v>3.2000000000000001E-2</v>
      </c>
      <c r="W7" t="s">
        <v>66</v>
      </c>
      <c r="X7" t="s">
        <v>67</v>
      </c>
      <c r="Y7" t="s">
        <v>67</v>
      </c>
      <c r="Z7" t="s">
        <v>68</v>
      </c>
      <c r="AB7">
        <v>4</v>
      </c>
      <c r="AC7" t="s">
        <v>61</v>
      </c>
      <c r="AJ7" t="s">
        <v>69</v>
      </c>
      <c r="AQ7" t="s">
        <v>69</v>
      </c>
      <c r="AY7" t="s">
        <v>87</v>
      </c>
      <c r="AZ7">
        <v>878</v>
      </c>
      <c r="BA7" t="s">
        <v>88</v>
      </c>
      <c r="BB7" t="s">
        <v>89</v>
      </c>
      <c r="BC7">
        <v>1959</v>
      </c>
      <c r="BD7" t="s">
        <v>92</v>
      </c>
    </row>
    <row r="8" spans="1:56" x14ac:dyDescent="0.35">
      <c r="A8">
        <v>50293</v>
      </c>
      <c r="B8" t="s">
        <v>83</v>
      </c>
      <c r="D8" t="s">
        <v>57</v>
      </c>
      <c r="E8">
        <v>99</v>
      </c>
      <c r="F8" t="s">
        <v>58</v>
      </c>
      <c r="G8" t="s">
        <v>59</v>
      </c>
      <c r="H8" t="s">
        <v>60</v>
      </c>
      <c r="J8" t="s">
        <v>86</v>
      </c>
      <c r="L8" t="s">
        <v>74</v>
      </c>
      <c r="M8" t="s">
        <v>63</v>
      </c>
      <c r="N8" t="s">
        <v>64</v>
      </c>
      <c r="P8" t="s">
        <v>65</v>
      </c>
      <c r="R8">
        <v>8.5000000000000006E-3</v>
      </c>
      <c r="W8" t="s">
        <v>66</v>
      </c>
      <c r="X8" t="s">
        <v>67</v>
      </c>
      <c r="Y8" t="s">
        <v>67</v>
      </c>
      <c r="Z8" t="s">
        <v>68</v>
      </c>
      <c r="AB8">
        <v>4</v>
      </c>
      <c r="AC8" t="s">
        <v>61</v>
      </c>
      <c r="AJ8" t="s">
        <v>69</v>
      </c>
      <c r="AY8" t="s">
        <v>93</v>
      </c>
      <c r="AZ8">
        <v>2100</v>
      </c>
      <c r="BA8" t="s">
        <v>94</v>
      </c>
      <c r="BB8" t="s">
        <v>95</v>
      </c>
      <c r="BC8">
        <v>1969</v>
      </c>
      <c r="BD8" t="s">
        <v>90</v>
      </c>
    </row>
    <row r="9" spans="1:56" x14ac:dyDescent="0.35">
      <c r="A9">
        <v>50293</v>
      </c>
      <c r="B9" t="s">
        <v>83</v>
      </c>
      <c r="D9" t="s">
        <v>57</v>
      </c>
      <c r="E9">
        <v>99</v>
      </c>
      <c r="F9" t="s">
        <v>58</v>
      </c>
      <c r="G9" t="s">
        <v>59</v>
      </c>
      <c r="H9" t="s">
        <v>60</v>
      </c>
      <c r="J9" t="s">
        <v>86</v>
      </c>
      <c r="L9" t="s">
        <v>74</v>
      </c>
      <c r="M9" t="s">
        <v>63</v>
      </c>
      <c r="N9" t="s">
        <v>64</v>
      </c>
      <c r="P9" t="s">
        <v>65</v>
      </c>
      <c r="R9">
        <v>1.55E-2</v>
      </c>
      <c r="W9" t="s">
        <v>66</v>
      </c>
      <c r="X9" t="s">
        <v>67</v>
      </c>
      <c r="Y9" t="s">
        <v>67</v>
      </c>
      <c r="Z9" t="s">
        <v>68</v>
      </c>
      <c r="AB9">
        <v>4</v>
      </c>
      <c r="AC9" t="s">
        <v>61</v>
      </c>
      <c r="AJ9" t="s">
        <v>69</v>
      </c>
      <c r="AY9" t="s">
        <v>93</v>
      </c>
      <c r="AZ9">
        <v>2100</v>
      </c>
      <c r="BA9" t="s">
        <v>94</v>
      </c>
      <c r="BB9" t="s">
        <v>95</v>
      </c>
      <c r="BC9">
        <v>1969</v>
      </c>
      <c r="BD9" t="s">
        <v>90</v>
      </c>
    </row>
    <row r="10" spans="1:56" x14ac:dyDescent="0.35">
      <c r="A10">
        <v>50293</v>
      </c>
      <c r="B10" t="s">
        <v>83</v>
      </c>
      <c r="E10">
        <v>99</v>
      </c>
      <c r="F10" t="s">
        <v>58</v>
      </c>
      <c r="G10" t="s">
        <v>59</v>
      </c>
      <c r="H10" t="s">
        <v>60</v>
      </c>
      <c r="J10" t="s">
        <v>86</v>
      </c>
      <c r="L10" t="s">
        <v>62</v>
      </c>
      <c r="M10" t="s">
        <v>63</v>
      </c>
      <c r="N10" t="s">
        <v>64</v>
      </c>
      <c r="P10" t="s">
        <v>65</v>
      </c>
      <c r="R10">
        <v>1.24E-2</v>
      </c>
      <c r="T10">
        <v>0.01</v>
      </c>
      <c r="V10">
        <v>1.54E-2</v>
      </c>
      <c r="W10" t="s">
        <v>66</v>
      </c>
      <c r="X10" t="s">
        <v>67</v>
      </c>
      <c r="Y10" t="s">
        <v>67</v>
      </c>
      <c r="Z10" t="s">
        <v>68</v>
      </c>
      <c r="AB10">
        <v>4</v>
      </c>
      <c r="AC10" t="s">
        <v>61</v>
      </c>
      <c r="AJ10" t="s">
        <v>69</v>
      </c>
      <c r="AY10" t="s">
        <v>96</v>
      </c>
      <c r="AZ10">
        <v>6797</v>
      </c>
      <c r="BA10" t="s">
        <v>97</v>
      </c>
      <c r="BB10" t="s">
        <v>98</v>
      </c>
      <c r="BC10">
        <v>1986</v>
      </c>
      <c r="BD10" t="s">
        <v>90</v>
      </c>
    </row>
    <row r="11" spans="1:56" x14ac:dyDescent="0.35">
      <c r="A11">
        <v>50293</v>
      </c>
      <c r="B11" t="s">
        <v>83</v>
      </c>
      <c r="C11" t="s">
        <v>84</v>
      </c>
      <c r="D11" t="s">
        <v>85</v>
      </c>
      <c r="E11">
        <v>100</v>
      </c>
      <c r="F11" t="s">
        <v>58</v>
      </c>
      <c r="G11" t="s">
        <v>59</v>
      </c>
      <c r="H11" t="s">
        <v>60</v>
      </c>
      <c r="J11" t="s">
        <v>86</v>
      </c>
      <c r="L11" t="s">
        <v>62</v>
      </c>
      <c r="M11" t="s">
        <v>63</v>
      </c>
      <c r="N11" t="s">
        <v>64</v>
      </c>
      <c r="P11" t="s">
        <v>65</v>
      </c>
      <c r="R11">
        <v>2.5999999999999999E-2</v>
      </c>
      <c r="W11" t="s">
        <v>66</v>
      </c>
      <c r="X11" t="s">
        <v>67</v>
      </c>
      <c r="Y11" t="s">
        <v>67</v>
      </c>
      <c r="Z11" t="s">
        <v>68</v>
      </c>
      <c r="AB11">
        <v>4</v>
      </c>
      <c r="AC11" t="s">
        <v>61</v>
      </c>
      <c r="AJ11" t="s">
        <v>69</v>
      </c>
      <c r="AY11" t="s">
        <v>87</v>
      </c>
      <c r="AZ11">
        <v>878</v>
      </c>
      <c r="BA11" t="s">
        <v>88</v>
      </c>
      <c r="BB11" t="s">
        <v>89</v>
      </c>
      <c r="BC11">
        <v>1959</v>
      </c>
      <c r="BD11" t="s">
        <v>90</v>
      </c>
    </row>
    <row r="12" spans="1:56" x14ac:dyDescent="0.35">
      <c r="A12">
        <v>50293</v>
      </c>
      <c r="B12" t="s">
        <v>83</v>
      </c>
      <c r="C12" t="s">
        <v>91</v>
      </c>
      <c r="D12" t="s">
        <v>85</v>
      </c>
      <c r="E12">
        <v>76</v>
      </c>
      <c r="F12" t="s">
        <v>58</v>
      </c>
      <c r="G12" t="s">
        <v>59</v>
      </c>
      <c r="H12" t="s">
        <v>60</v>
      </c>
      <c r="J12" t="s">
        <v>86</v>
      </c>
      <c r="L12" t="s">
        <v>62</v>
      </c>
      <c r="M12" t="s">
        <v>63</v>
      </c>
      <c r="N12" t="s">
        <v>64</v>
      </c>
      <c r="P12" t="s">
        <v>65</v>
      </c>
      <c r="R12">
        <v>3.4000000000000002E-2</v>
      </c>
      <c r="W12" t="s">
        <v>66</v>
      </c>
      <c r="X12" t="s">
        <v>67</v>
      </c>
      <c r="Y12" t="s">
        <v>67</v>
      </c>
      <c r="Z12" t="s">
        <v>68</v>
      </c>
      <c r="AB12">
        <v>4</v>
      </c>
      <c r="AC12" t="s">
        <v>61</v>
      </c>
      <c r="AJ12" t="s">
        <v>69</v>
      </c>
      <c r="AQ12" t="s">
        <v>69</v>
      </c>
      <c r="AY12" t="s">
        <v>87</v>
      </c>
      <c r="AZ12">
        <v>878</v>
      </c>
      <c r="BA12" t="s">
        <v>88</v>
      </c>
      <c r="BB12" t="s">
        <v>89</v>
      </c>
      <c r="BC12">
        <v>1959</v>
      </c>
      <c r="BD12" t="s">
        <v>99</v>
      </c>
    </row>
    <row r="13" spans="1:56" x14ac:dyDescent="0.35">
      <c r="A13">
        <v>50293</v>
      </c>
      <c r="B13" t="s">
        <v>83</v>
      </c>
      <c r="D13" t="s">
        <v>57</v>
      </c>
      <c r="E13">
        <v>99</v>
      </c>
      <c r="F13" t="s">
        <v>58</v>
      </c>
      <c r="G13" t="s">
        <v>59</v>
      </c>
      <c r="H13" t="s">
        <v>60</v>
      </c>
      <c r="J13" t="s">
        <v>86</v>
      </c>
      <c r="L13" t="s">
        <v>74</v>
      </c>
      <c r="M13" t="s">
        <v>63</v>
      </c>
      <c r="N13" t="s">
        <v>64</v>
      </c>
      <c r="P13" t="s">
        <v>65</v>
      </c>
      <c r="R13">
        <v>1.7600000000000001E-2</v>
      </c>
      <c r="W13" t="s">
        <v>66</v>
      </c>
      <c r="X13" t="s">
        <v>67</v>
      </c>
      <c r="Y13" t="s">
        <v>67</v>
      </c>
      <c r="Z13" t="s">
        <v>68</v>
      </c>
      <c r="AB13">
        <v>4</v>
      </c>
      <c r="AC13" t="s">
        <v>61</v>
      </c>
      <c r="AJ13" t="s">
        <v>69</v>
      </c>
      <c r="AY13" t="s">
        <v>93</v>
      </c>
      <c r="AZ13">
        <v>2100</v>
      </c>
      <c r="BA13" t="s">
        <v>94</v>
      </c>
      <c r="BB13" t="s">
        <v>95</v>
      </c>
      <c r="BC13">
        <v>1969</v>
      </c>
      <c r="BD13" t="s">
        <v>90</v>
      </c>
    </row>
    <row r="14" spans="1:56" x14ac:dyDescent="0.35">
      <c r="A14">
        <v>50293</v>
      </c>
      <c r="B14" t="s">
        <v>83</v>
      </c>
      <c r="D14" t="s">
        <v>85</v>
      </c>
      <c r="E14" t="s">
        <v>86</v>
      </c>
      <c r="F14" t="s">
        <v>58</v>
      </c>
      <c r="G14" t="s">
        <v>59</v>
      </c>
      <c r="H14" t="s">
        <v>60</v>
      </c>
      <c r="J14" t="s">
        <v>86</v>
      </c>
      <c r="M14" t="s">
        <v>63</v>
      </c>
      <c r="N14" t="s">
        <v>64</v>
      </c>
      <c r="P14" t="s">
        <v>100</v>
      </c>
      <c r="R14">
        <v>1.9E-2</v>
      </c>
      <c r="W14" t="s">
        <v>66</v>
      </c>
      <c r="X14" t="s">
        <v>67</v>
      </c>
      <c r="Y14" t="s">
        <v>67</v>
      </c>
      <c r="Z14" t="s">
        <v>68</v>
      </c>
      <c r="AB14">
        <v>4</v>
      </c>
      <c r="AC14" t="s">
        <v>61</v>
      </c>
      <c r="AJ14" t="s">
        <v>69</v>
      </c>
      <c r="AY14" t="s">
        <v>101</v>
      </c>
      <c r="AZ14">
        <v>70421</v>
      </c>
      <c r="BA14" t="s">
        <v>102</v>
      </c>
      <c r="BB14" t="s">
        <v>103</v>
      </c>
      <c r="BC14">
        <v>1974</v>
      </c>
      <c r="BD14" t="s">
        <v>90</v>
      </c>
    </row>
    <row r="15" spans="1:56" x14ac:dyDescent="0.35">
      <c r="A15">
        <v>50293</v>
      </c>
      <c r="B15" t="s">
        <v>83</v>
      </c>
      <c r="C15" t="s">
        <v>104</v>
      </c>
      <c r="D15" t="s">
        <v>85</v>
      </c>
      <c r="E15" t="s">
        <v>86</v>
      </c>
      <c r="F15" t="s">
        <v>58</v>
      </c>
      <c r="G15" t="s">
        <v>59</v>
      </c>
      <c r="H15" t="s">
        <v>60</v>
      </c>
      <c r="J15" t="s">
        <v>86</v>
      </c>
      <c r="L15" t="s">
        <v>62</v>
      </c>
      <c r="M15" t="s">
        <v>63</v>
      </c>
      <c r="N15" t="s">
        <v>64</v>
      </c>
      <c r="P15" t="s">
        <v>65</v>
      </c>
      <c r="R15">
        <v>5.8000000000000003E-2</v>
      </c>
      <c r="W15" t="s">
        <v>66</v>
      </c>
      <c r="X15" t="s">
        <v>67</v>
      </c>
      <c r="Y15" t="s">
        <v>67</v>
      </c>
      <c r="Z15" t="s">
        <v>68</v>
      </c>
      <c r="AB15">
        <v>4</v>
      </c>
      <c r="AC15" t="s">
        <v>61</v>
      </c>
      <c r="AJ15" t="s">
        <v>69</v>
      </c>
      <c r="AY15" t="s">
        <v>105</v>
      </c>
      <c r="AZ15">
        <v>14649</v>
      </c>
      <c r="BA15" t="s">
        <v>106</v>
      </c>
      <c r="BB15" t="s">
        <v>107</v>
      </c>
      <c r="BC15">
        <v>1965</v>
      </c>
      <c r="BD15" t="s">
        <v>90</v>
      </c>
    </row>
    <row r="16" spans="1:56" x14ac:dyDescent="0.35">
      <c r="A16">
        <v>50293</v>
      </c>
      <c r="B16" t="s">
        <v>83</v>
      </c>
      <c r="C16" t="s">
        <v>91</v>
      </c>
      <c r="D16" t="s">
        <v>85</v>
      </c>
      <c r="E16">
        <v>99.9</v>
      </c>
      <c r="F16" t="s">
        <v>58</v>
      </c>
      <c r="G16" t="s">
        <v>59</v>
      </c>
      <c r="H16" t="s">
        <v>60</v>
      </c>
      <c r="J16" t="s">
        <v>86</v>
      </c>
      <c r="L16" t="s">
        <v>62</v>
      </c>
      <c r="M16" t="s">
        <v>63</v>
      </c>
      <c r="N16" t="s">
        <v>64</v>
      </c>
      <c r="P16" t="s">
        <v>65</v>
      </c>
      <c r="R16">
        <v>1.9E-2</v>
      </c>
      <c r="T16">
        <v>1.2999999999999999E-2</v>
      </c>
      <c r="V16">
        <v>2.7E-2</v>
      </c>
      <c r="W16" t="s">
        <v>66</v>
      </c>
      <c r="X16" t="s">
        <v>67</v>
      </c>
      <c r="Y16" t="s">
        <v>67</v>
      </c>
      <c r="Z16" t="s">
        <v>68</v>
      </c>
      <c r="AB16">
        <v>4</v>
      </c>
      <c r="AC16" t="s">
        <v>61</v>
      </c>
      <c r="AJ16" t="s">
        <v>69</v>
      </c>
      <c r="AY16" t="s">
        <v>108</v>
      </c>
      <c r="AZ16">
        <v>610</v>
      </c>
      <c r="BA16" t="s">
        <v>109</v>
      </c>
      <c r="BB16" t="s">
        <v>110</v>
      </c>
      <c r="BC16">
        <v>1970</v>
      </c>
      <c r="BD16" t="s">
        <v>90</v>
      </c>
    </row>
    <row r="17" spans="1:56" x14ac:dyDescent="0.35">
      <c r="A17">
        <v>50293</v>
      </c>
      <c r="B17" t="s">
        <v>83</v>
      </c>
      <c r="E17">
        <v>99</v>
      </c>
      <c r="F17" t="s">
        <v>58</v>
      </c>
      <c r="G17" t="s">
        <v>59</v>
      </c>
      <c r="H17" t="s">
        <v>60</v>
      </c>
      <c r="J17" t="s">
        <v>86</v>
      </c>
      <c r="L17" t="s">
        <v>74</v>
      </c>
      <c r="M17" t="s">
        <v>63</v>
      </c>
      <c r="N17" t="s">
        <v>64</v>
      </c>
      <c r="P17" t="s">
        <v>65</v>
      </c>
      <c r="R17">
        <v>9.9000000000000008E-3</v>
      </c>
      <c r="T17">
        <v>6.4999999999999997E-3</v>
      </c>
      <c r="V17">
        <v>1.4999999999999999E-2</v>
      </c>
      <c r="W17" t="s">
        <v>66</v>
      </c>
      <c r="X17" t="s">
        <v>67</v>
      </c>
      <c r="Y17" t="s">
        <v>67</v>
      </c>
      <c r="Z17" t="s">
        <v>68</v>
      </c>
      <c r="AB17">
        <v>4</v>
      </c>
      <c r="AC17" t="s">
        <v>61</v>
      </c>
      <c r="AJ17" t="s">
        <v>69</v>
      </c>
      <c r="AY17" t="s">
        <v>96</v>
      </c>
      <c r="AZ17">
        <v>6797</v>
      </c>
      <c r="BA17" t="s">
        <v>97</v>
      </c>
      <c r="BB17" t="s">
        <v>98</v>
      </c>
      <c r="BC17">
        <v>1986</v>
      </c>
      <c r="BD17" t="s">
        <v>90</v>
      </c>
    </row>
    <row r="18" spans="1:56" x14ac:dyDescent="0.35">
      <c r="A18">
        <v>50293</v>
      </c>
      <c r="B18" t="s">
        <v>83</v>
      </c>
      <c r="E18">
        <v>99</v>
      </c>
      <c r="F18" t="s">
        <v>58</v>
      </c>
      <c r="G18" t="s">
        <v>59</v>
      </c>
      <c r="H18" t="s">
        <v>60</v>
      </c>
      <c r="J18" t="s">
        <v>86</v>
      </c>
      <c r="L18" t="s">
        <v>62</v>
      </c>
      <c r="M18" t="s">
        <v>63</v>
      </c>
      <c r="N18" t="s">
        <v>64</v>
      </c>
      <c r="P18" t="s">
        <v>65</v>
      </c>
      <c r="R18">
        <v>1.32E-2</v>
      </c>
      <c r="T18">
        <v>1.01E-2</v>
      </c>
      <c r="V18">
        <v>1.7299999999999999E-2</v>
      </c>
      <c r="W18" t="s">
        <v>66</v>
      </c>
      <c r="X18" t="s">
        <v>67</v>
      </c>
      <c r="Y18" t="s">
        <v>67</v>
      </c>
      <c r="Z18" t="s">
        <v>68</v>
      </c>
      <c r="AB18">
        <v>4</v>
      </c>
      <c r="AC18" t="s">
        <v>61</v>
      </c>
      <c r="AJ18" t="s">
        <v>69</v>
      </c>
      <c r="AY18" t="s">
        <v>96</v>
      </c>
      <c r="AZ18">
        <v>6797</v>
      </c>
      <c r="BA18" t="s">
        <v>97</v>
      </c>
      <c r="BB18" t="s">
        <v>98</v>
      </c>
      <c r="BC18">
        <v>1986</v>
      </c>
      <c r="BD18" t="s">
        <v>90</v>
      </c>
    </row>
    <row r="19" spans="1:56" x14ac:dyDescent="0.35">
      <c r="A19">
        <v>50293</v>
      </c>
      <c r="B19" t="s">
        <v>83</v>
      </c>
      <c r="C19" t="s">
        <v>91</v>
      </c>
      <c r="D19" t="s">
        <v>85</v>
      </c>
      <c r="E19">
        <v>99.9</v>
      </c>
      <c r="F19" t="s">
        <v>58</v>
      </c>
      <c r="G19" t="s">
        <v>59</v>
      </c>
      <c r="H19" t="s">
        <v>60</v>
      </c>
      <c r="J19" t="s">
        <v>86</v>
      </c>
      <c r="L19" t="s">
        <v>62</v>
      </c>
      <c r="M19" t="s">
        <v>63</v>
      </c>
      <c r="N19" t="s">
        <v>64</v>
      </c>
      <c r="P19" t="s">
        <v>65</v>
      </c>
      <c r="R19">
        <v>1.9900000000000001E-2</v>
      </c>
      <c r="W19" t="s">
        <v>66</v>
      </c>
      <c r="X19" t="s">
        <v>67</v>
      </c>
      <c r="Y19" t="s">
        <v>67</v>
      </c>
      <c r="Z19" t="s">
        <v>68</v>
      </c>
      <c r="AB19">
        <v>4</v>
      </c>
      <c r="AC19" t="s">
        <v>61</v>
      </c>
      <c r="AJ19" t="s">
        <v>69</v>
      </c>
      <c r="AY19" t="s">
        <v>111</v>
      </c>
      <c r="AZ19">
        <v>2011</v>
      </c>
      <c r="BA19" t="s">
        <v>112</v>
      </c>
      <c r="BB19" t="s">
        <v>113</v>
      </c>
      <c r="BC19">
        <v>1970</v>
      </c>
      <c r="BD19" t="s">
        <v>90</v>
      </c>
    </row>
    <row r="20" spans="1:56" x14ac:dyDescent="0.35">
      <c r="A20">
        <v>50317</v>
      </c>
      <c r="B20" t="s">
        <v>114</v>
      </c>
      <c r="E20">
        <v>53</v>
      </c>
      <c r="F20" t="s">
        <v>58</v>
      </c>
      <c r="G20" t="s">
        <v>59</v>
      </c>
      <c r="H20" t="s">
        <v>60</v>
      </c>
      <c r="J20" t="s">
        <v>86</v>
      </c>
      <c r="L20" t="s">
        <v>62</v>
      </c>
      <c r="M20" t="s">
        <v>63</v>
      </c>
      <c r="N20" t="s">
        <v>64</v>
      </c>
      <c r="P20" t="s">
        <v>65</v>
      </c>
      <c r="R20">
        <v>8.5</v>
      </c>
      <c r="T20">
        <v>6.8</v>
      </c>
      <c r="V20">
        <v>10.5</v>
      </c>
      <c r="W20" t="s">
        <v>66</v>
      </c>
      <c r="X20" t="s">
        <v>67</v>
      </c>
      <c r="Y20" t="s">
        <v>67</v>
      </c>
      <c r="Z20" t="s">
        <v>68</v>
      </c>
      <c r="AB20">
        <v>4</v>
      </c>
      <c r="AC20" t="s">
        <v>61</v>
      </c>
      <c r="AJ20" t="s">
        <v>69</v>
      </c>
      <c r="AY20" t="s">
        <v>96</v>
      </c>
      <c r="AZ20">
        <v>6797</v>
      </c>
      <c r="BA20" t="s">
        <v>97</v>
      </c>
      <c r="BB20" t="s">
        <v>98</v>
      </c>
      <c r="BC20">
        <v>1986</v>
      </c>
      <c r="BD20" t="s">
        <v>90</v>
      </c>
    </row>
    <row r="21" spans="1:56" x14ac:dyDescent="0.35">
      <c r="A21">
        <v>51036</v>
      </c>
      <c r="B21" t="s">
        <v>115</v>
      </c>
      <c r="C21" t="s">
        <v>91</v>
      </c>
      <c r="E21" t="s">
        <v>86</v>
      </c>
      <c r="F21" t="s">
        <v>58</v>
      </c>
      <c r="G21" t="s">
        <v>59</v>
      </c>
      <c r="H21" t="s">
        <v>60</v>
      </c>
      <c r="J21" t="s">
        <v>86</v>
      </c>
      <c r="L21" t="s">
        <v>62</v>
      </c>
      <c r="M21" t="s">
        <v>63</v>
      </c>
      <c r="N21" t="s">
        <v>64</v>
      </c>
      <c r="P21" t="s">
        <v>65</v>
      </c>
      <c r="R21">
        <v>6.2</v>
      </c>
      <c r="T21">
        <v>5.47</v>
      </c>
      <c r="V21">
        <v>7.02</v>
      </c>
      <c r="W21" t="s">
        <v>66</v>
      </c>
      <c r="X21" t="s">
        <v>67</v>
      </c>
      <c r="Y21" t="s">
        <v>67</v>
      </c>
      <c r="Z21" t="s">
        <v>68</v>
      </c>
      <c r="AB21">
        <v>4</v>
      </c>
      <c r="AC21" t="s">
        <v>61</v>
      </c>
      <c r="AJ21" t="s">
        <v>69</v>
      </c>
      <c r="AY21" t="s">
        <v>116</v>
      </c>
      <c r="AZ21">
        <v>344</v>
      </c>
      <c r="BA21" t="s">
        <v>117</v>
      </c>
      <c r="BB21" t="s">
        <v>118</v>
      </c>
      <c r="BC21">
        <v>1992</v>
      </c>
      <c r="BD21" t="s">
        <v>90</v>
      </c>
    </row>
    <row r="22" spans="1:56" x14ac:dyDescent="0.35">
      <c r="A22">
        <v>51285</v>
      </c>
      <c r="B22" t="s">
        <v>119</v>
      </c>
      <c r="D22" t="s">
        <v>57</v>
      </c>
      <c r="E22" t="s">
        <v>86</v>
      </c>
      <c r="F22" t="s">
        <v>58</v>
      </c>
      <c r="G22" t="s">
        <v>59</v>
      </c>
      <c r="H22" t="s">
        <v>60</v>
      </c>
      <c r="J22" t="s">
        <v>86</v>
      </c>
      <c r="K22" t="s">
        <v>61</v>
      </c>
      <c r="L22" t="s">
        <v>74</v>
      </c>
      <c r="M22" t="s">
        <v>63</v>
      </c>
      <c r="N22" t="s">
        <v>64</v>
      </c>
      <c r="O22">
        <v>6</v>
      </c>
      <c r="P22" t="s">
        <v>65</v>
      </c>
      <c r="R22">
        <v>6.58</v>
      </c>
      <c r="T22">
        <v>5.86</v>
      </c>
      <c r="V22">
        <v>7.39</v>
      </c>
      <c r="W22" t="s">
        <v>66</v>
      </c>
      <c r="X22" t="s">
        <v>67</v>
      </c>
      <c r="Y22" t="s">
        <v>67</v>
      </c>
      <c r="Z22" t="s">
        <v>68</v>
      </c>
      <c r="AB22">
        <v>4</v>
      </c>
      <c r="AC22" t="s">
        <v>61</v>
      </c>
      <c r="AJ22" t="s">
        <v>69</v>
      </c>
      <c r="AY22" t="s">
        <v>120</v>
      </c>
      <c r="AZ22">
        <v>14097</v>
      </c>
      <c r="BA22" t="s">
        <v>121</v>
      </c>
      <c r="BB22" t="s">
        <v>122</v>
      </c>
      <c r="BC22">
        <v>1989</v>
      </c>
      <c r="BD22" t="s">
        <v>123</v>
      </c>
    </row>
    <row r="23" spans="1:56" x14ac:dyDescent="0.35">
      <c r="A23">
        <v>51285</v>
      </c>
      <c r="B23" t="s">
        <v>119</v>
      </c>
      <c r="D23" t="s">
        <v>57</v>
      </c>
      <c r="E23" t="s">
        <v>86</v>
      </c>
      <c r="F23" t="s">
        <v>58</v>
      </c>
      <c r="G23" t="s">
        <v>59</v>
      </c>
      <c r="H23" t="s">
        <v>60</v>
      </c>
      <c r="J23" t="s">
        <v>86</v>
      </c>
      <c r="K23" t="s">
        <v>61</v>
      </c>
      <c r="L23" t="s">
        <v>74</v>
      </c>
      <c r="M23" t="s">
        <v>63</v>
      </c>
      <c r="N23" t="s">
        <v>64</v>
      </c>
      <c r="P23" t="s">
        <v>65</v>
      </c>
      <c r="R23">
        <v>17</v>
      </c>
      <c r="T23">
        <v>16</v>
      </c>
      <c r="V23">
        <v>18</v>
      </c>
      <c r="W23" t="s">
        <v>66</v>
      </c>
      <c r="X23" t="s">
        <v>67</v>
      </c>
      <c r="Y23" t="s">
        <v>67</v>
      </c>
      <c r="Z23" t="s">
        <v>68</v>
      </c>
      <c r="AB23">
        <v>4</v>
      </c>
      <c r="AC23" t="s">
        <v>61</v>
      </c>
      <c r="AJ23" t="s">
        <v>69</v>
      </c>
      <c r="AY23" t="s">
        <v>124</v>
      </c>
      <c r="AZ23">
        <v>2189</v>
      </c>
      <c r="BA23" t="s">
        <v>125</v>
      </c>
      <c r="BB23" t="s">
        <v>126</v>
      </c>
      <c r="BC23">
        <v>1981</v>
      </c>
      <c r="BD23" t="s">
        <v>127</v>
      </c>
    </row>
    <row r="24" spans="1:56" x14ac:dyDescent="0.35">
      <c r="A24">
        <v>51285</v>
      </c>
      <c r="B24" t="s">
        <v>119</v>
      </c>
      <c r="D24" t="s">
        <v>57</v>
      </c>
      <c r="E24" t="s">
        <v>128</v>
      </c>
      <c r="F24" t="s">
        <v>58</v>
      </c>
      <c r="G24" t="s">
        <v>59</v>
      </c>
      <c r="H24" t="s">
        <v>60</v>
      </c>
      <c r="I24" t="s">
        <v>129</v>
      </c>
      <c r="J24" t="s">
        <v>86</v>
      </c>
      <c r="K24" t="s">
        <v>61</v>
      </c>
      <c r="L24" t="s">
        <v>74</v>
      </c>
      <c r="M24" t="s">
        <v>63</v>
      </c>
      <c r="N24" t="s">
        <v>64</v>
      </c>
      <c r="O24">
        <v>6</v>
      </c>
      <c r="P24" t="s">
        <v>65</v>
      </c>
      <c r="R24">
        <v>14.9</v>
      </c>
      <c r="T24">
        <v>12.9</v>
      </c>
      <c r="V24">
        <v>17</v>
      </c>
      <c r="W24" t="s">
        <v>66</v>
      </c>
      <c r="X24" t="s">
        <v>67</v>
      </c>
      <c r="Y24" t="s">
        <v>67</v>
      </c>
      <c r="Z24" t="s">
        <v>68</v>
      </c>
      <c r="AB24">
        <v>4</v>
      </c>
      <c r="AC24" t="s">
        <v>61</v>
      </c>
      <c r="AJ24" t="s">
        <v>69</v>
      </c>
      <c r="AY24" t="s">
        <v>130</v>
      </c>
      <c r="AZ24">
        <v>86254</v>
      </c>
      <c r="BA24" t="s">
        <v>131</v>
      </c>
      <c r="BB24" t="s">
        <v>132</v>
      </c>
      <c r="BC24">
        <v>2005</v>
      </c>
      <c r="BD24" t="s">
        <v>133</v>
      </c>
    </row>
    <row r="25" spans="1:56" x14ac:dyDescent="0.35">
      <c r="A25">
        <v>51285</v>
      </c>
      <c r="B25" t="s">
        <v>119</v>
      </c>
      <c r="D25" t="s">
        <v>57</v>
      </c>
      <c r="E25" t="s">
        <v>128</v>
      </c>
      <c r="F25" t="s">
        <v>58</v>
      </c>
      <c r="G25" t="s">
        <v>59</v>
      </c>
      <c r="H25" t="s">
        <v>60</v>
      </c>
      <c r="I25" t="s">
        <v>129</v>
      </c>
      <c r="J25" t="s">
        <v>86</v>
      </c>
      <c r="K25" t="s">
        <v>61</v>
      </c>
      <c r="L25" t="s">
        <v>74</v>
      </c>
      <c r="M25" t="s">
        <v>63</v>
      </c>
      <c r="N25" t="s">
        <v>64</v>
      </c>
      <c r="P25" t="s">
        <v>65</v>
      </c>
      <c r="R25">
        <v>11.1</v>
      </c>
      <c r="W25" t="s">
        <v>66</v>
      </c>
      <c r="X25" t="s">
        <v>67</v>
      </c>
      <c r="Y25" t="s">
        <v>67</v>
      </c>
      <c r="Z25" t="s">
        <v>68</v>
      </c>
      <c r="AB25">
        <v>4</v>
      </c>
      <c r="AC25" t="s">
        <v>61</v>
      </c>
      <c r="AJ25" t="s">
        <v>69</v>
      </c>
      <c r="AY25" t="s">
        <v>134</v>
      </c>
      <c r="AZ25">
        <v>15031</v>
      </c>
      <c r="BA25" t="s">
        <v>135</v>
      </c>
      <c r="BB25" t="s">
        <v>136</v>
      </c>
      <c r="BC25">
        <v>1995</v>
      </c>
      <c r="BD25" t="s">
        <v>133</v>
      </c>
    </row>
    <row r="26" spans="1:56" x14ac:dyDescent="0.35">
      <c r="A26">
        <v>51285</v>
      </c>
      <c r="B26" t="s">
        <v>119</v>
      </c>
      <c r="D26" t="s">
        <v>57</v>
      </c>
      <c r="E26">
        <v>85</v>
      </c>
      <c r="F26" t="s">
        <v>58</v>
      </c>
      <c r="G26" t="s">
        <v>59</v>
      </c>
      <c r="H26" t="s">
        <v>60</v>
      </c>
      <c r="J26" t="s">
        <v>86</v>
      </c>
      <c r="K26" t="s">
        <v>61</v>
      </c>
      <c r="L26" t="s">
        <v>74</v>
      </c>
      <c r="M26" t="s">
        <v>63</v>
      </c>
      <c r="N26" t="s">
        <v>64</v>
      </c>
      <c r="P26" t="s">
        <v>65</v>
      </c>
      <c r="R26">
        <v>8.15</v>
      </c>
      <c r="T26">
        <v>7.66</v>
      </c>
      <c r="V26">
        <v>8.68</v>
      </c>
      <c r="W26" t="s">
        <v>66</v>
      </c>
      <c r="X26" t="s">
        <v>67</v>
      </c>
      <c r="Y26" t="s">
        <v>67</v>
      </c>
      <c r="Z26" t="s">
        <v>68</v>
      </c>
      <c r="AB26">
        <v>4</v>
      </c>
      <c r="AC26" t="s">
        <v>61</v>
      </c>
      <c r="AJ26" t="s">
        <v>69</v>
      </c>
      <c r="AY26" t="s">
        <v>75</v>
      </c>
      <c r="AZ26">
        <v>3217</v>
      </c>
      <c r="BA26" t="s">
        <v>76</v>
      </c>
      <c r="BB26" t="s">
        <v>77</v>
      </c>
      <c r="BC26">
        <v>1990</v>
      </c>
      <c r="BD26" t="s">
        <v>137</v>
      </c>
    </row>
    <row r="27" spans="1:56" x14ac:dyDescent="0.35">
      <c r="A27">
        <v>51285</v>
      </c>
      <c r="B27" t="s">
        <v>119</v>
      </c>
      <c r="D27" t="s">
        <v>57</v>
      </c>
      <c r="E27" t="s">
        <v>128</v>
      </c>
      <c r="F27" t="s">
        <v>58</v>
      </c>
      <c r="G27" t="s">
        <v>59</v>
      </c>
      <c r="H27" t="s">
        <v>60</v>
      </c>
      <c r="I27" t="s">
        <v>129</v>
      </c>
      <c r="J27" t="s">
        <v>86</v>
      </c>
      <c r="K27" t="s">
        <v>61</v>
      </c>
      <c r="L27" t="s">
        <v>74</v>
      </c>
      <c r="M27" t="s">
        <v>63</v>
      </c>
      <c r="N27" t="s">
        <v>64</v>
      </c>
      <c r="O27">
        <v>6</v>
      </c>
      <c r="P27" t="s">
        <v>65</v>
      </c>
      <c r="R27">
        <v>15.6</v>
      </c>
      <c r="T27">
        <v>13.8</v>
      </c>
      <c r="V27">
        <v>17.600000000000001</v>
      </c>
      <c r="W27" t="s">
        <v>66</v>
      </c>
      <c r="X27" t="s">
        <v>67</v>
      </c>
      <c r="Y27" t="s">
        <v>67</v>
      </c>
      <c r="Z27" t="s">
        <v>68</v>
      </c>
      <c r="AB27">
        <v>4</v>
      </c>
      <c r="AC27" t="s">
        <v>61</v>
      </c>
      <c r="AJ27" t="s">
        <v>69</v>
      </c>
      <c r="AY27" t="s">
        <v>130</v>
      </c>
      <c r="AZ27">
        <v>86254</v>
      </c>
      <c r="BA27" t="s">
        <v>131</v>
      </c>
      <c r="BB27" t="s">
        <v>132</v>
      </c>
      <c r="BC27">
        <v>2005</v>
      </c>
      <c r="BD27" t="s">
        <v>133</v>
      </c>
    </row>
    <row r="28" spans="1:56" x14ac:dyDescent="0.35">
      <c r="A28">
        <v>51285</v>
      </c>
      <c r="B28" t="s">
        <v>119</v>
      </c>
      <c r="D28" t="s">
        <v>57</v>
      </c>
      <c r="E28" t="s">
        <v>86</v>
      </c>
      <c r="F28" t="s">
        <v>58</v>
      </c>
      <c r="G28" t="s">
        <v>59</v>
      </c>
      <c r="H28" t="s">
        <v>60</v>
      </c>
      <c r="J28" t="s">
        <v>86</v>
      </c>
      <c r="M28" t="s">
        <v>63</v>
      </c>
      <c r="N28" t="s">
        <v>64</v>
      </c>
      <c r="O28">
        <v>6</v>
      </c>
      <c r="P28" t="s">
        <v>65</v>
      </c>
      <c r="R28">
        <v>16.7</v>
      </c>
      <c r="W28" t="s">
        <v>66</v>
      </c>
      <c r="X28" t="s">
        <v>67</v>
      </c>
      <c r="Y28" t="s">
        <v>67</v>
      </c>
      <c r="Z28" t="s">
        <v>68</v>
      </c>
      <c r="AB28">
        <v>4</v>
      </c>
      <c r="AC28" t="s">
        <v>61</v>
      </c>
      <c r="AJ28" t="s">
        <v>69</v>
      </c>
      <c r="AY28" t="s">
        <v>138</v>
      </c>
      <c r="AZ28">
        <v>120926</v>
      </c>
      <c r="BA28" t="s">
        <v>139</v>
      </c>
      <c r="BB28" t="s">
        <v>140</v>
      </c>
      <c r="BC28">
        <v>1980</v>
      </c>
      <c r="BD28" t="s">
        <v>90</v>
      </c>
    </row>
    <row r="29" spans="1:56" x14ac:dyDescent="0.35">
      <c r="A29">
        <v>51285</v>
      </c>
      <c r="B29" t="s">
        <v>119</v>
      </c>
      <c r="D29" t="s">
        <v>57</v>
      </c>
      <c r="E29">
        <v>85</v>
      </c>
      <c r="F29" t="s">
        <v>58</v>
      </c>
      <c r="G29" t="s">
        <v>59</v>
      </c>
      <c r="H29" t="s">
        <v>60</v>
      </c>
      <c r="J29">
        <v>30</v>
      </c>
      <c r="K29" t="s">
        <v>61</v>
      </c>
      <c r="L29" t="s">
        <v>74</v>
      </c>
      <c r="M29" t="s">
        <v>63</v>
      </c>
      <c r="N29" t="s">
        <v>64</v>
      </c>
      <c r="P29" t="s">
        <v>65</v>
      </c>
      <c r="R29">
        <v>19.399999999999999</v>
      </c>
      <c r="T29">
        <v>18.5</v>
      </c>
      <c r="V29">
        <v>20.399999999999999</v>
      </c>
      <c r="W29" t="s">
        <v>66</v>
      </c>
      <c r="X29" t="s">
        <v>67</v>
      </c>
      <c r="Y29" t="s">
        <v>67</v>
      </c>
      <c r="Z29" t="s">
        <v>68</v>
      </c>
      <c r="AB29">
        <v>4</v>
      </c>
      <c r="AC29" t="s">
        <v>61</v>
      </c>
      <c r="AJ29" t="s">
        <v>69</v>
      </c>
      <c r="AY29" t="s">
        <v>141</v>
      </c>
      <c r="AZ29">
        <v>12447</v>
      </c>
      <c r="BA29" t="s">
        <v>142</v>
      </c>
      <c r="BB29" t="s">
        <v>143</v>
      </c>
      <c r="BC29">
        <v>1985</v>
      </c>
      <c r="BD29" t="s">
        <v>73</v>
      </c>
    </row>
    <row r="30" spans="1:56" x14ac:dyDescent="0.35">
      <c r="A30">
        <v>51285</v>
      </c>
      <c r="B30" t="s">
        <v>119</v>
      </c>
      <c r="D30" t="s">
        <v>57</v>
      </c>
      <c r="E30" t="s">
        <v>86</v>
      </c>
      <c r="F30" t="s">
        <v>58</v>
      </c>
      <c r="G30" t="s">
        <v>59</v>
      </c>
      <c r="H30" t="s">
        <v>60</v>
      </c>
      <c r="J30" t="s">
        <v>86</v>
      </c>
      <c r="L30" t="s">
        <v>74</v>
      </c>
      <c r="M30" t="s">
        <v>63</v>
      </c>
      <c r="N30" t="s">
        <v>64</v>
      </c>
      <c r="P30" t="s">
        <v>65</v>
      </c>
      <c r="R30">
        <v>8.39</v>
      </c>
      <c r="T30">
        <v>7.88</v>
      </c>
      <c r="V30">
        <v>8.93</v>
      </c>
      <c r="W30" t="s">
        <v>66</v>
      </c>
      <c r="X30" t="s">
        <v>67</v>
      </c>
      <c r="Y30" t="s">
        <v>67</v>
      </c>
      <c r="Z30" t="s">
        <v>68</v>
      </c>
      <c r="AB30">
        <v>4</v>
      </c>
      <c r="AC30" t="s">
        <v>61</v>
      </c>
      <c r="AJ30" t="s">
        <v>69</v>
      </c>
      <c r="AY30" t="s">
        <v>144</v>
      </c>
      <c r="AZ30">
        <v>12665</v>
      </c>
      <c r="BA30" t="s">
        <v>145</v>
      </c>
      <c r="BB30" t="s">
        <v>146</v>
      </c>
      <c r="BC30">
        <v>1987</v>
      </c>
      <c r="BD30" t="s">
        <v>90</v>
      </c>
    </row>
    <row r="31" spans="1:56" x14ac:dyDescent="0.35">
      <c r="A31">
        <v>51285</v>
      </c>
      <c r="B31" t="s">
        <v>119</v>
      </c>
      <c r="D31" t="s">
        <v>57</v>
      </c>
      <c r="E31">
        <v>85</v>
      </c>
      <c r="F31" t="s">
        <v>58</v>
      </c>
      <c r="G31" t="s">
        <v>59</v>
      </c>
      <c r="H31" t="s">
        <v>60</v>
      </c>
      <c r="J31">
        <v>30</v>
      </c>
      <c r="K31" t="s">
        <v>61</v>
      </c>
      <c r="L31" t="s">
        <v>74</v>
      </c>
      <c r="M31" t="s">
        <v>63</v>
      </c>
      <c r="N31" t="s">
        <v>64</v>
      </c>
      <c r="P31" t="s">
        <v>65</v>
      </c>
      <c r="R31">
        <v>11.9</v>
      </c>
      <c r="T31">
        <v>10.3</v>
      </c>
      <c r="V31">
        <v>13.8</v>
      </c>
      <c r="W31" t="s">
        <v>66</v>
      </c>
      <c r="X31" t="s">
        <v>67</v>
      </c>
      <c r="Y31" t="s">
        <v>67</v>
      </c>
      <c r="Z31" t="s">
        <v>68</v>
      </c>
      <c r="AB31">
        <v>4</v>
      </c>
      <c r="AC31" t="s">
        <v>61</v>
      </c>
      <c r="AJ31" t="s">
        <v>69</v>
      </c>
      <c r="AY31" t="s">
        <v>75</v>
      </c>
      <c r="AZ31">
        <v>3217</v>
      </c>
      <c r="BA31" t="s">
        <v>76</v>
      </c>
      <c r="BB31" t="s">
        <v>77</v>
      </c>
      <c r="BC31">
        <v>1990</v>
      </c>
      <c r="BD31" t="s">
        <v>73</v>
      </c>
    </row>
    <row r="32" spans="1:56" x14ac:dyDescent="0.35">
      <c r="A32">
        <v>51285</v>
      </c>
      <c r="B32" t="s">
        <v>119</v>
      </c>
      <c r="D32" t="s">
        <v>57</v>
      </c>
      <c r="E32">
        <v>85</v>
      </c>
      <c r="F32" t="s">
        <v>58</v>
      </c>
      <c r="G32" t="s">
        <v>59</v>
      </c>
      <c r="H32" t="s">
        <v>60</v>
      </c>
      <c r="J32">
        <v>30</v>
      </c>
      <c r="K32" t="s">
        <v>61</v>
      </c>
      <c r="L32" t="s">
        <v>74</v>
      </c>
      <c r="M32" t="s">
        <v>63</v>
      </c>
      <c r="N32" t="s">
        <v>64</v>
      </c>
      <c r="P32" t="s">
        <v>65</v>
      </c>
      <c r="R32">
        <v>13.3</v>
      </c>
      <c r="T32">
        <v>12.4</v>
      </c>
      <c r="V32">
        <v>14.3</v>
      </c>
      <c r="W32" t="s">
        <v>66</v>
      </c>
      <c r="X32" t="s">
        <v>67</v>
      </c>
      <c r="Y32" t="s">
        <v>67</v>
      </c>
      <c r="Z32" t="s">
        <v>68</v>
      </c>
      <c r="AB32">
        <v>4</v>
      </c>
      <c r="AC32" t="s">
        <v>61</v>
      </c>
      <c r="AJ32" t="s">
        <v>69</v>
      </c>
      <c r="AY32" t="s">
        <v>75</v>
      </c>
      <c r="AZ32">
        <v>3217</v>
      </c>
      <c r="BA32" t="s">
        <v>76</v>
      </c>
      <c r="BB32" t="s">
        <v>77</v>
      </c>
      <c r="BC32">
        <v>1990</v>
      </c>
      <c r="BD32" t="s">
        <v>73</v>
      </c>
    </row>
    <row r="33" spans="1:56" x14ac:dyDescent="0.35">
      <c r="A33">
        <v>51285</v>
      </c>
      <c r="B33" t="s">
        <v>119</v>
      </c>
      <c r="D33" t="s">
        <v>57</v>
      </c>
      <c r="E33">
        <v>85</v>
      </c>
      <c r="F33" t="s">
        <v>58</v>
      </c>
      <c r="G33" t="s">
        <v>59</v>
      </c>
      <c r="H33" t="s">
        <v>60</v>
      </c>
      <c r="J33">
        <v>32</v>
      </c>
      <c r="K33" t="s">
        <v>61</v>
      </c>
      <c r="L33" t="s">
        <v>74</v>
      </c>
      <c r="M33" t="s">
        <v>63</v>
      </c>
      <c r="N33" t="s">
        <v>64</v>
      </c>
      <c r="P33" t="s">
        <v>65</v>
      </c>
      <c r="R33">
        <v>10.6</v>
      </c>
      <c r="T33">
        <v>9.57</v>
      </c>
      <c r="V33">
        <v>11.8</v>
      </c>
      <c r="W33" t="s">
        <v>66</v>
      </c>
      <c r="X33" t="s">
        <v>67</v>
      </c>
      <c r="Y33" t="s">
        <v>67</v>
      </c>
      <c r="Z33" t="s">
        <v>68</v>
      </c>
      <c r="AB33">
        <v>4</v>
      </c>
      <c r="AC33" t="s">
        <v>61</v>
      </c>
      <c r="AJ33" t="s">
        <v>69</v>
      </c>
      <c r="AY33" t="s">
        <v>141</v>
      </c>
      <c r="AZ33">
        <v>12447</v>
      </c>
      <c r="BA33" t="s">
        <v>142</v>
      </c>
      <c r="BB33" t="s">
        <v>143</v>
      </c>
      <c r="BC33">
        <v>1985</v>
      </c>
      <c r="BD33" t="s">
        <v>73</v>
      </c>
    </row>
    <row r="34" spans="1:56" x14ac:dyDescent="0.35">
      <c r="A34">
        <v>51285</v>
      </c>
      <c r="B34" t="s">
        <v>119</v>
      </c>
      <c r="D34" t="s">
        <v>57</v>
      </c>
      <c r="E34">
        <v>85</v>
      </c>
      <c r="F34" t="s">
        <v>58</v>
      </c>
      <c r="G34" t="s">
        <v>59</v>
      </c>
      <c r="H34" t="s">
        <v>60</v>
      </c>
      <c r="J34">
        <v>34</v>
      </c>
      <c r="K34" t="s">
        <v>61</v>
      </c>
      <c r="L34" t="s">
        <v>74</v>
      </c>
      <c r="M34" t="s">
        <v>63</v>
      </c>
      <c r="N34" t="s">
        <v>64</v>
      </c>
      <c r="P34" t="s">
        <v>65</v>
      </c>
      <c r="R34">
        <v>10.6</v>
      </c>
      <c r="T34">
        <v>9.5299999999999994</v>
      </c>
      <c r="V34">
        <v>11.9</v>
      </c>
      <c r="W34" t="s">
        <v>66</v>
      </c>
      <c r="X34" t="s">
        <v>67</v>
      </c>
      <c r="Y34" t="s">
        <v>67</v>
      </c>
      <c r="Z34" t="s">
        <v>68</v>
      </c>
      <c r="AB34">
        <v>4</v>
      </c>
      <c r="AC34" t="s">
        <v>61</v>
      </c>
      <c r="AJ34" t="s">
        <v>69</v>
      </c>
      <c r="AY34" t="s">
        <v>141</v>
      </c>
      <c r="AZ34">
        <v>12447</v>
      </c>
      <c r="BA34" t="s">
        <v>142</v>
      </c>
      <c r="BB34" t="s">
        <v>143</v>
      </c>
      <c r="BC34">
        <v>1985</v>
      </c>
      <c r="BD34" t="s">
        <v>73</v>
      </c>
    </row>
    <row r="35" spans="1:56" x14ac:dyDescent="0.35">
      <c r="A35">
        <v>51285</v>
      </c>
      <c r="B35" t="s">
        <v>119</v>
      </c>
      <c r="D35" t="s">
        <v>57</v>
      </c>
      <c r="E35" t="s">
        <v>86</v>
      </c>
      <c r="F35" t="s">
        <v>58</v>
      </c>
      <c r="G35" t="s">
        <v>59</v>
      </c>
      <c r="H35" t="s">
        <v>60</v>
      </c>
      <c r="J35">
        <v>30</v>
      </c>
      <c r="K35" t="s">
        <v>61</v>
      </c>
      <c r="L35" t="s">
        <v>74</v>
      </c>
      <c r="M35" t="s">
        <v>63</v>
      </c>
      <c r="N35" t="s">
        <v>64</v>
      </c>
      <c r="P35" t="s">
        <v>65</v>
      </c>
      <c r="R35">
        <v>6.58</v>
      </c>
      <c r="T35">
        <v>5.86</v>
      </c>
      <c r="V35">
        <v>7.39</v>
      </c>
      <c r="W35" t="s">
        <v>66</v>
      </c>
      <c r="X35" t="s">
        <v>67</v>
      </c>
      <c r="Y35" t="s">
        <v>67</v>
      </c>
      <c r="Z35" t="s">
        <v>68</v>
      </c>
      <c r="AB35">
        <v>4</v>
      </c>
      <c r="AC35" t="s">
        <v>61</v>
      </c>
      <c r="AJ35" t="s">
        <v>69</v>
      </c>
      <c r="AY35" t="s">
        <v>141</v>
      </c>
      <c r="AZ35">
        <v>12447</v>
      </c>
      <c r="BA35" t="s">
        <v>142</v>
      </c>
      <c r="BB35" t="s">
        <v>143</v>
      </c>
      <c r="BC35">
        <v>1985</v>
      </c>
      <c r="BD35" t="s">
        <v>73</v>
      </c>
    </row>
    <row r="36" spans="1:56" x14ac:dyDescent="0.35">
      <c r="A36">
        <v>51285</v>
      </c>
      <c r="B36" t="s">
        <v>119</v>
      </c>
      <c r="D36" t="s">
        <v>57</v>
      </c>
      <c r="E36" t="s">
        <v>86</v>
      </c>
      <c r="F36" t="s">
        <v>58</v>
      </c>
      <c r="G36" t="s">
        <v>59</v>
      </c>
      <c r="H36" t="s">
        <v>60</v>
      </c>
      <c r="J36" t="s">
        <v>86</v>
      </c>
      <c r="K36" t="s">
        <v>61</v>
      </c>
      <c r="L36" t="s">
        <v>74</v>
      </c>
      <c r="M36" t="s">
        <v>63</v>
      </c>
      <c r="N36" t="s">
        <v>64</v>
      </c>
      <c r="P36" t="s">
        <v>65</v>
      </c>
      <c r="R36">
        <v>17</v>
      </c>
      <c r="T36">
        <v>16</v>
      </c>
      <c r="V36">
        <v>17</v>
      </c>
      <c r="W36" t="s">
        <v>66</v>
      </c>
      <c r="X36" t="s">
        <v>67</v>
      </c>
      <c r="Y36" t="s">
        <v>67</v>
      </c>
      <c r="Z36" t="s">
        <v>68</v>
      </c>
      <c r="AB36">
        <v>4</v>
      </c>
      <c r="AC36" t="s">
        <v>61</v>
      </c>
      <c r="AJ36" t="s">
        <v>69</v>
      </c>
      <c r="AY36" t="s">
        <v>124</v>
      </c>
      <c r="AZ36">
        <v>2189</v>
      </c>
      <c r="BA36" t="s">
        <v>125</v>
      </c>
      <c r="BB36" t="s">
        <v>126</v>
      </c>
      <c r="BC36">
        <v>1981</v>
      </c>
      <c r="BD36" t="s">
        <v>127</v>
      </c>
    </row>
    <row r="37" spans="1:56" x14ac:dyDescent="0.35">
      <c r="A37">
        <v>51285</v>
      </c>
      <c r="B37" t="s">
        <v>119</v>
      </c>
      <c r="D37" t="s">
        <v>57</v>
      </c>
      <c r="E37">
        <v>85</v>
      </c>
      <c r="F37" t="s">
        <v>58</v>
      </c>
      <c r="G37" t="s">
        <v>59</v>
      </c>
      <c r="H37" t="s">
        <v>60</v>
      </c>
      <c r="J37">
        <v>28</v>
      </c>
      <c r="K37" t="s">
        <v>61</v>
      </c>
      <c r="L37" t="s">
        <v>74</v>
      </c>
      <c r="M37" t="s">
        <v>63</v>
      </c>
      <c r="N37" t="s">
        <v>64</v>
      </c>
      <c r="P37" t="s">
        <v>65</v>
      </c>
      <c r="R37">
        <v>11</v>
      </c>
      <c r="T37">
        <v>8.7799999999999994</v>
      </c>
      <c r="V37">
        <v>13.7</v>
      </c>
      <c r="W37" t="s">
        <v>66</v>
      </c>
      <c r="X37" t="s">
        <v>67</v>
      </c>
      <c r="Y37" t="s">
        <v>67</v>
      </c>
      <c r="Z37" t="s">
        <v>68</v>
      </c>
      <c r="AB37">
        <v>4</v>
      </c>
      <c r="AC37" t="s">
        <v>61</v>
      </c>
      <c r="AJ37" t="s">
        <v>69</v>
      </c>
      <c r="AY37" t="s">
        <v>80</v>
      </c>
      <c r="AZ37">
        <v>12859</v>
      </c>
      <c r="BA37" t="s">
        <v>81</v>
      </c>
      <c r="BB37" t="s">
        <v>82</v>
      </c>
      <c r="BC37">
        <v>1988</v>
      </c>
      <c r="BD37" t="s">
        <v>73</v>
      </c>
    </row>
    <row r="38" spans="1:56" x14ac:dyDescent="0.35">
      <c r="A38">
        <v>51285</v>
      </c>
      <c r="B38" t="s">
        <v>119</v>
      </c>
      <c r="D38" t="s">
        <v>57</v>
      </c>
      <c r="E38" t="s">
        <v>128</v>
      </c>
      <c r="F38" t="s">
        <v>58</v>
      </c>
      <c r="G38" t="s">
        <v>59</v>
      </c>
      <c r="H38" t="s">
        <v>60</v>
      </c>
      <c r="I38" t="s">
        <v>129</v>
      </c>
      <c r="J38" t="s">
        <v>86</v>
      </c>
      <c r="K38" t="s">
        <v>61</v>
      </c>
      <c r="L38" t="s">
        <v>74</v>
      </c>
      <c r="M38" t="s">
        <v>63</v>
      </c>
      <c r="N38" t="s">
        <v>64</v>
      </c>
      <c r="O38">
        <v>6</v>
      </c>
      <c r="P38" t="s">
        <v>65</v>
      </c>
      <c r="R38">
        <v>16.5</v>
      </c>
      <c r="T38">
        <v>14.5</v>
      </c>
      <c r="V38">
        <v>18.7</v>
      </c>
      <c r="W38" t="s">
        <v>66</v>
      </c>
      <c r="X38" t="s">
        <v>67</v>
      </c>
      <c r="Y38" t="s">
        <v>67</v>
      </c>
      <c r="Z38" t="s">
        <v>68</v>
      </c>
      <c r="AB38">
        <v>4</v>
      </c>
      <c r="AC38" t="s">
        <v>61</v>
      </c>
      <c r="AJ38" t="s">
        <v>69</v>
      </c>
      <c r="AY38" t="s">
        <v>130</v>
      </c>
      <c r="AZ38">
        <v>86254</v>
      </c>
      <c r="BA38" t="s">
        <v>131</v>
      </c>
      <c r="BB38" t="s">
        <v>132</v>
      </c>
      <c r="BC38">
        <v>2005</v>
      </c>
      <c r="BD38" t="s">
        <v>133</v>
      </c>
    </row>
    <row r="39" spans="1:56" x14ac:dyDescent="0.35">
      <c r="A39">
        <v>51285</v>
      </c>
      <c r="B39" t="s">
        <v>119</v>
      </c>
      <c r="D39" t="s">
        <v>57</v>
      </c>
      <c r="E39" t="s">
        <v>128</v>
      </c>
      <c r="F39" t="s">
        <v>58</v>
      </c>
      <c r="G39" t="s">
        <v>59</v>
      </c>
      <c r="H39" t="s">
        <v>60</v>
      </c>
      <c r="I39" t="s">
        <v>129</v>
      </c>
      <c r="J39" t="s">
        <v>86</v>
      </c>
      <c r="K39" t="s">
        <v>61</v>
      </c>
      <c r="L39" t="s">
        <v>74</v>
      </c>
      <c r="M39" t="s">
        <v>63</v>
      </c>
      <c r="N39" t="s">
        <v>64</v>
      </c>
      <c r="P39" t="s">
        <v>65</v>
      </c>
      <c r="R39">
        <v>16</v>
      </c>
      <c r="W39" t="s">
        <v>66</v>
      </c>
      <c r="X39" t="s">
        <v>67</v>
      </c>
      <c r="Y39" t="s">
        <v>67</v>
      </c>
      <c r="Z39" t="s">
        <v>68</v>
      </c>
      <c r="AB39">
        <v>4</v>
      </c>
      <c r="AC39" t="s">
        <v>61</v>
      </c>
      <c r="AJ39" t="s">
        <v>69</v>
      </c>
      <c r="AY39" t="s">
        <v>134</v>
      </c>
      <c r="AZ39">
        <v>15031</v>
      </c>
      <c r="BA39" t="s">
        <v>135</v>
      </c>
      <c r="BB39" t="s">
        <v>136</v>
      </c>
      <c r="BC39">
        <v>1995</v>
      </c>
      <c r="BD39" t="s">
        <v>133</v>
      </c>
    </row>
    <row r="40" spans="1:56" x14ac:dyDescent="0.35">
      <c r="A40">
        <v>51285</v>
      </c>
      <c r="B40" t="s">
        <v>119</v>
      </c>
      <c r="D40" t="s">
        <v>57</v>
      </c>
      <c r="E40">
        <v>85</v>
      </c>
      <c r="F40" t="s">
        <v>58</v>
      </c>
      <c r="G40" t="s">
        <v>59</v>
      </c>
      <c r="H40" t="s">
        <v>60</v>
      </c>
      <c r="J40">
        <v>31</v>
      </c>
      <c r="K40" t="s">
        <v>61</v>
      </c>
      <c r="L40" t="s">
        <v>74</v>
      </c>
      <c r="M40" t="s">
        <v>63</v>
      </c>
      <c r="N40" t="s">
        <v>64</v>
      </c>
      <c r="P40" t="s">
        <v>65</v>
      </c>
      <c r="R40">
        <v>11</v>
      </c>
      <c r="T40">
        <v>9.68</v>
      </c>
      <c r="V40">
        <v>12.6</v>
      </c>
      <c r="W40" t="s">
        <v>66</v>
      </c>
      <c r="X40" t="s">
        <v>67</v>
      </c>
      <c r="Y40" t="s">
        <v>67</v>
      </c>
      <c r="Z40" t="s">
        <v>68</v>
      </c>
      <c r="AB40">
        <v>4</v>
      </c>
      <c r="AC40" t="s">
        <v>61</v>
      </c>
      <c r="AJ40" t="s">
        <v>69</v>
      </c>
      <c r="AY40" t="s">
        <v>80</v>
      </c>
      <c r="AZ40">
        <v>12859</v>
      </c>
      <c r="BA40" t="s">
        <v>81</v>
      </c>
      <c r="BB40" t="s">
        <v>82</v>
      </c>
      <c r="BC40">
        <v>1988</v>
      </c>
      <c r="BD40" t="s">
        <v>73</v>
      </c>
    </row>
    <row r="41" spans="1:56" x14ac:dyDescent="0.35">
      <c r="A41">
        <v>51285</v>
      </c>
      <c r="B41" t="s">
        <v>119</v>
      </c>
      <c r="D41" t="s">
        <v>57</v>
      </c>
      <c r="E41">
        <v>85</v>
      </c>
      <c r="F41" t="s">
        <v>58</v>
      </c>
      <c r="G41" t="s">
        <v>59</v>
      </c>
      <c r="H41" t="s">
        <v>60</v>
      </c>
      <c r="J41">
        <v>34</v>
      </c>
      <c r="K41" t="s">
        <v>61</v>
      </c>
      <c r="L41" t="s">
        <v>74</v>
      </c>
      <c r="M41" t="s">
        <v>63</v>
      </c>
      <c r="N41" t="s">
        <v>64</v>
      </c>
      <c r="P41" t="s">
        <v>65</v>
      </c>
      <c r="R41">
        <v>10.5</v>
      </c>
      <c r="T41">
        <v>9.32</v>
      </c>
      <c r="V41">
        <v>11.7</v>
      </c>
      <c r="W41" t="s">
        <v>66</v>
      </c>
      <c r="X41" t="s">
        <v>67</v>
      </c>
      <c r="Y41" t="s">
        <v>67</v>
      </c>
      <c r="Z41" t="s">
        <v>68</v>
      </c>
      <c r="AB41">
        <v>4</v>
      </c>
      <c r="AC41" t="s">
        <v>61</v>
      </c>
      <c r="AJ41" t="s">
        <v>69</v>
      </c>
      <c r="AY41" t="s">
        <v>141</v>
      </c>
      <c r="AZ41">
        <v>12447</v>
      </c>
      <c r="BA41" t="s">
        <v>142</v>
      </c>
      <c r="BB41" t="s">
        <v>143</v>
      </c>
      <c r="BC41">
        <v>1985</v>
      </c>
      <c r="BD41" t="s">
        <v>73</v>
      </c>
    </row>
    <row r="42" spans="1:56" x14ac:dyDescent="0.35">
      <c r="A42">
        <v>51796</v>
      </c>
      <c r="B42" t="s">
        <v>147</v>
      </c>
      <c r="D42" t="s">
        <v>57</v>
      </c>
      <c r="E42">
        <v>99</v>
      </c>
      <c r="F42" t="s">
        <v>58</v>
      </c>
      <c r="G42" t="s">
        <v>59</v>
      </c>
      <c r="H42" t="s">
        <v>60</v>
      </c>
      <c r="J42" t="s">
        <v>86</v>
      </c>
      <c r="K42" t="s">
        <v>61</v>
      </c>
      <c r="L42" t="s">
        <v>74</v>
      </c>
      <c r="M42" t="s">
        <v>63</v>
      </c>
      <c r="N42" t="s">
        <v>64</v>
      </c>
      <c r="P42" t="s">
        <v>65</v>
      </c>
      <c r="R42">
        <v>5240</v>
      </c>
      <c r="T42">
        <v>4960</v>
      </c>
      <c r="V42">
        <v>5540</v>
      </c>
      <c r="W42" t="s">
        <v>66</v>
      </c>
      <c r="X42" t="s">
        <v>67</v>
      </c>
      <c r="Y42" t="s">
        <v>67</v>
      </c>
      <c r="Z42" t="s">
        <v>68</v>
      </c>
      <c r="AB42">
        <v>4</v>
      </c>
      <c r="AC42" t="s">
        <v>61</v>
      </c>
      <c r="AJ42" t="s">
        <v>69</v>
      </c>
      <c r="AY42" t="s">
        <v>75</v>
      </c>
      <c r="AZ42">
        <v>3217</v>
      </c>
      <c r="BA42" t="s">
        <v>76</v>
      </c>
      <c r="BB42" t="s">
        <v>77</v>
      </c>
      <c r="BC42">
        <v>1990</v>
      </c>
      <c r="BD42" t="s">
        <v>148</v>
      </c>
    </row>
    <row r="43" spans="1:56" x14ac:dyDescent="0.35">
      <c r="A43">
        <v>52686</v>
      </c>
      <c r="B43" t="s">
        <v>149</v>
      </c>
      <c r="C43" t="s">
        <v>91</v>
      </c>
      <c r="D43" t="s">
        <v>85</v>
      </c>
      <c r="E43">
        <v>99</v>
      </c>
      <c r="F43" t="s">
        <v>58</v>
      </c>
      <c r="G43" t="s">
        <v>59</v>
      </c>
      <c r="H43" t="s">
        <v>60</v>
      </c>
      <c r="J43" t="s">
        <v>86</v>
      </c>
      <c r="L43" t="s">
        <v>62</v>
      </c>
      <c r="M43" t="s">
        <v>63</v>
      </c>
      <c r="N43" t="s">
        <v>64</v>
      </c>
      <c r="P43" t="s">
        <v>65</v>
      </c>
      <c r="R43">
        <v>180</v>
      </c>
      <c r="W43" t="s">
        <v>66</v>
      </c>
      <c r="X43" t="s">
        <v>67</v>
      </c>
      <c r="Y43" t="s">
        <v>67</v>
      </c>
      <c r="Z43" t="s">
        <v>68</v>
      </c>
      <c r="AB43">
        <v>4</v>
      </c>
      <c r="AC43" t="s">
        <v>61</v>
      </c>
      <c r="AJ43" t="s">
        <v>69</v>
      </c>
      <c r="AY43" t="s">
        <v>150</v>
      </c>
      <c r="AZ43">
        <v>2155</v>
      </c>
      <c r="BA43" t="s">
        <v>151</v>
      </c>
      <c r="BB43" t="s">
        <v>152</v>
      </c>
      <c r="BC43">
        <v>1958</v>
      </c>
      <c r="BD43" t="s">
        <v>90</v>
      </c>
    </row>
    <row r="44" spans="1:56" x14ac:dyDescent="0.35">
      <c r="A44">
        <v>52686</v>
      </c>
      <c r="B44" t="s">
        <v>149</v>
      </c>
      <c r="D44" t="s">
        <v>85</v>
      </c>
      <c r="E44">
        <v>80</v>
      </c>
      <c r="F44" t="s">
        <v>58</v>
      </c>
      <c r="G44" t="s">
        <v>59</v>
      </c>
      <c r="H44" t="s">
        <v>60</v>
      </c>
      <c r="J44" t="s">
        <v>86</v>
      </c>
      <c r="L44" t="s">
        <v>62</v>
      </c>
      <c r="M44" t="s">
        <v>63</v>
      </c>
      <c r="N44" t="s">
        <v>64</v>
      </c>
      <c r="P44" t="s">
        <v>65</v>
      </c>
      <c r="Q44" t="s">
        <v>153</v>
      </c>
      <c r="R44">
        <v>100</v>
      </c>
      <c r="W44" t="s">
        <v>66</v>
      </c>
      <c r="X44" t="s">
        <v>67</v>
      </c>
      <c r="Y44" t="s">
        <v>67</v>
      </c>
      <c r="Z44" t="s">
        <v>68</v>
      </c>
      <c r="AB44">
        <v>4</v>
      </c>
      <c r="AC44" t="s">
        <v>61</v>
      </c>
      <c r="AJ44" t="s">
        <v>69</v>
      </c>
      <c r="AY44" t="s">
        <v>154</v>
      </c>
      <c r="AZ44">
        <v>15574</v>
      </c>
      <c r="BA44" t="s">
        <v>155</v>
      </c>
      <c r="BB44" t="s">
        <v>156</v>
      </c>
      <c r="BC44">
        <v>1983</v>
      </c>
      <c r="BD44" t="s">
        <v>90</v>
      </c>
    </row>
    <row r="45" spans="1:56" x14ac:dyDescent="0.35">
      <c r="A45">
        <v>52686</v>
      </c>
      <c r="B45" t="s">
        <v>149</v>
      </c>
      <c r="C45" t="s">
        <v>91</v>
      </c>
      <c r="D45" t="s">
        <v>85</v>
      </c>
      <c r="E45">
        <v>99</v>
      </c>
      <c r="F45" t="s">
        <v>58</v>
      </c>
      <c r="G45" t="s">
        <v>59</v>
      </c>
      <c r="H45" t="s">
        <v>60</v>
      </c>
      <c r="J45" t="s">
        <v>86</v>
      </c>
      <c r="L45" t="s">
        <v>62</v>
      </c>
      <c r="M45" t="s">
        <v>63</v>
      </c>
      <c r="N45" t="s">
        <v>64</v>
      </c>
      <c r="P45" t="s">
        <v>65</v>
      </c>
      <c r="Q45" t="s">
        <v>153</v>
      </c>
      <c r="R45">
        <v>100</v>
      </c>
      <c r="W45" t="s">
        <v>66</v>
      </c>
      <c r="X45" t="s">
        <v>67</v>
      </c>
      <c r="Y45" t="s">
        <v>67</v>
      </c>
      <c r="Z45" t="s">
        <v>68</v>
      </c>
      <c r="AB45">
        <v>4</v>
      </c>
      <c r="AC45" t="s">
        <v>61</v>
      </c>
      <c r="AJ45" t="s">
        <v>69</v>
      </c>
      <c r="AY45" t="s">
        <v>154</v>
      </c>
      <c r="AZ45">
        <v>15574</v>
      </c>
      <c r="BA45" t="s">
        <v>155</v>
      </c>
      <c r="BB45" t="s">
        <v>156</v>
      </c>
      <c r="BC45">
        <v>1983</v>
      </c>
      <c r="BD45" t="s">
        <v>90</v>
      </c>
    </row>
    <row r="46" spans="1:56" x14ac:dyDescent="0.35">
      <c r="A46">
        <v>52686</v>
      </c>
      <c r="B46" t="s">
        <v>149</v>
      </c>
      <c r="D46" t="s">
        <v>85</v>
      </c>
      <c r="E46" t="s">
        <v>86</v>
      </c>
      <c r="F46" t="s">
        <v>58</v>
      </c>
      <c r="G46" t="s">
        <v>59</v>
      </c>
      <c r="H46" t="s">
        <v>60</v>
      </c>
      <c r="J46" t="s">
        <v>86</v>
      </c>
      <c r="M46" t="s">
        <v>63</v>
      </c>
      <c r="N46" t="s">
        <v>64</v>
      </c>
      <c r="P46" t="s">
        <v>100</v>
      </c>
      <c r="R46">
        <v>109</v>
      </c>
      <c r="W46" t="s">
        <v>66</v>
      </c>
      <c r="X46" t="s">
        <v>67</v>
      </c>
      <c r="Y46" t="s">
        <v>67</v>
      </c>
      <c r="Z46" t="s">
        <v>68</v>
      </c>
      <c r="AB46">
        <v>4</v>
      </c>
      <c r="AC46" t="s">
        <v>61</v>
      </c>
      <c r="AJ46" t="s">
        <v>69</v>
      </c>
      <c r="AY46" t="s">
        <v>101</v>
      </c>
      <c r="AZ46">
        <v>70421</v>
      </c>
      <c r="BA46" t="s">
        <v>102</v>
      </c>
      <c r="BB46" t="s">
        <v>103</v>
      </c>
      <c r="BC46">
        <v>1974</v>
      </c>
      <c r="BD46" t="s">
        <v>90</v>
      </c>
    </row>
    <row r="47" spans="1:56" x14ac:dyDescent="0.35">
      <c r="A47">
        <v>52686</v>
      </c>
      <c r="B47" t="s">
        <v>149</v>
      </c>
      <c r="C47" t="s">
        <v>91</v>
      </c>
      <c r="D47" t="s">
        <v>85</v>
      </c>
      <c r="E47">
        <v>99</v>
      </c>
      <c r="F47" t="s">
        <v>58</v>
      </c>
      <c r="G47" t="s">
        <v>59</v>
      </c>
      <c r="H47" t="s">
        <v>60</v>
      </c>
      <c r="J47" t="s">
        <v>86</v>
      </c>
      <c r="L47" t="s">
        <v>62</v>
      </c>
      <c r="M47" t="s">
        <v>63</v>
      </c>
      <c r="N47" t="s">
        <v>64</v>
      </c>
      <c r="P47" t="s">
        <v>65</v>
      </c>
      <c r="R47">
        <v>110</v>
      </c>
      <c r="W47" t="s">
        <v>66</v>
      </c>
      <c r="X47" t="s">
        <v>67</v>
      </c>
      <c r="Y47" t="s">
        <v>67</v>
      </c>
      <c r="Z47" t="s">
        <v>68</v>
      </c>
      <c r="AB47">
        <v>4</v>
      </c>
      <c r="AC47" t="s">
        <v>61</v>
      </c>
      <c r="AJ47" t="s">
        <v>69</v>
      </c>
      <c r="AY47" t="s">
        <v>157</v>
      </c>
      <c r="AZ47">
        <v>2893</v>
      </c>
      <c r="BA47" t="s">
        <v>158</v>
      </c>
      <c r="BB47" t="s">
        <v>159</v>
      </c>
      <c r="BC47">
        <v>1962</v>
      </c>
      <c r="BD47" t="s">
        <v>90</v>
      </c>
    </row>
    <row r="48" spans="1:56" x14ac:dyDescent="0.35">
      <c r="A48">
        <v>52686</v>
      </c>
      <c r="B48" t="s">
        <v>149</v>
      </c>
      <c r="C48" t="s">
        <v>91</v>
      </c>
      <c r="D48" t="s">
        <v>85</v>
      </c>
      <c r="E48">
        <v>99</v>
      </c>
      <c r="F48" t="s">
        <v>58</v>
      </c>
      <c r="G48" t="s">
        <v>59</v>
      </c>
      <c r="H48" t="s">
        <v>60</v>
      </c>
      <c r="J48" t="s">
        <v>86</v>
      </c>
      <c r="L48" t="s">
        <v>62</v>
      </c>
      <c r="M48" t="s">
        <v>63</v>
      </c>
      <c r="N48" t="s">
        <v>64</v>
      </c>
      <c r="P48" t="s">
        <v>65</v>
      </c>
      <c r="R48">
        <v>51</v>
      </c>
      <c r="W48" t="s">
        <v>66</v>
      </c>
      <c r="X48" t="s">
        <v>67</v>
      </c>
      <c r="Y48" t="s">
        <v>67</v>
      </c>
      <c r="Z48" t="s">
        <v>68</v>
      </c>
      <c r="AB48">
        <v>4</v>
      </c>
      <c r="AC48" t="s">
        <v>61</v>
      </c>
      <c r="AJ48" t="s">
        <v>69</v>
      </c>
      <c r="AY48" t="s">
        <v>150</v>
      </c>
      <c r="AZ48">
        <v>2155</v>
      </c>
      <c r="BA48" t="s">
        <v>151</v>
      </c>
      <c r="BB48" t="s">
        <v>152</v>
      </c>
      <c r="BC48">
        <v>1958</v>
      </c>
      <c r="BD48" t="s">
        <v>90</v>
      </c>
    </row>
    <row r="49" spans="1:56" x14ac:dyDescent="0.35">
      <c r="A49">
        <v>52686</v>
      </c>
      <c r="B49" t="s">
        <v>149</v>
      </c>
      <c r="E49">
        <v>98</v>
      </c>
      <c r="F49" t="s">
        <v>58</v>
      </c>
      <c r="G49" t="s">
        <v>59</v>
      </c>
      <c r="H49" t="s">
        <v>60</v>
      </c>
      <c r="J49" t="s">
        <v>86</v>
      </c>
      <c r="L49" t="s">
        <v>62</v>
      </c>
      <c r="M49" t="s">
        <v>63</v>
      </c>
      <c r="N49" t="s">
        <v>64</v>
      </c>
      <c r="P49" t="s">
        <v>65</v>
      </c>
      <c r="R49">
        <v>7.9</v>
      </c>
      <c r="T49">
        <v>6.74</v>
      </c>
      <c r="V49">
        <v>9.26</v>
      </c>
      <c r="W49" t="s">
        <v>66</v>
      </c>
      <c r="X49" t="s">
        <v>67</v>
      </c>
      <c r="Y49" t="s">
        <v>67</v>
      </c>
      <c r="Z49" t="s">
        <v>68</v>
      </c>
      <c r="AB49">
        <v>4</v>
      </c>
      <c r="AC49" t="s">
        <v>61</v>
      </c>
      <c r="AJ49" t="s">
        <v>69</v>
      </c>
      <c r="AY49" t="s">
        <v>96</v>
      </c>
      <c r="AZ49">
        <v>6797</v>
      </c>
      <c r="BA49" t="s">
        <v>97</v>
      </c>
      <c r="BB49" t="s">
        <v>98</v>
      </c>
      <c r="BC49">
        <v>1986</v>
      </c>
      <c r="BD49" t="s">
        <v>90</v>
      </c>
    </row>
    <row r="50" spans="1:56" x14ac:dyDescent="0.35">
      <c r="A50">
        <v>54217</v>
      </c>
      <c r="B50" t="s">
        <v>160</v>
      </c>
      <c r="D50" t="s">
        <v>57</v>
      </c>
      <c r="E50" t="s">
        <v>79</v>
      </c>
      <c r="F50" t="s">
        <v>58</v>
      </c>
      <c r="G50" t="s">
        <v>59</v>
      </c>
      <c r="H50" t="s">
        <v>60</v>
      </c>
      <c r="J50" t="s">
        <v>86</v>
      </c>
      <c r="K50" t="s">
        <v>61</v>
      </c>
      <c r="L50" t="s">
        <v>74</v>
      </c>
      <c r="M50" t="s">
        <v>63</v>
      </c>
      <c r="N50" t="s">
        <v>64</v>
      </c>
      <c r="P50" t="s">
        <v>65</v>
      </c>
      <c r="R50">
        <v>2160</v>
      </c>
      <c r="T50">
        <v>1600</v>
      </c>
      <c r="V50">
        <v>2930</v>
      </c>
      <c r="W50" t="s">
        <v>66</v>
      </c>
      <c r="X50" t="s">
        <v>67</v>
      </c>
      <c r="Y50" t="s">
        <v>67</v>
      </c>
      <c r="Z50" t="s">
        <v>68</v>
      </c>
      <c r="AB50">
        <v>4</v>
      </c>
      <c r="AC50" t="s">
        <v>61</v>
      </c>
      <c r="AJ50" t="s">
        <v>69</v>
      </c>
      <c r="AY50" t="s">
        <v>141</v>
      </c>
      <c r="AZ50">
        <v>12447</v>
      </c>
      <c r="BA50" t="s">
        <v>142</v>
      </c>
      <c r="BB50" t="s">
        <v>143</v>
      </c>
      <c r="BC50">
        <v>1985</v>
      </c>
      <c r="BD50" t="s">
        <v>161</v>
      </c>
    </row>
    <row r="51" spans="1:56" x14ac:dyDescent="0.35">
      <c r="A51">
        <v>54217</v>
      </c>
      <c r="B51" t="s">
        <v>160</v>
      </c>
      <c r="D51" t="s">
        <v>57</v>
      </c>
      <c r="E51" t="s">
        <v>79</v>
      </c>
      <c r="F51" t="s">
        <v>58</v>
      </c>
      <c r="G51" t="s">
        <v>59</v>
      </c>
      <c r="H51" t="s">
        <v>60</v>
      </c>
      <c r="J51">
        <v>33</v>
      </c>
      <c r="K51" t="s">
        <v>61</v>
      </c>
      <c r="L51" t="s">
        <v>74</v>
      </c>
      <c r="M51" t="s">
        <v>63</v>
      </c>
      <c r="N51" t="s">
        <v>64</v>
      </c>
      <c r="P51" t="s">
        <v>65</v>
      </c>
      <c r="R51">
        <v>1370</v>
      </c>
      <c r="T51">
        <v>1270</v>
      </c>
      <c r="V51">
        <v>1470</v>
      </c>
      <c r="W51" t="s">
        <v>66</v>
      </c>
      <c r="X51" t="s">
        <v>67</v>
      </c>
      <c r="Y51" t="s">
        <v>67</v>
      </c>
      <c r="Z51" t="s">
        <v>68</v>
      </c>
      <c r="AB51">
        <v>4</v>
      </c>
      <c r="AC51" t="s">
        <v>61</v>
      </c>
      <c r="AJ51" t="s">
        <v>69</v>
      </c>
      <c r="AY51" t="s">
        <v>141</v>
      </c>
      <c r="AZ51">
        <v>12447</v>
      </c>
      <c r="BA51" t="s">
        <v>142</v>
      </c>
      <c r="BB51" t="s">
        <v>143</v>
      </c>
      <c r="BC51">
        <v>1985</v>
      </c>
      <c r="BD51" t="s">
        <v>73</v>
      </c>
    </row>
    <row r="52" spans="1:56" x14ac:dyDescent="0.35">
      <c r="A52">
        <v>55185</v>
      </c>
      <c r="B52" t="s">
        <v>162</v>
      </c>
      <c r="D52" t="s">
        <v>57</v>
      </c>
      <c r="E52" t="s">
        <v>86</v>
      </c>
      <c r="F52" t="s">
        <v>58</v>
      </c>
      <c r="G52" t="s">
        <v>59</v>
      </c>
      <c r="H52" t="s">
        <v>60</v>
      </c>
      <c r="J52" t="s">
        <v>86</v>
      </c>
      <c r="L52" t="s">
        <v>62</v>
      </c>
      <c r="M52" t="s">
        <v>63</v>
      </c>
      <c r="N52" t="s">
        <v>64</v>
      </c>
      <c r="P52" t="s">
        <v>65</v>
      </c>
      <c r="R52">
        <v>775</v>
      </c>
      <c r="T52">
        <v>698</v>
      </c>
      <c r="V52">
        <v>860</v>
      </c>
      <c r="W52" t="s">
        <v>66</v>
      </c>
      <c r="X52" t="s">
        <v>67</v>
      </c>
      <c r="Y52" t="s">
        <v>67</v>
      </c>
      <c r="Z52" t="s">
        <v>68</v>
      </c>
      <c r="AB52">
        <v>4</v>
      </c>
      <c r="AC52" t="s">
        <v>61</v>
      </c>
      <c r="AJ52" t="s">
        <v>69</v>
      </c>
      <c r="AY52" t="s">
        <v>163</v>
      </c>
      <c r="AZ52">
        <v>479</v>
      </c>
      <c r="BA52" t="s">
        <v>164</v>
      </c>
      <c r="BB52" t="s">
        <v>165</v>
      </c>
      <c r="BC52">
        <v>1979</v>
      </c>
      <c r="BD52" t="s">
        <v>90</v>
      </c>
    </row>
    <row r="53" spans="1:56" x14ac:dyDescent="0.35">
      <c r="A53">
        <v>55210</v>
      </c>
      <c r="B53" t="s">
        <v>166</v>
      </c>
      <c r="D53" t="s">
        <v>57</v>
      </c>
      <c r="E53">
        <v>99</v>
      </c>
      <c r="F53" t="s">
        <v>58</v>
      </c>
      <c r="G53" t="s">
        <v>59</v>
      </c>
      <c r="H53" t="s">
        <v>60</v>
      </c>
      <c r="J53">
        <v>35</v>
      </c>
      <c r="K53" t="s">
        <v>61</v>
      </c>
      <c r="L53" t="s">
        <v>74</v>
      </c>
      <c r="M53" t="s">
        <v>63</v>
      </c>
      <c r="N53" t="s">
        <v>64</v>
      </c>
      <c r="P53" t="s">
        <v>65</v>
      </c>
      <c r="R53">
        <v>661</v>
      </c>
      <c r="T53">
        <v>590</v>
      </c>
      <c r="V53">
        <v>740</v>
      </c>
      <c r="W53" t="s">
        <v>66</v>
      </c>
      <c r="X53" t="s">
        <v>67</v>
      </c>
      <c r="Y53" t="s">
        <v>67</v>
      </c>
      <c r="Z53" t="s">
        <v>68</v>
      </c>
      <c r="AB53">
        <v>4</v>
      </c>
      <c r="AC53" t="s">
        <v>61</v>
      </c>
      <c r="AJ53" t="s">
        <v>69</v>
      </c>
      <c r="AY53" t="s">
        <v>141</v>
      </c>
      <c r="AZ53">
        <v>12447</v>
      </c>
      <c r="BA53" t="s">
        <v>142</v>
      </c>
      <c r="BB53" t="s">
        <v>143</v>
      </c>
      <c r="BC53">
        <v>1985</v>
      </c>
      <c r="BD53" t="s">
        <v>73</v>
      </c>
    </row>
    <row r="54" spans="1:56" x14ac:dyDescent="0.35">
      <c r="A54">
        <v>55389</v>
      </c>
      <c r="B54" t="s">
        <v>167</v>
      </c>
      <c r="C54" t="s">
        <v>91</v>
      </c>
      <c r="D54" t="s">
        <v>85</v>
      </c>
      <c r="E54">
        <v>93</v>
      </c>
      <c r="F54" t="s">
        <v>58</v>
      </c>
      <c r="G54" t="s">
        <v>59</v>
      </c>
      <c r="H54" t="s">
        <v>60</v>
      </c>
      <c r="J54" t="s">
        <v>86</v>
      </c>
      <c r="L54" t="s">
        <v>62</v>
      </c>
      <c r="M54" t="s">
        <v>63</v>
      </c>
      <c r="N54" t="s">
        <v>64</v>
      </c>
      <c r="P54" t="s">
        <v>65</v>
      </c>
      <c r="R54">
        <v>3.5</v>
      </c>
      <c r="T54">
        <v>3</v>
      </c>
      <c r="V54">
        <v>4.0999999999999996</v>
      </c>
      <c r="W54" t="s">
        <v>66</v>
      </c>
      <c r="X54" t="s">
        <v>67</v>
      </c>
      <c r="Y54" t="s">
        <v>67</v>
      </c>
      <c r="Z54" t="s">
        <v>68</v>
      </c>
      <c r="AB54">
        <v>4</v>
      </c>
      <c r="AC54" t="s">
        <v>61</v>
      </c>
      <c r="AJ54" t="s">
        <v>69</v>
      </c>
      <c r="AY54" t="s">
        <v>168</v>
      </c>
      <c r="AZ54">
        <v>8096</v>
      </c>
      <c r="BA54" t="s">
        <v>169</v>
      </c>
      <c r="BB54" t="s">
        <v>170</v>
      </c>
      <c r="BC54">
        <v>1966</v>
      </c>
      <c r="BD54" t="s">
        <v>90</v>
      </c>
    </row>
    <row r="55" spans="1:56" x14ac:dyDescent="0.35">
      <c r="A55">
        <v>55389</v>
      </c>
      <c r="B55" t="s">
        <v>167</v>
      </c>
      <c r="E55">
        <v>46</v>
      </c>
      <c r="F55" t="s">
        <v>58</v>
      </c>
      <c r="G55" t="s">
        <v>59</v>
      </c>
      <c r="H55" t="s">
        <v>60</v>
      </c>
      <c r="J55" t="s">
        <v>86</v>
      </c>
      <c r="L55" t="s">
        <v>62</v>
      </c>
      <c r="M55" t="s">
        <v>63</v>
      </c>
      <c r="N55" t="s">
        <v>64</v>
      </c>
      <c r="P55" t="s">
        <v>65</v>
      </c>
      <c r="R55">
        <v>2.44</v>
      </c>
      <c r="T55">
        <v>1.83</v>
      </c>
      <c r="V55">
        <v>3.27</v>
      </c>
      <c r="W55" t="s">
        <v>66</v>
      </c>
      <c r="X55" t="s">
        <v>67</v>
      </c>
      <c r="Y55" t="s">
        <v>67</v>
      </c>
      <c r="Z55" t="s">
        <v>68</v>
      </c>
      <c r="AB55">
        <v>4</v>
      </c>
      <c r="AC55" t="s">
        <v>61</v>
      </c>
      <c r="AJ55" t="s">
        <v>69</v>
      </c>
      <c r="AY55" t="s">
        <v>96</v>
      </c>
      <c r="AZ55">
        <v>6797</v>
      </c>
      <c r="BA55" t="s">
        <v>97</v>
      </c>
      <c r="BB55" t="s">
        <v>98</v>
      </c>
      <c r="BC55">
        <v>1986</v>
      </c>
      <c r="BD55" t="s">
        <v>90</v>
      </c>
    </row>
    <row r="56" spans="1:56" x14ac:dyDescent="0.35">
      <c r="A56">
        <v>55389</v>
      </c>
      <c r="B56" t="s">
        <v>167</v>
      </c>
      <c r="E56">
        <v>46</v>
      </c>
      <c r="F56" t="s">
        <v>58</v>
      </c>
      <c r="G56" t="s">
        <v>59</v>
      </c>
      <c r="H56" t="s">
        <v>60</v>
      </c>
      <c r="J56" t="s">
        <v>86</v>
      </c>
      <c r="L56" t="s">
        <v>62</v>
      </c>
      <c r="M56" t="s">
        <v>63</v>
      </c>
      <c r="N56" t="s">
        <v>64</v>
      </c>
      <c r="P56" t="s">
        <v>65</v>
      </c>
      <c r="R56">
        <v>2.87</v>
      </c>
      <c r="T56">
        <v>2.234</v>
      </c>
      <c r="V56">
        <v>3.69</v>
      </c>
      <c r="W56" t="s">
        <v>66</v>
      </c>
      <c r="X56" t="s">
        <v>67</v>
      </c>
      <c r="Y56" t="s">
        <v>67</v>
      </c>
      <c r="Z56" t="s">
        <v>68</v>
      </c>
      <c r="AB56">
        <v>4</v>
      </c>
      <c r="AC56" t="s">
        <v>61</v>
      </c>
      <c r="AJ56" t="s">
        <v>69</v>
      </c>
      <c r="AY56" t="s">
        <v>96</v>
      </c>
      <c r="AZ56">
        <v>6797</v>
      </c>
      <c r="BA56" t="s">
        <v>97</v>
      </c>
      <c r="BB56" t="s">
        <v>98</v>
      </c>
      <c r="BC56">
        <v>1986</v>
      </c>
      <c r="BD56" t="s">
        <v>90</v>
      </c>
    </row>
    <row r="57" spans="1:56" x14ac:dyDescent="0.35">
      <c r="A57">
        <v>55389</v>
      </c>
      <c r="B57" t="s">
        <v>167</v>
      </c>
      <c r="E57">
        <v>46</v>
      </c>
      <c r="F57" t="s">
        <v>58</v>
      </c>
      <c r="G57" t="s">
        <v>59</v>
      </c>
      <c r="H57" t="s">
        <v>60</v>
      </c>
      <c r="J57" t="s">
        <v>86</v>
      </c>
      <c r="L57" t="s">
        <v>62</v>
      </c>
      <c r="M57" t="s">
        <v>63</v>
      </c>
      <c r="N57" t="s">
        <v>64</v>
      </c>
      <c r="P57" t="s">
        <v>65</v>
      </c>
      <c r="R57">
        <v>1.68</v>
      </c>
      <c r="T57">
        <v>1.37</v>
      </c>
      <c r="V57">
        <v>2.06</v>
      </c>
      <c r="W57" t="s">
        <v>66</v>
      </c>
      <c r="X57" t="s">
        <v>67</v>
      </c>
      <c r="Y57" t="s">
        <v>67</v>
      </c>
      <c r="Z57" t="s">
        <v>68</v>
      </c>
      <c r="AB57">
        <v>4</v>
      </c>
      <c r="AC57" t="s">
        <v>61</v>
      </c>
      <c r="AJ57" t="s">
        <v>69</v>
      </c>
      <c r="AY57" t="s">
        <v>96</v>
      </c>
      <c r="AZ57">
        <v>6797</v>
      </c>
      <c r="BA57" t="s">
        <v>97</v>
      </c>
      <c r="BB57" t="s">
        <v>98</v>
      </c>
      <c r="BC57">
        <v>1986</v>
      </c>
      <c r="BD57" t="s">
        <v>90</v>
      </c>
    </row>
    <row r="58" spans="1:56" x14ac:dyDescent="0.35">
      <c r="A58">
        <v>55389</v>
      </c>
      <c r="B58" t="s">
        <v>167</v>
      </c>
      <c r="C58" t="s">
        <v>91</v>
      </c>
      <c r="D58" t="s">
        <v>85</v>
      </c>
      <c r="E58">
        <v>93</v>
      </c>
      <c r="F58" t="s">
        <v>58</v>
      </c>
      <c r="G58" t="s">
        <v>59</v>
      </c>
      <c r="H58" t="s">
        <v>60</v>
      </c>
      <c r="J58" t="s">
        <v>86</v>
      </c>
      <c r="L58" t="s">
        <v>62</v>
      </c>
      <c r="M58" t="s">
        <v>63</v>
      </c>
      <c r="N58" t="s">
        <v>64</v>
      </c>
      <c r="P58" t="s">
        <v>65</v>
      </c>
      <c r="R58">
        <v>3.2</v>
      </c>
      <c r="T58">
        <v>2.7</v>
      </c>
      <c r="V58">
        <v>3.8</v>
      </c>
      <c r="W58" t="s">
        <v>66</v>
      </c>
      <c r="X58" t="s">
        <v>67</v>
      </c>
      <c r="Y58" t="s">
        <v>67</v>
      </c>
      <c r="Z58" t="s">
        <v>68</v>
      </c>
      <c r="AB58">
        <v>4</v>
      </c>
      <c r="AC58" t="s">
        <v>61</v>
      </c>
      <c r="AJ58" t="s">
        <v>69</v>
      </c>
      <c r="AY58" t="s">
        <v>168</v>
      </c>
      <c r="AZ58">
        <v>8096</v>
      </c>
      <c r="BA58" t="s">
        <v>169</v>
      </c>
      <c r="BB58" t="s">
        <v>170</v>
      </c>
      <c r="BC58">
        <v>1966</v>
      </c>
      <c r="BD58" t="s">
        <v>90</v>
      </c>
    </row>
    <row r="59" spans="1:56" x14ac:dyDescent="0.35">
      <c r="A59">
        <v>55389</v>
      </c>
      <c r="B59" t="s">
        <v>167</v>
      </c>
      <c r="C59" t="s">
        <v>91</v>
      </c>
      <c r="D59" t="s">
        <v>85</v>
      </c>
      <c r="E59">
        <v>93</v>
      </c>
      <c r="F59" t="s">
        <v>58</v>
      </c>
      <c r="G59" t="s">
        <v>59</v>
      </c>
      <c r="H59" t="s">
        <v>60</v>
      </c>
      <c r="J59" t="s">
        <v>86</v>
      </c>
      <c r="L59" t="s">
        <v>62</v>
      </c>
      <c r="M59" t="s">
        <v>63</v>
      </c>
      <c r="N59" t="s">
        <v>64</v>
      </c>
      <c r="P59" t="s">
        <v>65</v>
      </c>
      <c r="R59">
        <v>3.3</v>
      </c>
      <c r="T59">
        <v>2.8</v>
      </c>
      <c r="V59">
        <v>3.9</v>
      </c>
      <c r="W59" t="s">
        <v>66</v>
      </c>
      <c r="X59" t="s">
        <v>67</v>
      </c>
      <c r="Y59" t="s">
        <v>67</v>
      </c>
      <c r="Z59" t="s">
        <v>68</v>
      </c>
      <c r="AB59">
        <v>4</v>
      </c>
      <c r="AC59" t="s">
        <v>61</v>
      </c>
      <c r="AJ59" t="s">
        <v>69</v>
      </c>
      <c r="AY59" t="s">
        <v>168</v>
      </c>
      <c r="AZ59">
        <v>8096</v>
      </c>
      <c r="BA59" t="s">
        <v>169</v>
      </c>
      <c r="BB59" t="s">
        <v>170</v>
      </c>
      <c r="BC59">
        <v>1966</v>
      </c>
      <c r="BD59" t="s">
        <v>90</v>
      </c>
    </row>
    <row r="60" spans="1:56" x14ac:dyDescent="0.35">
      <c r="A60">
        <v>55550</v>
      </c>
      <c r="B60" t="s">
        <v>171</v>
      </c>
      <c r="D60" t="s">
        <v>85</v>
      </c>
      <c r="E60" t="s">
        <v>86</v>
      </c>
      <c r="F60" t="s">
        <v>58</v>
      </c>
      <c r="G60" t="s">
        <v>59</v>
      </c>
      <c r="H60" t="s">
        <v>60</v>
      </c>
      <c r="J60" t="s">
        <v>86</v>
      </c>
      <c r="L60" t="s">
        <v>62</v>
      </c>
      <c r="M60" t="s">
        <v>63</v>
      </c>
      <c r="N60" t="s">
        <v>64</v>
      </c>
      <c r="O60">
        <v>6</v>
      </c>
      <c r="P60" t="s">
        <v>100</v>
      </c>
      <c r="Q60" t="s">
        <v>172</v>
      </c>
      <c r="R60">
        <v>0.25</v>
      </c>
      <c r="W60" t="s">
        <v>66</v>
      </c>
      <c r="X60" t="s">
        <v>67</v>
      </c>
      <c r="Y60" t="s">
        <v>67</v>
      </c>
      <c r="Z60" t="s">
        <v>68</v>
      </c>
      <c r="AB60">
        <v>4</v>
      </c>
      <c r="AC60" t="s">
        <v>61</v>
      </c>
      <c r="AJ60" t="s">
        <v>69</v>
      </c>
      <c r="AY60" t="s">
        <v>173</v>
      </c>
      <c r="AZ60">
        <v>167113</v>
      </c>
      <c r="BA60" t="s">
        <v>174</v>
      </c>
      <c r="BB60" t="s">
        <v>175</v>
      </c>
      <c r="BC60">
        <v>1974</v>
      </c>
      <c r="BD60" t="s">
        <v>90</v>
      </c>
    </row>
    <row r="61" spans="1:56" x14ac:dyDescent="0.35">
      <c r="A61">
        <v>55630</v>
      </c>
      <c r="B61" t="s">
        <v>176</v>
      </c>
      <c r="D61" t="s">
        <v>85</v>
      </c>
      <c r="E61" t="s">
        <v>86</v>
      </c>
      <c r="F61" t="s">
        <v>58</v>
      </c>
      <c r="G61" t="s">
        <v>59</v>
      </c>
      <c r="H61" t="s">
        <v>60</v>
      </c>
      <c r="I61" t="s">
        <v>177</v>
      </c>
      <c r="J61">
        <v>60</v>
      </c>
      <c r="K61" t="s">
        <v>61</v>
      </c>
      <c r="L61" t="s">
        <v>62</v>
      </c>
      <c r="M61" t="s">
        <v>63</v>
      </c>
      <c r="N61" t="s">
        <v>64</v>
      </c>
      <c r="P61" t="s">
        <v>65</v>
      </c>
      <c r="R61">
        <v>3.4</v>
      </c>
      <c r="T61">
        <v>2.8</v>
      </c>
      <c r="V61">
        <v>4.2</v>
      </c>
      <c r="W61" t="s">
        <v>66</v>
      </c>
      <c r="X61" t="s">
        <v>67</v>
      </c>
      <c r="Y61" t="s">
        <v>67</v>
      </c>
      <c r="Z61" t="s">
        <v>68</v>
      </c>
      <c r="AB61">
        <v>4</v>
      </c>
      <c r="AC61" t="s">
        <v>61</v>
      </c>
      <c r="AJ61" t="s">
        <v>69</v>
      </c>
      <c r="AY61" t="s">
        <v>178</v>
      </c>
      <c r="AZ61">
        <v>5963</v>
      </c>
      <c r="BA61" t="s">
        <v>179</v>
      </c>
      <c r="BB61" t="s">
        <v>180</v>
      </c>
      <c r="BC61">
        <v>1978</v>
      </c>
      <c r="BD61" t="s">
        <v>73</v>
      </c>
    </row>
    <row r="62" spans="1:56" x14ac:dyDescent="0.35">
      <c r="A62">
        <v>55630</v>
      </c>
      <c r="B62" t="s">
        <v>176</v>
      </c>
      <c r="D62" t="s">
        <v>85</v>
      </c>
      <c r="E62" t="s">
        <v>86</v>
      </c>
      <c r="F62" t="s">
        <v>58</v>
      </c>
      <c r="G62" t="s">
        <v>59</v>
      </c>
      <c r="H62" t="s">
        <v>60</v>
      </c>
      <c r="J62" t="s">
        <v>86</v>
      </c>
      <c r="L62" t="s">
        <v>74</v>
      </c>
      <c r="M62" t="s">
        <v>63</v>
      </c>
      <c r="N62" t="s">
        <v>64</v>
      </c>
      <c r="P62" t="s">
        <v>65</v>
      </c>
      <c r="R62">
        <v>3</v>
      </c>
      <c r="T62">
        <v>2.2000000000000002</v>
      </c>
      <c r="V62">
        <v>3.7</v>
      </c>
      <c r="W62" t="s">
        <v>66</v>
      </c>
      <c r="X62" t="s">
        <v>67</v>
      </c>
      <c r="Y62" t="s">
        <v>67</v>
      </c>
      <c r="Z62" t="s">
        <v>68</v>
      </c>
      <c r="AB62">
        <v>4</v>
      </c>
      <c r="AC62" t="s">
        <v>61</v>
      </c>
      <c r="AJ62" t="s">
        <v>69</v>
      </c>
      <c r="AY62" t="s">
        <v>178</v>
      </c>
      <c r="AZ62">
        <v>5963</v>
      </c>
      <c r="BA62" t="s">
        <v>179</v>
      </c>
      <c r="BB62" t="s">
        <v>180</v>
      </c>
      <c r="BC62">
        <v>1978</v>
      </c>
      <c r="BD62" t="s">
        <v>90</v>
      </c>
    </row>
    <row r="63" spans="1:56" x14ac:dyDescent="0.35">
      <c r="A63">
        <v>55630</v>
      </c>
      <c r="B63" t="s">
        <v>176</v>
      </c>
      <c r="D63" t="s">
        <v>57</v>
      </c>
      <c r="E63" t="s">
        <v>86</v>
      </c>
      <c r="F63" t="s">
        <v>58</v>
      </c>
      <c r="G63" t="s">
        <v>59</v>
      </c>
      <c r="H63" t="s">
        <v>60</v>
      </c>
      <c r="I63" t="s">
        <v>129</v>
      </c>
      <c r="J63">
        <v>20</v>
      </c>
      <c r="K63" t="s">
        <v>61</v>
      </c>
      <c r="L63" t="s">
        <v>74</v>
      </c>
      <c r="M63" t="s">
        <v>63</v>
      </c>
      <c r="N63" t="s">
        <v>64</v>
      </c>
      <c r="O63">
        <v>7</v>
      </c>
      <c r="P63" t="s">
        <v>65</v>
      </c>
      <c r="R63">
        <v>3.58</v>
      </c>
      <c r="T63">
        <v>2.91</v>
      </c>
      <c r="V63">
        <v>4.41</v>
      </c>
      <c r="W63" t="s">
        <v>66</v>
      </c>
      <c r="X63" t="s">
        <v>67</v>
      </c>
      <c r="Y63" t="s">
        <v>67</v>
      </c>
      <c r="Z63" t="s">
        <v>68</v>
      </c>
      <c r="AB63">
        <v>4</v>
      </c>
      <c r="AC63" t="s">
        <v>61</v>
      </c>
      <c r="AJ63" t="s">
        <v>69</v>
      </c>
      <c r="AY63" t="s">
        <v>181</v>
      </c>
      <c r="AZ63">
        <v>17395</v>
      </c>
      <c r="BA63" t="s">
        <v>182</v>
      </c>
      <c r="BB63" t="s">
        <v>183</v>
      </c>
      <c r="BC63">
        <v>1993</v>
      </c>
      <c r="BD63" t="s">
        <v>73</v>
      </c>
    </row>
    <row r="64" spans="1:56" x14ac:dyDescent="0.35">
      <c r="A64">
        <v>55630</v>
      </c>
      <c r="B64" t="s">
        <v>176</v>
      </c>
      <c r="D64" t="s">
        <v>85</v>
      </c>
      <c r="E64" t="s">
        <v>86</v>
      </c>
      <c r="F64" t="s">
        <v>58</v>
      </c>
      <c r="G64" t="s">
        <v>59</v>
      </c>
      <c r="H64" t="s">
        <v>60</v>
      </c>
      <c r="I64" t="s">
        <v>177</v>
      </c>
      <c r="J64">
        <v>30</v>
      </c>
      <c r="K64" t="s">
        <v>61</v>
      </c>
      <c r="L64" t="s">
        <v>62</v>
      </c>
      <c r="M64" t="s">
        <v>63</v>
      </c>
      <c r="N64" t="s">
        <v>64</v>
      </c>
      <c r="P64" t="s">
        <v>65</v>
      </c>
      <c r="R64">
        <v>2.1</v>
      </c>
      <c r="T64">
        <v>1.7</v>
      </c>
      <c r="V64">
        <v>2.6</v>
      </c>
      <c r="W64" t="s">
        <v>66</v>
      </c>
      <c r="X64" t="s">
        <v>67</v>
      </c>
      <c r="Y64" t="s">
        <v>67</v>
      </c>
      <c r="Z64" t="s">
        <v>68</v>
      </c>
      <c r="AB64">
        <v>4</v>
      </c>
      <c r="AC64" t="s">
        <v>61</v>
      </c>
      <c r="AJ64" t="s">
        <v>69</v>
      </c>
      <c r="AY64" t="s">
        <v>178</v>
      </c>
      <c r="AZ64">
        <v>5963</v>
      </c>
      <c r="BA64" t="s">
        <v>179</v>
      </c>
      <c r="BB64" t="s">
        <v>180</v>
      </c>
      <c r="BC64">
        <v>1978</v>
      </c>
      <c r="BD64" t="s">
        <v>73</v>
      </c>
    </row>
    <row r="65" spans="1:56" x14ac:dyDescent="0.35">
      <c r="A65">
        <v>55630</v>
      </c>
      <c r="B65" t="s">
        <v>176</v>
      </c>
      <c r="D65" t="s">
        <v>85</v>
      </c>
      <c r="E65" t="s">
        <v>86</v>
      </c>
      <c r="F65" t="s">
        <v>58</v>
      </c>
      <c r="G65" t="s">
        <v>59</v>
      </c>
      <c r="H65" t="s">
        <v>60</v>
      </c>
      <c r="I65" t="s">
        <v>177</v>
      </c>
      <c r="J65">
        <v>1</v>
      </c>
      <c r="K65" t="s">
        <v>184</v>
      </c>
      <c r="L65" t="s">
        <v>62</v>
      </c>
      <c r="M65" t="s">
        <v>63</v>
      </c>
      <c r="N65" t="s">
        <v>64</v>
      </c>
      <c r="P65" t="s">
        <v>65</v>
      </c>
      <c r="R65">
        <v>5.5</v>
      </c>
      <c r="T65">
        <v>4.5999999999999996</v>
      </c>
      <c r="V65">
        <v>6.6</v>
      </c>
      <c r="W65" t="s">
        <v>66</v>
      </c>
      <c r="X65" t="s">
        <v>67</v>
      </c>
      <c r="Y65" t="s">
        <v>67</v>
      </c>
      <c r="Z65" t="s">
        <v>68</v>
      </c>
      <c r="AB65">
        <v>4</v>
      </c>
      <c r="AC65" t="s">
        <v>61</v>
      </c>
      <c r="AJ65" t="s">
        <v>69</v>
      </c>
      <c r="AY65" t="s">
        <v>178</v>
      </c>
      <c r="AZ65">
        <v>5963</v>
      </c>
      <c r="BA65" t="s">
        <v>179</v>
      </c>
      <c r="BB65" t="s">
        <v>180</v>
      </c>
      <c r="BC65">
        <v>1978</v>
      </c>
      <c r="BD65" t="s">
        <v>185</v>
      </c>
    </row>
    <row r="66" spans="1:56" x14ac:dyDescent="0.35">
      <c r="A66">
        <v>55630</v>
      </c>
      <c r="B66" t="s">
        <v>176</v>
      </c>
      <c r="D66" t="s">
        <v>85</v>
      </c>
      <c r="E66" t="s">
        <v>86</v>
      </c>
      <c r="F66" t="s">
        <v>58</v>
      </c>
      <c r="G66" t="s">
        <v>59</v>
      </c>
      <c r="H66" t="s">
        <v>60</v>
      </c>
      <c r="I66" t="s">
        <v>186</v>
      </c>
      <c r="J66" t="s">
        <v>86</v>
      </c>
      <c r="L66" t="s">
        <v>62</v>
      </c>
      <c r="M66" t="s">
        <v>63</v>
      </c>
      <c r="N66" t="s">
        <v>64</v>
      </c>
      <c r="P66" t="s">
        <v>65</v>
      </c>
      <c r="Q66" t="s">
        <v>153</v>
      </c>
      <c r="R66">
        <v>18</v>
      </c>
      <c r="W66" t="s">
        <v>66</v>
      </c>
      <c r="X66" t="s">
        <v>67</v>
      </c>
      <c r="Y66" t="s">
        <v>67</v>
      </c>
      <c r="Z66" t="s">
        <v>68</v>
      </c>
      <c r="AB66">
        <v>4</v>
      </c>
      <c r="AC66" t="s">
        <v>61</v>
      </c>
      <c r="AJ66" t="s">
        <v>69</v>
      </c>
      <c r="AY66" t="s">
        <v>178</v>
      </c>
      <c r="AZ66">
        <v>5963</v>
      </c>
      <c r="BA66" t="s">
        <v>179</v>
      </c>
      <c r="BB66" t="s">
        <v>180</v>
      </c>
      <c r="BC66">
        <v>1978</v>
      </c>
      <c r="BD66" t="s">
        <v>90</v>
      </c>
    </row>
    <row r="67" spans="1:56" x14ac:dyDescent="0.35">
      <c r="A67">
        <v>55630</v>
      </c>
      <c r="B67" t="s">
        <v>176</v>
      </c>
      <c r="D67" t="s">
        <v>85</v>
      </c>
      <c r="E67" t="s">
        <v>86</v>
      </c>
      <c r="F67" t="s">
        <v>58</v>
      </c>
      <c r="G67" t="s">
        <v>59</v>
      </c>
      <c r="H67" t="s">
        <v>60</v>
      </c>
      <c r="J67" t="s">
        <v>86</v>
      </c>
      <c r="L67" t="s">
        <v>62</v>
      </c>
      <c r="M67" t="s">
        <v>63</v>
      </c>
      <c r="N67" t="s">
        <v>64</v>
      </c>
      <c r="P67" t="s">
        <v>65</v>
      </c>
      <c r="R67">
        <v>2.5</v>
      </c>
      <c r="T67">
        <v>2</v>
      </c>
      <c r="V67">
        <v>3</v>
      </c>
      <c r="W67" t="s">
        <v>66</v>
      </c>
      <c r="X67" t="s">
        <v>67</v>
      </c>
      <c r="Y67" t="s">
        <v>67</v>
      </c>
      <c r="Z67" t="s">
        <v>68</v>
      </c>
      <c r="AB67">
        <v>4</v>
      </c>
      <c r="AC67" t="s">
        <v>61</v>
      </c>
      <c r="AJ67" t="s">
        <v>69</v>
      </c>
      <c r="AY67" t="s">
        <v>178</v>
      </c>
      <c r="AZ67">
        <v>5963</v>
      </c>
      <c r="BA67" t="s">
        <v>179</v>
      </c>
      <c r="BB67" t="s">
        <v>180</v>
      </c>
      <c r="BC67">
        <v>1978</v>
      </c>
      <c r="BD67" t="s">
        <v>90</v>
      </c>
    </row>
    <row r="68" spans="1:56" x14ac:dyDescent="0.35">
      <c r="A68">
        <v>55630</v>
      </c>
      <c r="B68" t="s">
        <v>176</v>
      </c>
      <c r="D68" t="s">
        <v>85</v>
      </c>
      <c r="E68" t="s">
        <v>86</v>
      </c>
      <c r="F68" t="s">
        <v>58</v>
      </c>
      <c r="G68" t="s">
        <v>59</v>
      </c>
      <c r="H68" t="s">
        <v>60</v>
      </c>
      <c r="I68" t="s">
        <v>177</v>
      </c>
      <c r="J68">
        <v>7</v>
      </c>
      <c r="K68" t="s">
        <v>61</v>
      </c>
      <c r="L68" t="s">
        <v>62</v>
      </c>
      <c r="M68" t="s">
        <v>63</v>
      </c>
      <c r="N68" t="s">
        <v>64</v>
      </c>
      <c r="P68" t="s">
        <v>65</v>
      </c>
      <c r="R68">
        <v>2.1</v>
      </c>
      <c r="T68">
        <v>1.6</v>
      </c>
      <c r="V68">
        <v>2.6</v>
      </c>
      <c r="W68" t="s">
        <v>66</v>
      </c>
      <c r="X68" t="s">
        <v>67</v>
      </c>
      <c r="Y68" t="s">
        <v>67</v>
      </c>
      <c r="Z68" t="s">
        <v>68</v>
      </c>
      <c r="AB68">
        <v>4</v>
      </c>
      <c r="AC68" t="s">
        <v>61</v>
      </c>
      <c r="AJ68" t="s">
        <v>69</v>
      </c>
      <c r="AY68" t="s">
        <v>178</v>
      </c>
      <c r="AZ68">
        <v>5963</v>
      </c>
      <c r="BA68" t="s">
        <v>179</v>
      </c>
      <c r="BB68" t="s">
        <v>180</v>
      </c>
      <c r="BC68">
        <v>1978</v>
      </c>
      <c r="BD68" t="s">
        <v>73</v>
      </c>
    </row>
    <row r="69" spans="1:56" x14ac:dyDescent="0.35">
      <c r="A69">
        <v>55867</v>
      </c>
      <c r="B69" t="s">
        <v>187</v>
      </c>
      <c r="C69" t="s">
        <v>104</v>
      </c>
      <c r="D69" t="s">
        <v>85</v>
      </c>
      <c r="E69" t="s">
        <v>86</v>
      </c>
      <c r="F69" t="s">
        <v>58</v>
      </c>
      <c r="G69" t="s">
        <v>59</v>
      </c>
      <c r="H69" t="s">
        <v>60</v>
      </c>
      <c r="I69" t="s">
        <v>188</v>
      </c>
      <c r="J69" t="s">
        <v>189</v>
      </c>
      <c r="K69" t="s">
        <v>61</v>
      </c>
      <c r="L69" t="s">
        <v>190</v>
      </c>
      <c r="M69" t="s">
        <v>63</v>
      </c>
      <c r="N69" t="s">
        <v>64</v>
      </c>
      <c r="O69">
        <v>6</v>
      </c>
      <c r="P69" t="s">
        <v>65</v>
      </c>
      <c r="R69">
        <v>98.27</v>
      </c>
      <c r="T69">
        <v>95.6</v>
      </c>
      <c r="V69">
        <v>101.02</v>
      </c>
      <c r="W69" t="s">
        <v>66</v>
      </c>
      <c r="X69" t="s">
        <v>67</v>
      </c>
      <c r="Y69" t="s">
        <v>67</v>
      </c>
      <c r="Z69" t="s">
        <v>68</v>
      </c>
      <c r="AB69">
        <v>4</v>
      </c>
      <c r="AC69" t="s">
        <v>61</v>
      </c>
      <c r="AJ69" t="s">
        <v>69</v>
      </c>
      <c r="AY69" t="s">
        <v>191</v>
      </c>
      <c r="AZ69">
        <v>80820</v>
      </c>
      <c r="BA69" t="s">
        <v>192</v>
      </c>
      <c r="BB69" t="s">
        <v>193</v>
      </c>
      <c r="BC69">
        <v>2005</v>
      </c>
      <c r="BD69" t="s">
        <v>73</v>
      </c>
    </row>
    <row r="70" spans="1:56" x14ac:dyDescent="0.35">
      <c r="A70">
        <v>55867</v>
      </c>
      <c r="B70" t="s">
        <v>187</v>
      </c>
      <c r="C70" t="s">
        <v>104</v>
      </c>
      <c r="D70" t="s">
        <v>85</v>
      </c>
      <c r="E70" t="s">
        <v>86</v>
      </c>
      <c r="F70" t="s">
        <v>58</v>
      </c>
      <c r="G70" t="s">
        <v>59</v>
      </c>
      <c r="H70" t="s">
        <v>60</v>
      </c>
      <c r="I70" t="s">
        <v>188</v>
      </c>
      <c r="J70" t="s">
        <v>189</v>
      </c>
      <c r="K70" t="s">
        <v>61</v>
      </c>
      <c r="L70" t="s">
        <v>190</v>
      </c>
      <c r="M70" t="s">
        <v>63</v>
      </c>
      <c r="N70" t="s">
        <v>64</v>
      </c>
      <c r="O70">
        <v>6</v>
      </c>
      <c r="P70" t="s">
        <v>65</v>
      </c>
      <c r="R70">
        <v>99.45</v>
      </c>
      <c r="T70">
        <v>95.58</v>
      </c>
      <c r="V70">
        <v>103.49</v>
      </c>
      <c r="W70" t="s">
        <v>66</v>
      </c>
      <c r="X70" t="s">
        <v>67</v>
      </c>
      <c r="Y70" t="s">
        <v>67</v>
      </c>
      <c r="Z70" t="s">
        <v>68</v>
      </c>
      <c r="AB70">
        <v>4</v>
      </c>
      <c r="AC70" t="s">
        <v>61</v>
      </c>
      <c r="AJ70" t="s">
        <v>69</v>
      </c>
      <c r="AY70" t="s">
        <v>191</v>
      </c>
      <c r="AZ70">
        <v>80820</v>
      </c>
      <c r="BA70" t="s">
        <v>192</v>
      </c>
      <c r="BB70" t="s">
        <v>193</v>
      </c>
      <c r="BC70">
        <v>2005</v>
      </c>
      <c r="BD70" t="s">
        <v>73</v>
      </c>
    </row>
    <row r="71" spans="1:56" x14ac:dyDescent="0.35">
      <c r="A71">
        <v>56235</v>
      </c>
      <c r="B71" t="s">
        <v>194</v>
      </c>
      <c r="D71" t="s">
        <v>57</v>
      </c>
      <c r="E71">
        <v>99</v>
      </c>
      <c r="F71" t="s">
        <v>58</v>
      </c>
      <c r="G71" t="s">
        <v>59</v>
      </c>
      <c r="H71" t="s">
        <v>60</v>
      </c>
      <c r="J71">
        <v>30</v>
      </c>
      <c r="K71" t="s">
        <v>61</v>
      </c>
      <c r="L71" t="s">
        <v>74</v>
      </c>
      <c r="M71" t="s">
        <v>63</v>
      </c>
      <c r="N71" t="s">
        <v>64</v>
      </c>
      <c r="P71" t="s">
        <v>65</v>
      </c>
      <c r="R71">
        <v>41.4</v>
      </c>
      <c r="T71">
        <v>36.299999999999997</v>
      </c>
      <c r="V71">
        <v>47.3</v>
      </c>
      <c r="W71" t="s">
        <v>66</v>
      </c>
      <c r="X71" t="s">
        <v>67</v>
      </c>
      <c r="Y71" t="s">
        <v>67</v>
      </c>
      <c r="Z71" t="s">
        <v>68</v>
      </c>
      <c r="AB71">
        <v>4</v>
      </c>
      <c r="AC71" t="s">
        <v>61</v>
      </c>
      <c r="AJ71" t="s">
        <v>69</v>
      </c>
      <c r="AY71" t="s">
        <v>75</v>
      </c>
      <c r="AZ71">
        <v>3217</v>
      </c>
      <c r="BA71" t="s">
        <v>76</v>
      </c>
      <c r="BB71" t="s">
        <v>77</v>
      </c>
      <c r="BC71">
        <v>1990</v>
      </c>
      <c r="BD71" t="s">
        <v>73</v>
      </c>
    </row>
    <row r="72" spans="1:56" x14ac:dyDescent="0.35">
      <c r="A72">
        <v>56235</v>
      </c>
      <c r="B72" t="s">
        <v>194</v>
      </c>
      <c r="C72" t="s">
        <v>195</v>
      </c>
      <c r="D72" t="s">
        <v>85</v>
      </c>
      <c r="E72" t="s">
        <v>86</v>
      </c>
      <c r="F72" t="s">
        <v>58</v>
      </c>
      <c r="G72" t="s">
        <v>59</v>
      </c>
      <c r="H72" t="s">
        <v>60</v>
      </c>
      <c r="I72" t="s">
        <v>129</v>
      </c>
      <c r="J72">
        <v>8</v>
      </c>
      <c r="K72" t="s">
        <v>196</v>
      </c>
      <c r="L72" t="s">
        <v>74</v>
      </c>
      <c r="M72" t="s">
        <v>63</v>
      </c>
      <c r="N72" t="s">
        <v>64</v>
      </c>
      <c r="P72" t="s">
        <v>65</v>
      </c>
      <c r="R72">
        <v>42.9</v>
      </c>
      <c r="W72" t="s">
        <v>66</v>
      </c>
      <c r="X72" t="s">
        <v>67</v>
      </c>
      <c r="Y72" t="s">
        <v>67</v>
      </c>
      <c r="Z72" t="s">
        <v>68</v>
      </c>
      <c r="AB72">
        <v>4</v>
      </c>
      <c r="AC72" t="s">
        <v>61</v>
      </c>
      <c r="AJ72" t="s">
        <v>69</v>
      </c>
      <c r="AY72" t="s">
        <v>197</v>
      </c>
      <c r="AZ72">
        <v>3783</v>
      </c>
      <c r="BA72" t="s">
        <v>198</v>
      </c>
      <c r="BB72" t="s">
        <v>199</v>
      </c>
      <c r="BC72">
        <v>1978</v>
      </c>
      <c r="BD72" t="s">
        <v>200</v>
      </c>
    </row>
    <row r="73" spans="1:56" x14ac:dyDescent="0.35">
      <c r="A73">
        <v>56235</v>
      </c>
      <c r="B73" t="s">
        <v>194</v>
      </c>
      <c r="C73" t="s">
        <v>195</v>
      </c>
      <c r="D73" t="s">
        <v>85</v>
      </c>
      <c r="E73" t="s">
        <v>86</v>
      </c>
      <c r="F73" t="s">
        <v>58</v>
      </c>
      <c r="G73" t="s">
        <v>59</v>
      </c>
      <c r="H73" t="s">
        <v>60</v>
      </c>
      <c r="I73" t="s">
        <v>129</v>
      </c>
      <c r="J73">
        <v>8</v>
      </c>
      <c r="K73" t="s">
        <v>196</v>
      </c>
      <c r="L73" t="s">
        <v>74</v>
      </c>
      <c r="M73" t="s">
        <v>63</v>
      </c>
      <c r="N73" t="s">
        <v>64</v>
      </c>
      <c r="P73" t="s">
        <v>201</v>
      </c>
      <c r="R73">
        <v>43.3</v>
      </c>
      <c r="W73" t="s">
        <v>66</v>
      </c>
      <c r="X73" t="s">
        <v>67</v>
      </c>
      <c r="Y73" t="s">
        <v>67</v>
      </c>
      <c r="Z73" t="s">
        <v>68</v>
      </c>
      <c r="AB73">
        <v>4</v>
      </c>
      <c r="AC73" t="s">
        <v>61</v>
      </c>
      <c r="AJ73" t="s">
        <v>69</v>
      </c>
      <c r="AY73" t="s">
        <v>197</v>
      </c>
      <c r="AZ73">
        <v>3783</v>
      </c>
      <c r="BA73" t="s">
        <v>198</v>
      </c>
      <c r="BB73" t="s">
        <v>199</v>
      </c>
      <c r="BC73">
        <v>1978</v>
      </c>
      <c r="BD73" t="s">
        <v>200</v>
      </c>
    </row>
    <row r="74" spans="1:56" x14ac:dyDescent="0.35">
      <c r="A74">
        <v>56235</v>
      </c>
      <c r="B74" t="s">
        <v>194</v>
      </c>
      <c r="D74" t="s">
        <v>57</v>
      </c>
      <c r="E74">
        <v>99</v>
      </c>
      <c r="F74" t="s">
        <v>58</v>
      </c>
      <c r="G74" t="s">
        <v>59</v>
      </c>
      <c r="H74" t="s">
        <v>60</v>
      </c>
      <c r="J74">
        <v>30</v>
      </c>
      <c r="K74" t="s">
        <v>61</v>
      </c>
      <c r="L74" t="s">
        <v>62</v>
      </c>
      <c r="M74" t="s">
        <v>63</v>
      </c>
      <c r="N74" t="s">
        <v>64</v>
      </c>
      <c r="P74" t="s">
        <v>65</v>
      </c>
      <c r="R74">
        <v>10.4</v>
      </c>
      <c r="T74">
        <v>9.68</v>
      </c>
      <c r="V74">
        <v>11.3</v>
      </c>
      <c r="W74" t="s">
        <v>66</v>
      </c>
      <c r="X74" t="s">
        <v>67</v>
      </c>
      <c r="Y74" t="s">
        <v>67</v>
      </c>
      <c r="Z74" t="s">
        <v>68</v>
      </c>
      <c r="AB74">
        <v>4</v>
      </c>
      <c r="AC74" t="s">
        <v>61</v>
      </c>
      <c r="AJ74" t="s">
        <v>69</v>
      </c>
      <c r="AY74" t="s">
        <v>70</v>
      </c>
      <c r="AZ74">
        <v>14339</v>
      </c>
      <c r="BA74" t="s">
        <v>71</v>
      </c>
      <c r="BB74" t="s">
        <v>72</v>
      </c>
      <c r="BC74">
        <v>1987</v>
      </c>
      <c r="BD74" t="s">
        <v>73</v>
      </c>
    </row>
    <row r="75" spans="1:56" x14ac:dyDescent="0.35">
      <c r="A75">
        <v>56235</v>
      </c>
      <c r="B75" t="s">
        <v>194</v>
      </c>
      <c r="D75" t="s">
        <v>57</v>
      </c>
      <c r="E75">
        <v>99</v>
      </c>
      <c r="F75" t="s">
        <v>58</v>
      </c>
      <c r="G75" t="s">
        <v>59</v>
      </c>
      <c r="H75" t="s">
        <v>60</v>
      </c>
      <c r="J75">
        <v>30</v>
      </c>
      <c r="K75" t="s">
        <v>61</v>
      </c>
      <c r="L75" t="s">
        <v>74</v>
      </c>
      <c r="M75" t="s">
        <v>63</v>
      </c>
      <c r="N75" t="s">
        <v>64</v>
      </c>
      <c r="P75" t="s">
        <v>65</v>
      </c>
      <c r="R75">
        <v>41.4</v>
      </c>
      <c r="T75">
        <v>36.299999999999997</v>
      </c>
      <c r="V75">
        <v>47.3</v>
      </c>
      <c r="W75" t="s">
        <v>66</v>
      </c>
      <c r="X75" t="s">
        <v>67</v>
      </c>
      <c r="Y75" t="s">
        <v>67</v>
      </c>
      <c r="Z75" t="s">
        <v>68</v>
      </c>
      <c r="AB75">
        <v>4</v>
      </c>
      <c r="AC75" t="s">
        <v>61</v>
      </c>
      <c r="AJ75" t="s">
        <v>69</v>
      </c>
      <c r="AY75" t="s">
        <v>70</v>
      </c>
      <c r="AZ75">
        <v>14339</v>
      </c>
      <c r="BA75" t="s">
        <v>71</v>
      </c>
      <c r="BB75" t="s">
        <v>72</v>
      </c>
      <c r="BC75">
        <v>1987</v>
      </c>
      <c r="BD75" t="s">
        <v>73</v>
      </c>
    </row>
    <row r="76" spans="1:56" x14ac:dyDescent="0.35">
      <c r="A76">
        <v>56359</v>
      </c>
      <c r="B76" t="s">
        <v>202</v>
      </c>
      <c r="D76" t="s">
        <v>57</v>
      </c>
      <c r="E76">
        <v>96</v>
      </c>
      <c r="F76" t="s">
        <v>58</v>
      </c>
      <c r="G76" t="s">
        <v>59</v>
      </c>
      <c r="H76" t="s">
        <v>60</v>
      </c>
      <c r="J76">
        <v>30</v>
      </c>
      <c r="K76" t="s">
        <v>61</v>
      </c>
      <c r="L76" t="s">
        <v>74</v>
      </c>
      <c r="M76" t="s">
        <v>63</v>
      </c>
      <c r="N76" t="s">
        <v>64</v>
      </c>
      <c r="P76" t="s">
        <v>65</v>
      </c>
      <c r="R76">
        <v>2.7000000000000001E-3</v>
      </c>
      <c r="T76">
        <v>2.3999999999999998E-3</v>
      </c>
      <c r="V76">
        <v>3.0000000000000001E-3</v>
      </c>
      <c r="W76" t="s">
        <v>66</v>
      </c>
      <c r="X76" t="s">
        <v>67</v>
      </c>
      <c r="Y76" t="s">
        <v>67</v>
      </c>
      <c r="Z76" t="s">
        <v>68</v>
      </c>
      <c r="AB76">
        <v>4</v>
      </c>
      <c r="AC76" t="s">
        <v>61</v>
      </c>
      <c r="AJ76" t="s">
        <v>69</v>
      </c>
      <c r="AY76" t="s">
        <v>75</v>
      </c>
      <c r="AZ76">
        <v>3217</v>
      </c>
      <c r="BA76" t="s">
        <v>76</v>
      </c>
      <c r="BB76" t="s">
        <v>77</v>
      </c>
      <c r="BC76">
        <v>1990</v>
      </c>
      <c r="BD76" t="s">
        <v>73</v>
      </c>
    </row>
    <row r="77" spans="1:56" x14ac:dyDescent="0.35">
      <c r="A77">
        <v>56359</v>
      </c>
      <c r="B77" t="s">
        <v>202</v>
      </c>
      <c r="D77" t="s">
        <v>57</v>
      </c>
      <c r="E77">
        <v>96</v>
      </c>
      <c r="F77" t="s">
        <v>58</v>
      </c>
      <c r="G77" t="s">
        <v>59</v>
      </c>
      <c r="H77" t="s">
        <v>60</v>
      </c>
      <c r="J77">
        <v>30</v>
      </c>
      <c r="K77" t="s">
        <v>61</v>
      </c>
      <c r="L77" t="s">
        <v>74</v>
      </c>
      <c r="M77" t="s">
        <v>63</v>
      </c>
      <c r="N77" t="s">
        <v>64</v>
      </c>
      <c r="O77">
        <v>6</v>
      </c>
      <c r="P77" t="s">
        <v>201</v>
      </c>
      <c r="R77">
        <v>2.5999999999999999E-3</v>
      </c>
      <c r="T77">
        <v>2.3E-3</v>
      </c>
      <c r="V77">
        <v>2.8999999999999998E-3</v>
      </c>
      <c r="W77" t="s">
        <v>66</v>
      </c>
      <c r="X77" t="s">
        <v>67</v>
      </c>
      <c r="Y77" t="s">
        <v>67</v>
      </c>
      <c r="Z77" t="s">
        <v>68</v>
      </c>
      <c r="AB77">
        <v>4</v>
      </c>
      <c r="AC77" t="s">
        <v>61</v>
      </c>
      <c r="AJ77" t="s">
        <v>69</v>
      </c>
      <c r="AY77" t="s">
        <v>203</v>
      </c>
      <c r="AZ77">
        <v>59761</v>
      </c>
      <c r="BA77" t="s">
        <v>204</v>
      </c>
      <c r="BB77" t="s">
        <v>205</v>
      </c>
      <c r="BC77">
        <v>1986</v>
      </c>
      <c r="BD77" t="s">
        <v>73</v>
      </c>
    </row>
    <row r="78" spans="1:56" x14ac:dyDescent="0.35">
      <c r="A78">
        <v>56371</v>
      </c>
      <c r="B78" t="s">
        <v>206</v>
      </c>
      <c r="D78" t="s">
        <v>57</v>
      </c>
      <c r="E78">
        <v>99</v>
      </c>
      <c r="F78" t="s">
        <v>58</v>
      </c>
      <c r="G78" t="s">
        <v>59</v>
      </c>
      <c r="H78" t="s">
        <v>60</v>
      </c>
      <c r="J78">
        <v>29</v>
      </c>
      <c r="K78" t="s">
        <v>61</v>
      </c>
      <c r="L78" t="s">
        <v>74</v>
      </c>
      <c r="M78" t="s">
        <v>63</v>
      </c>
      <c r="N78" t="s">
        <v>64</v>
      </c>
      <c r="P78" t="s">
        <v>65</v>
      </c>
      <c r="R78">
        <v>161</v>
      </c>
      <c r="T78">
        <v>141</v>
      </c>
      <c r="V78">
        <v>185</v>
      </c>
      <c r="W78" t="s">
        <v>66</v>
      </c>
      <c r="X78" t="s">
        <v>67</v>
      </c>
      <c r="Y78" t="s">
        <v>67</v>
      </c>
      <c r="Z78" t="s">
        <v>68</v>
      </c>
      <c r="AB78">
        <v>4</v>
      </c>
      <c r="AC78" t="s">
        <v>61</v>
      </c>
      <c r="AJ78" t="s">
        <v>69</v>
      </c>
      <c r="AY78" t="s">
        <v>80</v>
      </c>
      <c r="AZ78">
        <v>12859</v>
      </c>
      <c r="BA78" t="s">
        <v>81</v>
      </c>
      <c r="BB78" t="s">
        <v>82</v>
      </c>
      <c r="BC78">
        <v>1988</v>
      </c>
      <c r="BD78" t="s">
        <v>73</v>
      </c>
    </row>
    <row r="79" spans="1:56" x14ac:dyDescent="0.35">
      <c r="A79">
        <v>56382</v>
      </c>
      <c r="B79" t="s">
        <v>207</v>
      </c>
      <c r="C79" t="s">
        <v>91</v>
      </c>
      <c r="D79" t="s">
        <v>85</v>
      </c>
      <c r="E79">
        <v>99</v>
      </c>
      <c r="F79" t="s">
        <v>58</v>
      </c>
      <c r="G79" t="s">
        <v>59</v>
      </c>
      <c r="H79" t="s">
        <v>60</v>
      </c>
      <c r="J79" t="s">
        <v>86</v>
      </c>
      <c r="L79" t="s">
        <v>62</v>
      </c>
      <c r="M79" t="s">
        <v>63</v>
      </c>
      <c r="N79" t="s">
        <v>64</v>
      </c>
      <c r="P79" t="s">
        <v>65</v>
      </c>
      <c r="R79">
        <v>1.3</v>
      </c>
      <c r="W79" t="s">
        <v>66</v>
      </c>
      <c r="X79" t="s">
        <v>67</v>
      </c>
      <c r="Y79" t="s">
        <v>67</v>
      </c>
      <c r="Z79" t="s">
        <v>68</v>
      </c>
      <c r="AB79">
        <v>4</v>
      </c>
      <c r="AC79" t="s">
        <v>61</v>
      </c>
      <c r="AJ79" t="s">
        <v>69</v>
      </c>
      <c r="AY79" t="s">
        <v>157</v>
      </c>
      <c r="AZ79">
        <v>2893</v>
      </c>
      <c r="BA79" t="s">
        <v>158</v>
      </c>
      <c r="BB79" t="s">
        <v>159</v>
      </c>
      <c r="BC79">
        <v>1962</v>
      </c>
      <c r="BD79" t="s">
        <v>90</v>
      </c>
    </row>
    <row r="80" spans="1:56" x14ac:dyDescent="0.35">
      <c r="A80">
        <v>56382</v>
      </c>
      <c r="B80" t="s">
        <v>207</v>
      </c>
      <c r="E80">
        <v>98.7</v>
      </c>
      <c r="F80" t="s">
        <v>58</v>
      </c>
      <c r="G80" t="s">
        <v>59</v>
      </c>
      <c r="H80" t="s">
        <v>60</v>
      </c>
      <c r="J80" t="s">
        <v>86</v>
      </c>
      <c r="L80" t="s">
        <v>62</v>
      </c>
      <c r="M80" t="s">
        <v>63</v>
      </c>
      <c r="N80" t="s">
        <v>64</v>
      </c>
      <c r="P80" t="s">
        <v>65</v>
      </c>
      <c r="R80">
        <v>2.09</v>
      </c>
      <c r="T80">
        <v>1.42</v>
      </c>
      <c r="V80">
        <v>3.11</v>
      </c>
      <c r="W80" t="s">
        <v>66</v>
      </c>
      <c r="X80" t="s">
        <v>67</v>
      </c>
      <c r="Y80" t="s">
        <v>67</v>
      </c>
      <c r="Z80" t="s">
        <v>68</v>
      </c>
      <c r="AB80">
        <v>4</v>
      </c>
      <c r="AC80" t="s">
        <v>61</v>
      </c>
      <c r="AJ80" t="s">
        <v>69</v>
      </c>
      <c r="AY80" t="s">
        <v>96</v>
      </c>
      <c r="AZ80">
        <v>6797</v>
      </c>
      <c r="BA80" t="s">
        <v>97</v>
      </c>
      <c r="BB80" t="s">
        <v>98</v>
      </c>
      <c r="BC80">
        <v>1986</v>
      </c>
      <c r="BD80" t="s">
        <v>90</v>
      </c>
    </row>
    <row r="81" spans="1:56" x14ac:dyDescent="0.35">
      <c r="A81">
        <v>56382</v>
      </c>
      <c r="B81" t="s">
        <v>207</v>
      </c>
      <c r="D81" t="s">
        <v>57</v>
      </c>
      <c r="E81">
        <v>98.5</v>
      </c>
      <c r="F81" t="s">
        <v>58</v>
      </c>
      <c r="G81" t="s">
        <v>59</v>
      </c>
      <c r="H81" t="s">
        <v>60</v>
      </c>
      <c r="J81" t="s">
        <v>86</v>
      </c>
      <c r="L81" t="s">
        <v>74</v>
      </c>
      <c r="M81" t="s">
        <v>63</v>
      </c>
      <c r="N81" t="s">
        <v>64</v>
      </c>
      <c r="P81" t="s">
        <v>65</v>
      </c>
      <c r="R81">
        <v>1.41</v>
      </c>
      <c r="W81" t="s">
        <v>66</v>
      </c>
      <c r="X81" t="s">
        <v>67</v>
      </c>
      <c r="Y81" t="s">
        <v>67</v>
      </c>
      <c r="Z81" t="s">
        <v>68</v>
      </c>
      <c r="AB81">
        <v>4</v>
      </c>
      <c r="AC81" t="s">
        <v>61</v>
      </c>
      <c r="AJ81" t="s">
        <v>69</v>
      </c>
      <c r="AY81" t="s">
        <v>208</v>
      </c>
      <c r="AZ81">
        <v>605</v>
      </c>
      <c r="BA81" t="s">
        <v>209</v>
      </c>
      <c r="BB81" t="s">
        <v>210</v>
      </c>
      <c r="BC81">
        <v>1970</v>
      </c>
      <c r="BD81" t="s">
        <v>90</v>
      </c>
    </row>
    <row r="82" spans="1:56" x14ac:dyDescent="0.35">
      <c r="A82">
        <v>56382</v>
      </c>
      <c r="B82" t="s">
        <v>207</v>
      </c>
      <c r="C82" t="s">
        <v>195</v>
      </c>
      <c r="D82" t="s">
        <v>57</v>
      </c>
      <c r="E82">
        <v>99</v>
      </c>
      <c r="F82" t="s">
        <v>58</v>
      </c>
      <c r="G82" t="s">
        <v>59</v>
      </c>
      <c r="H82" t="s">
        <v>60</v>
      </c>
      <c r="I82" t="s">
        <v>211</v>
      </c>
      <c r="J82" t="s">
        <v>86</v>
      </c>
      <c r="L82" t="s">
        <v>74</v>
      </c>
      <c r="M82" t="s">
        <v>63</v>
      </c>
      <c r="N82" t="s">
        <v>64</v>
      </c>
      <c r="P82" t="s">
        <v>65</v>
      </c>
      <c r="R82">
        <v>0.5</v>
      </c>
      <c r="T82">
        <v>0.24</v>
      </c>
      <c r="V82">
        <v>1.03</v>
      </c>
      <c r="W82" t="s">
        <v>66</v>
      </c>
      <c r="X82" t="s">
        <v>67</v>
      </c>
      <c r="Y82" t="s">
        <v>67</v>
      </c>
      <c r="Z82" t="s">
        <v>68</v>
      </c>
      <c r="AB82">
        <v>4</v>
      </c>
      <c r="AC82" t="s">
        <v>61</v>
      </c>
      <c r="AJ82" t="s">
        <v>69</v>
      </c>
      <c r="AY82" t="s">
        <v>212</v>
      </c>
      <c r="AZ82">
        <v>14170</v>
      </c>
      <c r="BA82" t="s">
        <v>213</v>
      </c>
      <c r="BB82" t="s">
        <v>214</v>
      </c>
      <c r="BC82">
        <v>1976</v>
      </c>
      <c r="BD82" t="s">
        <v>90</v>
      </c>
    </row>
    <row r="83" spans="1:56" x14ac:dyDescent="0.35">
      <c r="A83">
        <v>56382</v>
      </c>
      <c r="B83" t="s">
        <v>207</v>
      </c>
      <c r="D83" t="s">
        <v>85</v>
      </c>
      <c r="E83">
        <v>25</v>
      </c>
      <c r="F83" t="s">
        <v>58</v>
      </c>
      <c r="G83" t="s">
        <v>59</v>
      </c>
      <c r="H83" t="s">
        <v>60</v>
      </c>
      <c r="J83" t="s">
        <v>86</v>
      </c>
      <c r="L83" t="s">
        <v>62</v>
      </c>
      <c r="M83" t="s">
        <v>63</v>
      </c>
      <c r="N83" t="s">
        <v>64</v>
      </c>
      <c r="P83" t="s">
        <v>100</v>
      </c>
      <c r="R83">
        <v>3</v>
      </c>
      <c r="W83" t="s">
        <v>66</v>
      </c>
      <c r="X83" t="s">
        <v>67</v>
      </c>
      <c r="Y83" t="s">
        <v>67</v>
      </c>
      <c r="Z83" t="s">
        <v>68</v>
      </c>
      <c r="AB83">
        <v>4</v>
      </c>
      <c r="AC83" t="s">
        <v>61</v>
      </c>
      <c r="AJ83" t="s">
        <v>69</v>
      </c>
      <c r="AY83" t="s">
        <v>157</v>
      </c>
      <c r="AZ83">
        <v>2893</v>
      </c>
      <c r="BA83" t="s">
        <v>158</v>
      </c>
      <c r="BB83" t="s">
        <v>159</v>
      </c>
      <c r="BC83">
        <v>1962</v>
      </c>
      <c r="BD83" t="s">
        <v>90</v>
      </c>
    </row>
    <row r="84" spans="1:56" x14ac:dyDescent="0.35">
      <c r="A84">
        <v>56382</v>
      </c>
      <c r="B84" t="s">
        <v>207</v>
      </c>
      <c r="C84" t="s">
        <v>91</v>
      </c>
      <c r="D84" t="s">
        <v>85</v>
      </c>
      <c r="E84">
        <v>96.5</v>
      </c>
      <c r="F84" t="s">
        <v>58</v>
      </c>
      <c r="G84" t="s">
        <v>59</v>
      </c>
      <c r="H84" t="s">
        <v>60</v>
      </c>
      <c r="J84" t="s">
        <v>86</v>
      </c>
      <c r="L84" t="s">
        <v>62</v>
      </c>
      <c r="M84" t="s">
        <v>63</v>
      </c>
      <c r="N84" t="s">
        <v>64</v>
      </c>
      <c r="P84" t="s">
        <v>65</v>
      </c>
      <c r="R84">
        <v>3.6</v>
      </c>
      <c r="W84" t="s">
        <v>66</v>
      </c>
      <c r="X84" t="s">
        <v>67</v>
      </c>
      <c r="Y84" t="s">
        <v>67</v>
      </c>
      <c r="Z84" t="s">
        <v>68</v>
      </c>
      <c r="AB84">
        <v>4</v>
      </c>
      <c r="AC84" t="s">
        <v>61</v>
      </c>
      <c r="AJ84" t="s">
        <v>69</v>
      </c>
      <c r="AY84" t="s">
        <v>150</v>
      </c>
      <c r="AZ84">
        <v>2155</v>
      </c>
      <c r="BA84" t="s">
        <v>151</v>
      </c>
      <c r="BB84" t="s">
        <v>152</v>
      </c>
      <c r="BC84">
        <v>1958</v>
      </c>
      <c r="BD84" t="s">
        <v>90</v>
      </c>
    </row>
    <row r="85" spans="1:56" x14ac:dyDescent="0.35">
      <c r="A85">
        <v>56382</v>
      </c>
      <c r="B85" t="s">
        <v>207</v>
      </c>
      <c r="C85" t="s">
        <v>104</v>
      </c>
      <c r="D85" t="s">
        <v>85</v>
      </c>
      <c r="E85" t="s">
        <v>86</v>
      </c>
      <c r="F85" t="s">
        <v>58</v>
      </c>
      <c r="G85" t="s">
        <v>59</v>
      </c>
      <c r="H85" t="s">
        <v>60</v>
      </c>
      <c r="J85" t="s">
        <v>86</v>
      </c>
      <c r="L85" t="s">
        <v>62</v>
      </c>
      <c r="M85" t="s">
        <v>63</v>
      </c>
      <c r="N85" t="s">
        <v>64</v>
      </c>
      <c r="P85" t="s">
        <v>65</v>
      </c>
      <c r="R85">
        <v>1.786</v>
      </c>
      <c r="W85" t="s">
        <v>66</v>
      </c>
      <c r="X85" t="s">
        <v>67</v>
      </c>
      <c r="Y85" t="s">
        <v>67</v>
      </c>
      <c r="Z85" t="s">
        <v>68</v>
      </c>
      <c r="AB85">
        <v>4</v>
      </c>
      <c r="AC85" t="s">
        <v>61</v>
      </c>
      <c r="AJ85" t="s">
        <v>69</v>
      </c>
      <c r="AY85" t="s">
        <v>105</v>
      </c>
      <c r="AZ85">
        <v>14649</v>
      </c>
      <c r="BA85" t="s">
        <v>106</v>
      </c>
      <c r="BB85" t="s">
        <v>107</v>
      </c>
      <c r="BC85">
        <v>1965</v>
      </c>
      <c r="BD85" t="s">
        <v>90</v>
      </c>
    </row>
    <row r="86" spans="1:56" x14ac:dyDescent="0.35">
      <c r="A86">
        <v>56382</v>
      </c>
      <c r="B86" t="s">
        <v>207</v>
      </c>
      <c r="D86" t="s">
        <v>57</v>
      </c>
      <c r="E86">
        <v>98.7</v>
      </c>
      <c r="F86" t="s">
        <v>58</v>
      </c>
      <c r="G86" t="s">
        <v>59</v>
      </c>
      <c r="H86" t="s">
        <v>60</v>
      </c>
      <c r="J86" t="s">
        <v>86</v>
      </c>
      <c r="L86" t="s">
        <v>74</v>
      </c>
      <c r="M86" t="s">
        <v>63</v>
      </c>
      <c r="N86" t="s">
        <v>64</v>
      </c>
      <c r="P86" t="s">
        <v>65</v>
      </c>
      <c r="R86">
        <v>1.41</v>
      </c>
      <c r="W86" t="s">
        <v>66</v>
      </c>
      <c r="X86" t="s">
        <v>67</v>
      </c>
      <c r="Y86" t="s">
        <v>67</v>
      </c>
      <c r="Z86" t="s">
        <v>68</v>
      </c>
      <c r="AB86">
        <v>4</v>
      </c>
      <c r="AC86" t="s">
        <v>61</v>
      </c>
      <c r="AJ86" t="s">
        <v>69</v>
      </c>
      <c r="AY86" t="s">
        <v>93</v>
      </c>
      <c r="AZ86">
        <v>2100</v>
      </c>
      <c r="BA86" t="s">
        <v>94</v>
      </c>
      <c r="BB86" t="s">
        <v>95</v>
      </c>
      <c r="BC86">
        <v>1969</v>
      </c>
      <c r="BD86" t="s">
        <v>90</v>
      </c>
    </row>
    <row r="87" spans="1:56" x14ac:dyDescent="0.35">
      <c r="A87">
        <v>56382</v>
      </c>
      <c r="B87" t="s">
        <v>207</v>
      </c>
      <c r="C87" t="s">
        <v>91</v>
      </c>
      <c r="D87" t="s">
        <v>85</v>
      </c>
      <c r="E87">
        <v>99</v>
      </c>
      <c r="F87" t="s">
        <v>58</v>
      </c>
      <c r="G87" t="s">
        <v>59</v>
      </c>
      <c r="H87" t="s">
        <v>60</v>
      </c>
      <c r="J87" t="s">
        <v>86</v>
      </c>
      <c r="L87" t="s">
        <v>62</v>
      </c>
      <c r="M87" t="s">
        <v>63</v>
      </c>
      <c r="N87" t="s">
        <v>64</v>
      </c>
      <c r="P87" t="s">
        <v>65</v>
      </c>
      <c r="R87">
        <v>1.6</v>
      </c>
      <c r="W87" t="s">
        <v>66</v>
      </c>
      <c r="X87" t="s">
        <v>67</v>
      </c>
      <c r="Y87" t="s">
        <v>67</v>
      </c>
      <c r="Z87" t="s">
        <v>68</v>
      </c>
      <c r="AB87">
        <v>4</v>
      </c>
      <c r="AC87" t="s">
        <v>61</v>
      </c>
      <c r="AJ87" t="s">
        <v>69</v>
      </c>
      <c r="AY87" t="s">
        <v>150</v>
      </c>
      <c r="AZ87">
        <v>2155</v>
      </c>
      <c r="BA87" t="s">
        <v>151</v>
      </c>
      <c r="BB87" t="s">
        <v>152</v>
      </c>
      <c r="BC87">
        <v>1958</v>
      </c>
      <c r="BD87" t="s">
        <v>90</v>
      </c>
    </row>
    <row r="88" spans="1:56" x14ac:dyDescent="0.35">
      <c r="A88">
        <v>56382</v>
      </c>
      <c r="B88" t="s">
        <v>207</v>
      </c>
      <c r="E88">
        <v>98.7</v>
      </c>
      <c r="F88" t="s">
        <v>58</v>
      </c>
      <c r="G88" t="s">
        <v>59</v>
      </c>
      <c r="H88" t="s">
        <v>60</v>
      </c>
      <c r="J88" t="s">
        <v>86</v>
      </c>
      <c r="L88" t="s">
        <v>62</v>
      </c>
      <c r="M88" t="s">
        <v>63</v>
      </c>
      <c r="N88" t="s">
        <v>64</v>
      </c>
      <c r="P88" t="s">
        <v>65</v>
      </c>
      <c r="R88">
        <v>2.35</v>
      </c>
      <c r="T88">
        <v>1.76</v>
      </c>
      <c r="V88">
        <v>3.12</v>
      </c>
      <c r="W88" t="s">
        <v>66</v>
      </c>
      <c r="X88" t="s">
        <v>67</v>
      </c>
      <c r="Y88" t="s">
        <v>67</v>
      </c>
      <c r="Z88" t="s">
        <v>68</v>
      </c>
      <c r="AB88">
        <v>4</v>
      </c>
      <c r="AC88" t="s">
        <v>61</v>
      </c>
      <c r="AJ88" t="s">
        <v>69</v>
      </c>
      <c r="AY88" t="s">
        <v>96</v>
      </c>
      <c r="AZ88">
        <v>6797</v>
      </c>
      <c r="BA88" t="s">
        <v>97</v>
      </c>
      <c r="BB88" t="s">
        <v>98</v>
      </c>
      <c r="BC88">
        <v>1986</v>
      </c>
      <c r="BD88" t="s">
        <v>90</v>
      </c>
    </row>
    <row r="89" spans="1:56" x14ac:dyDescent="0.35">
      <c r="A89">
        <v>56382</v>
      </c>
      <c r="B89" t="s">
        <v>207</v>
      </c>
      <c r="C89" t="s">
        <v>91</v>
      </c>
      <c r="D89" t="s">
        <v>85</v>
      </c>
      <c r="E89">
        <v>99</v>
      </c>
      <c r="F89" t="s">
        <v>58</v>
      </c>
      <c r="G89" t="s">
        <v>59</v>
      </c>
      <c r="H89" t="s">
        <v>60</v>
      </c>
      <c r="J89" t="s">
        <v>86</v>
      </c>
      <c r="L89" t="s">
        <v>62</v>
      </c>
      <c r="M89" t="s">
        <v>63</v>
      </c>
      <c r="N89" t="s">
        <v>64</v>
      </c>
      <c r="P89" t="s">
        <v>65</v>
      </c>
      <c r="R89">
        <v>1.4</v>
      </c>
      <c r="W89" t="s">
        <v>66</v>
      </c>
      <c r="X89" t="s">
        <v>67</v>
      </c>
      <c r="Y89" t="s">
        <v>67</v>
      </c>
      <c r="Z89" t="s">
        <v>68</v>
      </c>
      <c r="AB89">
        <v>4</v>
      </c>
      <c r="AC89" t="s">
        <v>61</v>
      </c>
      <c r="AJ89" t="s">
        <v>69</v>
      </c>
      <c r="AY89" t="s">
        <v>150</v>
      </c>
      <c r="AZ89">
        <v>2155</v>
      </c>
      <c r="BA89" t="s">
        <v>151</v>
      </c>
      <c r="BB89" t="s">
        <v>152</v>
      </c>
      <c r="BC89">
        <v>1958</v>
      </c>
      <c r="BD89" t="s">
        <v>90</v>
      </c>
    </row>
    <row r="90" spans="1:56" x14ac:dyDescent="0.35">
      <c r="A90">
        <v>56382</v>
      </c>
      <c r="B90" t="s">
        <v>207</v>
      </c>
      <c r="E90">
        <v>99</v>
      </c>
      <c r="F90" t="s">
        <v>58</v>
      </c>
      <c r="G90" t="s">
        <v>59</v>
      </c>
      <c r="H90" t="s">
        <v>60</v>
      </c>
      <c r="J90" t="s">
        <v>86</v>
      </c>
      <c r="L90" t="s">
        <v>62</v>
      </c>
      <c r="M90" t="s">
        <v>63</v>
      </c>
      <c r="N90" t="s">
        <v>64</v>
      </c>
      <c r="P90" t="s">
        <v>65</v>
      </c>
      <c r="R90">
        <v>1.3</v>
      </c>
      <c r="W90" t="s">
        <v>66</v>
      </c>
      <c r="X90" t="s">
        <v>67</v>
      </c>
      <c r="Y90" t="s">
        <v>67</v>
      </c>
      <c r="Z90" t="s">
        <v>68</v>
      </c>
      <c r="AB90">
        <v>4</v>
      </c>
      <c r="AC90" t="s">
        <v>61</v>
      </c>
      <c r="AJ90" t="s">
        <v>69</v>
      </c>
      <c r="AY90" t="s">
        <v>116</v>
      </c>
      <c r="AZ90">
        <v>344</v>
      </c>
      <c r="BA90" t="s">
        <v>117</v>
      </c>
      <c r="BB90" t="s">
        <v>118</v>
      </c>
      <c r="BC90">
        <v>1992</v>
      </c>
      <c r="BD90" t="s">
        <v>90</v>
      </c>
    </row>
    <row r="91" spans="1:56" x14ac:dyDescent="0.35">
      <c r="A91">
        <v>56382</v>
      </c>
      <c r="B91" t="s">
        <v>207</v>
      </c>
      <c r="E91">
        <v>99</v>
      </c>
      <c r="F91" t="s">
        <v>58</v>
      </c>
      <c r="G91" t="s">
        <v>59</v>
      </c>
      <c r="H91" t="s">
        <v>60</v>
      </c>
      <c r="J91" t="s">
        <v>86</v>
      </c>
      <c r="L91" t="s">
        <v>62</v>
      </c>
      <c r="M91" t="s">
        <v>63</v>
      </c>
      <c r="N91" t="s">
        <v>64</v>
      </c>
      <c r="P91" t="s">
        <v>65</v>
      </c>
      <c r="R91">
        <v>1.4</v>
      </c>
      <c r="W91" t="s">
        <v>66</v>
      </c>
      <c r="X91" t="s">
        <v>67</v>
      </c>
      <c r="Y91" t="s">
        <v>67</v>
      </c>
      <c r="Z91" t="s">
        <v>68</v>
      </c>
      <c r="AB91">
        <v>4</v>
      </c>
      <c r="AC91" t="s">
        <v>61</v>
      </c>
      <c r="AJ91" t="s">
        <v>69</v>
      </c>
      <c r="AY91" t="s">
        <v>116</v>
      </c>
      <c r="AZ91">
        <v>344</v>
      </c>
      <c r="BA91" t="s">
        <v>117</v>
      </c>
      <c r="BB91" t="s">
        <v>118</v>
      </c>
      <c r="BC91">
        <v>1992</v>
      </c>
      <c r="BD91" t="s">
        <v>90</v>
      </c>
    </row>
    <row r="92" spans="1:56" x14ac:dyDescent="0.35">
      <c r="A92">
        <v>56382</v>
      </c>
      <c r="B92" t="s">
        <v>207</v>
      </c>
      <c r="C92" t="s">
        <v>195</v>
      </c>
      <c r="D92" t="s">
        <v>57</v>
      </c>
      <c r="E92">
        <v>99</v>
      </c>
      <c r="F92" t="s">
        <v>58</v>
      </c>
      <c r="G92" t="s">
        <v>59</v>
      </c>
      <c r="H92" t="s">
        <v>60</v>
      </c>
      <c r="I92" t="s">
        <v>211</v>
      </c>
      <c r="J92" t="s">
        <v>86</v>
      </c>
      <c r="L92" t="s">
        <v>62</v>
      </c>
      <c r="M92" t="s">
        <v>63</v>
      </c>
      <c r="N92" t="s">
        <v>64</v>
      </c>
      <c r="P92" t="s">
        <v>65</v>
      </c>
      <c r="R92">
        <v>1.6</v>
      </c>
      <c r="T92">
        <v>1.25</v>
      </c>
      <c r="V92">
        <v>2.0499999999999998</v>
      </c>
      <c r="W92" t="s">
        <v>66</v>
      </c>
      <c r="X92" t="s">
        <v>67</v>
      </c>
      <c r="Y92" t="s">
        <v>67</v>
      </c>
      <c r="Z92" t="s">
        <v>68</v>
      </c>
      <c r="AB92">
        <v>4</v>
      </c>
      <c r="AC92" t="s">
        <v>61</v>
      </c>
      <c r="AJ92" t="s">
        <v>69</v>
      </c>
      <c r="AY92" t="s">
        <v>212</v>
      </c>
      <c r="AZ92">
        <v>14170</v>
      </c>
      <c r="BA92" t="s">
        <v>213</v>
      </c>
      <c r="BB92" t="s">
        <v>214</v>
      </c>
      <c r="BC92">
        <v>1976</v>
      </c>
      <c r="BD92" t="s">
        <v>90</v>
      </c>
    </row>
    <row r="93" spans="1:56" x14ac:dyDescent="0.35">
      <c r="A93">
        <v>56382</v>
      </c>
      <c r="B93" t="s">
        <v>207</v>
      </c>
      <c r="C93" t="s">
        <v>195</v>
      </c>
      <c r="D93" t="s">
        <v>57</v>
      </c>
      <c r="E93">
        <v>99</v>
      </c>
      <c r="F93" t="s">
        <v>58</v>
      </c>
      <c r="G93" t="s">
        <v>59</v>
      </c>
      <c r="H93" t="s">
        <v>60</v>
      </c>
      <c r="I93" t="s">
        <v>211</v>
      </c>
      <c r="J93" t="s">
        <v>86</v>
      </c>
      <c r="L93" t="s">
        <v>74</v>
      </c>
      <c r="M93" t="s">
        <v>63</v>
      </c>
      <c r="N93" t="s">
        <v>64</v>
      </c>
      <c r="P93" t="s">
        <v>65</v>
      </c>
      <c r="R93">
        <v>1.6</v>
      </c>
      <c r="T93">
        <v>1.25</v>
      </c>
      <c r="V93">
        <v>2.0499999999999998</v>
      </c>
      <c r="W93" t="s">
        <v>66</v>
      </c>
      <c r="X93" t="s">
        <v>67</v>
      </c>
      <c r="Y93" t="s">
        <v>67</v>
      </c>
      <c r="Z93" t="s">
        <v>68</v>
      </c>
      <c r="AB93">
        <v>4</v>
      </c>
      <c r="AC93" t="s">
        <v>61</v>
      </c>
      <c r="AJ93" t="s">
        <v>69</v>
      </c>
      <c r="AY93" t="s">
        <v>215</v>
      </c>
      <c r="AZ93">
        <v>983</v>
      </c>
      <c r="BA93" t="s">
        <v>213</v>
      </c>
      <c r="BB93" t="s">
        <v>216</v>
      </c>
      <c r="BC93">
        <v>1981</v>
      </c>
      <c r="BD93" t="s">
        <v>90</v>
      </c>
    </row>
    <row r="94" spans="1:56" x14ac:dyDescent="0.35">
      <c r="A94">
        <v>56382</v>
      </c>
      <c r="B94" t="s">
        <v>207</v>
      </c>
      <c r="C94" t="s">
        <v>91</v>
      </c>
      <c r="D94" t="s">
        <v>85</v>
      </c>
      <c r="E94">
        <v>96.5</v>
      </c>
      <c r="F94" t="s">
        <v>58</v>
      </c>
      <c r="G94" t="s">
        <v>59</v>
      </c>
      <c r="H94" t="s">
        <v>60</v>
      </c>
      <c r="J94" t="s">
        <v>86</v>
      </c>
      <c r="L94" t="s">
        <v>62</v>
      </c>
      <c r="M94" t="s">
        <v>63</v>
      </c>
      <c r="N94" t="s">
        <v>64</v>
      </c>
      <c r="P94" t="s">
        <v>65</v>
      </c>
      <c r="R94">
        <v>2.7</v>
      </c>
      <c r="W94" t="s">
        <v>66</v>
      </c>
      <c r="X94" t="s">
        <v>67</v>
      </c>
      <c r="Y94" t="s">
        <v>67</v>
      </c>
      <c r="Z94" t="s">
        <v>68</v>
      </c>
      <c r="AB94">
        <v>4</v>
      </c>
      <c r="AC94" t="s">
        <v>61</v>
      </c>
      <c r="AJ94" t="s">
        <v>69</v>
      </c>
      <c r="AY94" t="s">
        <v>150</v>
      </c>
      <c r="AZ94">
        <v>2155</v>
      </c>
      <c r="BA94" t="s">
        <v>151</v>
      </c>
      <c r="BB94" t="s">
        <v>152</v>
      </c>
      <c r="BC94">
        <v>1958</v>
      </c>
      <c r="BD94" t="s">
        <v>90</v>
      </c>
    </row>
    <row r="95" spans="1:56" x14ac:dyDescent="0.35">
      <c r="A95">
        <v>56382</v>
      </c>
      <c r="B95" t="s">
        <v>207</v>
      </c>
      <c r="C95" t="s">
        <v>195</v>
      </c>
      <c r="D95" t="s">
        <v>57</v>
      </c>
      <c r="E95">
        <v>99</v>
      </c>
      <c r="F95" t="s">
        <v>58</v>
      </c>
      <c r="G95" t="s">
        <v>59</v>
      </c>
      <c r="H95" t="s">
        <v>60</v>
      </c>
      <c r="I95" t="s">
        <v>211</v>
      </c>
      <c r="J95" t="s">
        <v>86</v>
      </c>
      <c r="L95" t="s">
        <v>74</v>
      </c>
      <c r="M95" t="s">
        <v>63</v>
      </c>
      <c r="N95" t="s">
        <v>64</v>
      </c>
      <c r="P95" t="s">
        <v>65</v>
      </c>
      <c r="R95">
        <v>0.5</v>
      </c>
      <c r="T95">
        <v>0.24</v>
      </c>
      <c r="V95">
        <v>1.03</v>
      </c>
      <c r="W95" t="s">
        <v>66</v>
      </c>
      <c r="X95" t="s">
        <v>67</v>
      </c>
      <c r="Y95" t="s">
        <v>67</v>
      </c>
      <c r="Z95" t="s">
        <v>68</v>
      </c>
      <c r="AB95">
        <v>4</v>
      </c>
      <c r="AC95" t="s">
        <v>61</v>
      </c>
      <c r="AJ95" t="s">
        <v>69</v>
      </c>
      <c r="AY95" t="s">
        <v>215</v>
      </c>
      <c r="AZ95">
        <v>983</v>
      </c>
      <c r="BA95" t="s">
        <v>213</v>
      </c>
      <c r="BB95" t="s">
        <v>216</v>
      </c>
      <c r="BC95">
        <v>1981</v>
      </c>
      <c r="BD95" t="s">
        <v>90</v>
      </c>
    </row>
    <row r="96" spans="1:56" x14ac:dyDescent="0.35">
      <c r="A96">
        <v>56724</v>
      </c>
      <c r="B96" t="s">
        <v>217</v>
      </c>
      <c r="C96" t="s">
        <v>218</v>
      </c>
      <c r="D96" t="s">
        <v>85</v>
      </c>
      <c r="E96">
        <v>5</v>
      </c>
      <c r="F96" t="s">
        <v>58</v>
      </c>
      <c r="G96" t="s">
        <v>59</v>
      </c>
      <c r="H96" t="s">
        <v>60</v>
      </c>
      <c r="J96" t="s">
        <v>86</v>
      </c>
      <c r="L96" t="s">
        <v>62</v>
      </c>
      <c r="M96" t="s">
        <v>63</v>
      </c>
      <c r="N96" t="s">
        <v>64</v>
      </c>
      <c r="P96" t="s">
        <v>65</v>
      </c>
      <c r="Q96" t="s">
        <v>153</v>
      </c>
      <c r="R96">
        <v>18</v>
      </c>
      <c r="W96" t="s">
        <v>66</v>
      </c>
      <c r="X96" t="s">
        <v>67</v>
      </c>
      <c r="Y96" t="s">
        <v>67</v>
      </c>
      <c r="Z96" t="s">
        <v>68</v>
      </c>
      <c r="AB96">
        <v>4</v>
      </c>
      <c r="AC96" t="s">
        <v>61</v>
      </c>
      <c r="AJ96" t="s">
        <v>69</v>
      </c>
      <c r="AY96" t="s">
        <v>87</v>
      </c>
      <c r="AZ96">
        <v>936</v>
      </c>
      <c r="BA96" t="s">
        <v>219</v>
      </c>
      <c r="BB96" t="s">
        <v>220</v>
      </c>
      <c r="BC96">
        <v>1960</v>
      </c>
      <c r="BD96" t="s">
        <v>90</v>
      </c>
    </row>
    <row r="97" spans="1:56" x14ac:dyDescent="0.35">
      <c r="A97">
        <v>56724</v>
      </c>
      <c r="B97" t="s">
        <v>217</v>
      </c>
      <c r="C97" t="s">
        <v>91</v>
      </c>
      <c r="D97" t="s">
        <v>85</v>
      </c>
      <c r="E97">
        <v>100</v>
      </c>
      <c r="F97" t="s">
        <v>58</v>
      </c>
      <c r="G97" t="s">
        <v>59</v>
      </c>
      <c r="H97" t="s">
        <v>60</v>
      </c>
      <c r="J97" t="s">
        <v>86</v>
      </c>
      <c r="L97" t="s">
        <v>62</v>
      </c>
      <c r="M97" t="s">
        <v>63</v>
      </c>
      <c r="N97" t="s">
        <v>64</v>
      </c>
      <c r="P97" t="s">
        <v>65</v>
      </c>
      <c r="Q97" t="s">
        <v>153</v>
      </c>
      <c r="R97">
        <v>18</v>
      </c>
      <c r="W97" t="s">
        <v>66</v>
      </c>
      <c r="X97" t="s">
        <v>67</v>
      </c>
      <c r="Y97" t="s">
        <v>67</v>
      </c>
      <c r="Z97" t="s">
        <v>68</v>
      </c>
      <c r="AB97">
        <v>4</v>
      </c>
      <c r="AC97" t="s">
        <v>61</v>
      </c>
      <c r="AJ97" t="s">
        <v>69</v>
      </c>
      <c r="AY97" t="s">
        <v>87</v>
      </c>
      <c r="AZ97">
        <v>936</v>
      </c>
      <c r="BA97" t="s">
        <v>219</v>
      </c>
      <c r="BB97" t="s">
        <v>220</v>
      </c>
      <c r="BC97">
        <v>1960</v>
      </c>
      <c r="BD97" t="s">
        <v>90</v>
      </c>
    </row>
    <row r="98" spans="1:56" x14ac:dyDescent="0.35">
      <c r="A98">
        <v>56724</v>
      </c>
      <c r="B98" t="s">
        <v>217</v>
      </c>
      <c r="C98" t="s">
        <v>91</v>
      </c>
      <c r="D98" t="s">
        <v>85</v>
      </c>
      <c r="E98">
        <v>100</v>
      </c>
      <c r="F98" t="s">
        <v>58</v>
      </c>
      <c r="G98" t="s">
        <v>59</v>
      </c>
      <c r="H98" t="s">
        <v>60</v>
      </c>
      <c r="J98" t="s">
        <v>86</v>
      </c>
      <c r="L98" t="s">
        <v>62</v>
      </c>
      <c r="M98" t="s">
        <v>63</v>
      </c>
      <c r="N98" t="s">
        <v>64</v>
      </c>
      <c r="P98" t="s">
        <v>65</v>
      </c>
      <c r="Q98" t="s">
        <v>153</v>
      </c>
      <c r="R98">
        <v>18</v>
      </c>
      <c r="W98" t="s">
        <v>66</v>
      </c>
      <c r="X98" t="s">
        <v>67</v>
      </c>
      <c r="Y98" t="s">
        <v>67</v>
      </c>
      <c r="Z98" t="s">
        <v>68</v>
      </c>
      <c r="AB98">
        <v>4</v>
      </c>
      <c r="AC98" t="s">
        <v>61</v>
      </c>
      <c r="AJ98" t="s">
        <v>69</v>
      </c>
      <c r="AY98" t="s">
        <v>87</v>
      </c>
      <c r="AZ98">
        <v>936</v>
      </c>
      <c r="BA98" t="s">
        <v>219</v>
      </c>
      <c r="BB98" t="s">
        <v>220</v>
      </c>
      <c r="BC98">
        <v>1960</v>
      </c>
      <c r="BD98" t="s">
        <v>90</v>
      </c>
    </row>
    <row r="99" spans="1:56" x14ac:dyDescent="0.35">
      <c r="A99">
        <v>56724</v>
      </c>
      <c r="B99" t="s">
        <v>217</v>
      </c>
      <c r="C99" t="s">
        <v>218</v>
      </c>
      <c r="D99" t="s">
        <v>85</v>
      </c>
      <c r="E99">
        <v>5</v>
      </c>
      <c r="F99" t="s">
        <v>58</v>
      </c>
      <c r="G99" t="s">
        <v>59</v>
      </c>
      <c r="H99" t="s">
        <v>60</v>
      </c>
      <c r="J99" t="s">
        <v>86</v>
      </c>
      <c r="L99" t="s">
        <v>62</v>
      </c>
      <c r="M99" t="s">
        <v>63</v>
      </c>
      <c r="N99" t="s">
        <v>64</v>
      </c>
      <c r="P99" t="s">
        <v>65</v>
      </c>
      <c r="Q99" t="s">
        <v>153</v>
      </c>
      <c r="R99">
        <v>18</v>
      </c>
      <c r="W99" t="s">
        <v>66</v>
      </c>
      <c r="X99" t="s">
        <v>67</v>
      </c>
      <c r="Y99" t="s">
        <v>67</v>
      </c>
      <c r="Z99" t="s">
        <v>68</v>
      </c>
      <c r="AB99">
        <v>4</v>
      </c>
      <c r="AC99" t="s">
        <v>61</v>
      </c>
      <c r="AJ99" t="s">
        <v>69</v>
      </c>
      <c r="AY99" t="s">
        <v>87</v>
      </c>
      <c r="AZ99">
        <v>936</v>
      </c>
      <c r="BA99" t="s">
        <v>219</v>
      </c>
      <c r="BB99" t="s">
        <v>220</v>
      </c>
      <c r="BC99">
        <v>1960</v>
      </c>
      <c r="BD99" t="s">
        <v>90</v>
      </c>
    </row>
    <row r="100" spans="1:56" x14ac:dyDescent="0.35">
      <c r="A100">
        <v>57067</v>
      </c>
      <c r="B100" t="s">
        <v>221</v>
      </c>
      <c r="D100" t="s">
        <v>57</v>
      </c>
      <c r="E100">
        <v>97</v>
      </c>
      <c r="F100" t="s">
        <v>58</v>
      </c>
      <c r="G100" t="s">
        <v>59</v>
      </c>
      <c r="H100" t="s">
        <v>60</v>
      </c>
      <c r="J100">
        <v>33</v>
      </c>
      <c r="K100" t="s">
        <v>61</v>
      </c>
      <c r="L100" t="s">
        <v>74</v>
      </c>
      <c r="M100" t="s">
        <v>63</v>
      </c>
      <c r="N100" t="s">
        <v>64</v>
      </c>
      <c r="P100" t="s">
        <v>65</v>
      </c>
      <c r="R100">
        <v>8.5599999999999996E-2</v>
      </c>
      <c r="W100" t="s">
        <v>66</v>
      </c>
      <c r="X100" t="s">
        <v>67</v>
      </c>
      <c r="Y100" t="s">
        <v>67</v>
      </c>
      <c r="Z100" t="s">
        <v>68</v>
      </c>
      <c r="AB100">
        <v>4</v>
      </c>
      <c r="AC100" t="s">
        <v>61</v>
      </c>
      <c r="AJ100" t="s">
        <v>69</v>
      </c>
      <c r="AY100" t="s">
        <v>75</v>
      </c>
      <c r="AZ100">
        <v>3217</v>
      </c>
      <c r="BA100" t="s">
        <v>76</v>
      </c>
      <c r="BB100" t="s">
        <v>77</v>
      </c>
      <c r="BC100">
        <v>1990</v>
      </c>
      <c r="BD100" t="s">
        <v>73</v>
      </c>
    </row>
    <row r="101" spans="1:56" x14ac:dyDescent="0.35">
      <c r="A101">
        <v>57147</v>
      </c>
      <c r="B101" t="s">
        <v>222</v>
      </c>
      <c r="D101" t="s">
        <v>57</v>
      </c>
      <c r="E101">
        <v>98</v>
      </c>
      <c r="F101" t="s">
        <v>58</v>
      </c>
      <c r="G101" t="s">
        <v>59</v>
      </c>
      <c r="H101" t="s">
        <v>60</v>
      </c>
      <c r="J101">
        <v>30</v>
      </c>
      <c r="K101" t="s">
        <v>61</v>
      </c>
      <c r="L101" t="s">
        <v>74</v>
      </c>
      <c r="M101" t="s">
        <v>63</v>
      </c>
      <c r="N101" t="s">
        <v>64</v>
      </c>
      <c r="P101" t="s">
        <v>65</v>
      </c>
      <c r="R101">
        <v>7.85</v>
      </c>
      <c r="T101">
        <v>7.16</v>
      </c>
      <c r="V101">
        <v>8.6199999999999992</v>
      </c>
      <c r="W101" t="s">
        <v>66</v>
      </c>
      <c r="X101" t="s">
        <v>67</v>
      </c>
      <c r="Y101" t="s">
        <v>67</v>
      </c>
      <c r="Z101" t="s">
        <v>68</v>
      </c>
      <c r="AB101">
        <v>4</v>
      </c>
      <c r="AC101" t="s">
        <v>61</v>
      </c>
      <c r="AJ101" t="s">
        <v>69</v>
      </c>
      <c r="AY101" t="s">
        <v>75</v>
      </c>
      <c r="AZ101">
        <v>3217</v>
      </c>
      <c r="BA101" t="s">
        <v>76</v>
      </c>
      <c r="BB101" t="s">
        <v>77</v>
      </c>
      <c r="BC101">
        <v>1990</v>
      </c>
      <c r="BD101" t="s">
        <v>73</v>
      </c>
    </row>
    <row r="102" spans="1:56" x14ac:dyDescent="0.35">
      <c r="A102">
        <v>57147</v>
      </c>
      <c r="B102" t="s">
        <v>222</v>
      </c>
      <c r="D102" t="s">
        <v>57</v>
      </c>
      <c r="E102">
        <v>98</v>
      </c>
      <c r="F102" t="s">
        <v>58</v>
      </c>
      <c r="G102" t="s">
        <v>59</v>
      </c>
      <c r="H102" t="s">
        <v>60</v>
      </c>
      <c r="I102" t="s">
        <v>129</v>
      </c>
      <c r="J102">
        <v>30</v>
      </c>
      <c r="K102" t="s">
        <v>61</v>
      </c>
      <c r="L102" t="s">
        <v>74</v>
      </c>
      <c r="M102" t="s">
        <v>63</v>
      </c>
      <c r="N102" t="s">
        <v>64</v>
      </c>
      <c r="O102">
        <v>6</v>
      </c>
      <c r="P102" t="s">
        <v>65</v>
      </c>
      <c r="R102">
        <v>7.75</v>
      </c>
      <c r="T102">
        <v>7.06</v>
      </c>
      <c r="V102">
        <v>8.52</v>
      </c>
      <c r="W102" t="s">
        <v>66</v>
      </c>
      <c r="X102" t="s">
        <v>67</v>
      </c>
      <c r="Y102" t="s">
        <v>67</v>
      </c>
      <c r="Z102" t="s">
        <v>68</v>
      </c>
      <c r="AB102">
        <v>4</v>
      </c>
      <c r="AC102" t="s">
        <v>61</v>
      </c>
      <c r="AJ102" t="s">
        <v>69</v>
      </c>
      <c r="AY102" t="s">
        <v>223</v>
      </c>
      <c r="AZ102">
        <v>164628</v>
      </c>
      <c r="BA102" t="s">
        <v>224</v>
      </c>
      <c r="BB102" t="s">
        <v>225</v>
      </c>
      <c r="BC102">
        <v>1990</v>
      </c>
      <c r="BD102" t="s">
        <v>73</v>
      </c>
    </row>
    <row r="103" spans="1:56" x14ac:dyDescent="0.35">
      <c r="A103">
        <v>57158</v>
      </c>
      <c r="B103" t="s">
        <v>226</v>
      </c>
      <c r="D103" t="s">
        <v>57</v>
      </c>
      <c r="E103">
        <v>98</v>
      </c>
      <c r="F103" t="s">
        <v>58</v>
      </c>
      <c r="G103" t="s">
        <v>59</v>
      </c>
      <c r="H103" t="s">
        <v>60</v>
      </c>
      <c r="J103">
        <v>28</v>
      </c>
      <c r="K103" t="s">
        <v>61</v>
      </c>
      <c r="L103" t="s">
        <v>74</v>
      </c>
      <c r="M103" t="s">
        <v>63</v>
      </c>
      <c r="N103" t="s">
        <v>64</v>
      </c>
      <c r="P103" t="s">
        <v>65</v>
      </c>
      <c r="R103">
        <v>135</v>
      </c>
      <c r="T103">
        <v>130</v>
      </c>
      <c r="V103">
        <v>141</v>
      </c>
      <c r="W103" t="s">
        <v>66</v>
      </c>
      <c r="X103" t="s">
        <v>67</v>
      </c>
      <c r="Y103" t="s">
        <v>67</v>
      </c>
      <c r="Z103" t="s">
        <v>68</v>
      </c>
      <c r="AB103">
        <v>4</v>
      </c>
      <c r="AC103" t="s">
        <v>61</v>
      </c>
      <c r="AJ103" t="s">
        <v>69</v>
      </c>
      <c r="AY103" t="s">
        <v>80</v>
      </c>
      <c r="AZ103">
        <v>12859</v>
      </c>
      <c r="BA103" t="s">
        <v>81</v>
      </c>
      <c r="BB103" t="s">
        <v>82</v>
      </c>
      <c r="BC103">
        <v>1988</v>
      </c>
      <c r="BD103" t="s">
        <v>73</v>
      </c>
    </row>
    <row r="104" spans="1:56" x14ac:dyDescent="0.35">
      <c r="A104">
        <v>57330</v>
      </c>
      <c r="B104" t="s">
        <v>227</v>
      </c>
      <c r="D104" t="s">
        <v>57</v>
      </c>
      <c r="E104">
        <v>91</v>
      </c>
      <c r="F104" t="s">
        <v>58</v>
      </c>
      <c r="G104" t="s">
        <v>59</v>
      </c>
      <c r="H104" t="s">
        <v>60</v>
      </c>
      <c r="J104">
        <v>29</v>
      </c>
      <c r="K104" t="s">
        <v>61</v>
      </c>
      <c r="L104" t="s">
        <v>74</v>
      </c>
      <c r="M104" t="s">
        <v>63</v>
      </c>
      <c r="N104" t="s">
        <v>64</v>
      </c>
      <c r="P104" t="s">
        <v>65</v>
      </c>
      <c r="R104">
        <v>49.5</v>
      </c>
      <c r="T104">
        <v>45.5</v>
      </c>
      <c r="V104">
        <v>53.8</v>
      </c>
      <c r="W104" t="s">
        <v>66</v>
      </c>
      <c r="X104" t="s">
        <v>67</v>
      </c>
      <c r="Y104" t="s">
        <v>67</v>
      </c>
      <c r="Z104" t="s">
        <v>68</v>
      </c>
      <c r="AB104">
        <v>4</v>
      </c>
      <c r="AC104" t="s">
        <v>61</v>
      </c>
      <c r="AJ104" t="s">
        <v>69</v>
      </c>
      <c r="AY104" t="s">
        <v>80</v>
      </c>
      <c r="AZ104">
        <v>12859</v>
      </c>
      <c r="BA104" t="s">
        <v>81</v>
      </c>
      <c r="BB104" t="s">
        <v>82</v>
      </c>
      <c r="BC104">
        <v>1988</v>
      </c>
      <c r="BD104" t="s">
        <v>73</v>
      </c>
    </row>
    <row r="105" spans="1:56" x14ac:dyDescent="0.35">
      <c r="A105">
        <v>57432</v>
      </c>
      <c r="B105" t="s">
        <v>228</v>
      </c>
      <c r="D105" t="s">
        <v>57</v>
      </c>
      <c r="E105" t="s">
        <v>79</v>
      </c>
      <c r="F105" t="s">
        <v>58</v>
      </c>
      <c r="G105" t="s">
        <v>59</v>
      </c>
      <c r="H105" t="s">
        <v>60</v>
      </c>
      <c r="J105">
        <v>29</v>
      </c>
      <c r="K105" t="s">
        <v>61</v>
      </c>
      <c r="L105" t="s">
        <v>74</v>
      </c>
      <c r="M105" t="s">
        <v>63</v>
      </c>
      <c r="N105" t="s">
        <v>64</v>
      </c>
      <c r="P105" t="s">
        <v>65</v>
      </c>
      <c r="R105">
        <v>85.4</v>
      </c>
      <c r="T105">
        <v>78.599999999999994</v>
      </c>
      <c r="V105">
        <v>92.7</v>
      </c>
      <c r="W105" t="s">
        <v>66</v>
      </c>
      <c r="X105" t="s">
        <v>67</v>
      </c>
      <c r="Y105" t="s">
        <v>67</v>
      </c>
      <c r="Z105" t="s">
        <v>68</v>
      </c>
      <c r="AB105">
        <v>4</v>
      </c>
      <c r="AC105" t="s">
        <v>61</v>
      </c>
      <c r="AJ105" t="s">
        <v>69</v>
      </c>
      <c r="AY105" t="s">
        <v>80</v>
      </c>
      <c r="AZ105">
        <v>12859</v>
      </c>
      <c r="BA105" t="s">
        <v>81</v>
      </c>
      <c r="BB105" t="s">
        <v>82</v>
      </c>
      <c r="BC105">
        <v>1988</v>
      </c>
      <c r="BD105" t="s">
        <v>73</v>
      </c>
    </row>
    <row r="106" spans="1:56" x14ac:dyDescent="0.35">
      <c r="A106">
        <v>57556</v>
      </c>
      <c r="B106" t="s">
        <v>229</v>
      </c>
      <c r="D106" t="s">
        <v>57</v>
      </c>
      <c r="E106" t="s">
        <v>86</v>
      </c>
      <c r="F106" t="s">
        <v>58</v>
      </c>
      <c r="G106" t="s">
        <v>59</v>
      </c>
      <c r="H106" t="s">
        <v>60</v>
      </c>
      <c r="J106" t="s">
        <v>230</v>
      </c>
      <c r="K106" t="s">
        <v>61</v>
      </c>
      <c r="L106" t="s">
        <v>190</v>
      </c>
      <c r="M106" t="s">
        <v>63</v>
      </c>
      <c r="N106" t="s">
        <v>64</v>
      </c>
      <c r="P106" t="s">
        <v>65</v>
      </c>
      <c r="R106">
        <v>34060</v>
      </c>
      <c r="T106">
        <v>29485</v>
      </c>
      <c r="V106">
        <v>39339</v>
      </c>
      <c r="W106" t="s">
        <v>66</v>
      </c>
      <c r="X106" t="s">
        <v>67</v>
      </c>
      <c r="Y106" t="s">
        <v>67</v>
      </c>
      <c r="Z106" t="s">
        <v>68</v>
      </c>
      <c r="AB106">
        <v>4</v>
      </c>
      <c r="AC106" t="s">
        <v>61</v>
      </c>
      <c r="AJ106" t="s">
        <v>69</v>
      </c>
      <c r="AY106" t="s">
        <v>231</v>
      </c>
      <c r="AZ106">
        <v>48385</v>
      </c>
      <c r="BA106" t="s">
        <v>232</v>
      </c>
      <c r="BB106" t="s">
        <v>233</v>
      </c>
      <c r="BC106">
        <v>2000</v>
      </c>
      <c r="BD106" t="s">
        <v>73</v>
      </c>
    </row>
    <row r="107" spans="1:56" x14ac:dyDescent="0.35">
      <c r="A107">
        <v>57556</v>
      </c>
      <c r="B107" t="s">
        <v>229</v>
      </c>
      <c r="D107" t="s">
        <v>85</v>
      </c>
      <c r="E107" t="s">
        <v>86</v>
      </c>
      <c r="F107" t="s">
        <v>58</v>
      </c>
      <c r="G107" t="s">
        <v>59</v>
      </c>
      <c r="H107" t="s">
        <v>60</v>
      </c>
      <c r="J107" t="s">
        <v>230</v>
      </c>
      <c r="K107" t="s">
        <v>61</v>
      </c>
      <c r="M107" t="s">
        <v>63</v>
      </c>
      <c r="N107" t="s">
        <v>64</v>
      </c>
      <c r="P107" t="s">
        <v>100</v>
      </c>
      <c r="R107">
        <v>55770</v>
      </c>
      <c r="W107" t="s">
        <v>66</v>
      </c>
      <c r="X107" t="s">
        <v>67</v>
      </c>
      <c r="Y107" t="s">
        <v>67</v>
      </c>
      <c r="Z107" t="s">
        <v>68</v>
      </c>
      <c r="AB107">
        <v>4</v>
      </c>
      <c r="AC107" t="s">
        <v>61</v>
      </c>
      <c r="AJ107" t="s">
        <v>69</v>
      </c>
      <c r="AY107" t="s">
        <v>234</v>
      </c>
      <c r="AZ107">
        <v>13727</v>
      </c>
      <c r="BA107" t="s">
        <v>235</v>
      </c>
      <c r="BB107" t="s">
        <v>236</v>
      </c>
      <c r="BC107">
        <v>1995</v>
      </c>
      <c r="BD107" t="s">
        <v>73</v>
      </c>
    </row>
    <row r="108" spans="1:56" x14ac:dyDescent="0.35">
      <c r="A108">
        <v>57556</v>
      </c>
      <c r="B108" t="s">
        <v>229</v>
      </c>
      <c r="D108" t="s">
        <v>85</v>
      </c>
      <c r="E108" t="s">
        <v>86</v>
      </c>
      <c r="F108" t="s">
        <v>58</v>
      </c>
      <c r="G108" t="s">
        <v>59</v>
      </c>
      <c r="H108" t="s">
        <v>60</v>
      </c>
      <c r="J108" t="s">
        <v>230</v>
      </c>
      <c r="K108" t="s">
        <v>61</v>
      </c>
      <c r="M108" t="s">
        <v>63</v>
      </c>
      <c r="N108" t="s">
        <v>64</v>
      </c>
      <c r="P108" t="s">
        <v>100</v>
      </c>
      <c r="R108">
        <v>710</v>
      </c>
      <c r="W108" t="s">
        <v>66</v>
      </c>
      <c r="X108" t="s">
        <v>67</v>
      </c>
      <c r="Y108" t="s">
        <v>67</v>
      </c>
      <c r="Z108" t="s">
        <v>68</v>
      </c>
      <c r="AB108">
        <v>4</v>
      </c>
      <c r="AC108" t="s">
        <v>61</v>
      </c>
      <c r="AJ108" t="s">
        <v>69</v>
      </c>
      <c r="AY108" t="s">
        <v>234</v>
      </c>
      <c r="AZ108">
        <v>13727</v>
      </c>
      <c r="BA108" t="s">
        <v>235</v>
      </c>
      <c r="BB108" t="s">
        <v>236</v>
      </c>
      <c r="BC108">
        <v>1995</v>
      </c>
      <c r="BD108" t="s">
        <v>73</v>
      </c>
    </row>
    <row r="109" spans="1:56" x14ac:dyDescent="0.35">
      <c r="A109">
        <v>57749</v>
      </c>
      <c r="B109" t="s">
        <v>237</v>
      </c>
      <c r="C109" t="s">
        <v>84</v>
      </c>
      <c r="D109" t="s">
        <v>85</v>
      </c>
      <c r="E109">
        <v>100</v>
      </c>
      <c r="F109" t="s">
        <v>58</v>
      </c>
      <c r="G109" t="s">
        <v>59</v>
      </c>
      <c r="H109" t="s">
        <v>60</v>
      </c>
      <c r="J109" t="s">
        <v>86</v>
      </c>
      <c r="L109" t="s">
        <v>62</v>
      </c>
      <c r="M109" t="s">
        <v>63</v>
      </c>
      <c r="N109" t="s">
        <v>64</v>
      </c>
      <c r="P109" t="s">
        <v>65</v>
      </c>
      <c r="R109">
        <v>5.1999999999999998E-2</v>
      </c>
      <c r="W109" t="s">
        <v>66</v>
      </c>
      <c r="X109" t="s">
        <v>67</v>
      </c>
      <c r="Y109" t="s">
        <v>67</v>
      </c>
      <c r="Z109" t="s">
        <v>68</v>
      </c>
      <c r="AB109">
        <v>4</v>
      </c>
      <c r="AC109" t="s">
        <v>61</v>
      </c>
      <c r="AJ109" t="s">
        <v>69</v>
      </c>
      <c r="AY109" t="s">
        <v>87</v>
      </c>
      <c r="AZ109">
        <v>878</v>
      </c>
      <c r="BA109" t="s">
        <v>88</v>
      </c>
      <c r="BB109" t="s">
        <v>89</v>
      </c>
      <c r="BC109">
        <v>1959</v>
      </c>
      <c r="BD109" t="s">
        <v>90</v>
      </c>
    </row>
    <row r="110" spans="1:56" x14ac:dyDescent="0.35">
      <c r="A110">
        <v>57749</v>
      </c>
      <c r="B110" t="s">
        <v>237</v>
      </c>
      <c r="D110" t="s">
        <v>85</v>
      </c>
      <c r="E110">
        <v>75</v>
      </c>
      <c r="F110" t="s">
        <v>58</v>
      </c>
      <c r="G110" t="s">
        <v>59</v>
      </c>
      <c r="H110" t="s">
        <v>60</v>
      </c>
      <c r="J110" t="s">
        <v>86</v>
      </c>
      <c r="L110" t="s">
        <v>62</v>
      </c>
      <c r="M110" t="s">
        <v>63</v>
      </c>
      <c r="N110" t="s">
        <v>64</v>
      </c>
      <c r="P110" t="s">
        <v>100</v>
      </c>
      <c r="R110">
        <v>0.18</v>
      </c>
      <c r="W110" t="s">
        <v>66</v>
      </c>
      <c r="X110" t="s">
        <v>67</v>
      </c>
      <c r="Y110" t="s">
        <v>67</v>
      </c>
      <c r="Z110" t="s">
        <v>68</v>
      </c>
      <c r="AB110">
        <v>4</v>
      </c>
      <c r="AC110" t="s">
        <v>61</v>
      </c>
      <c r="AJ110" t="s">
        <v>69</v>
      </c>
      <c r="AY110" t="s">
        <v>87</v>
      </c>
      <c r="AZ110">
        <v>878</v>
      </c>
      <c r="BA110" t="s">
        <v>88</v>
      </c>
      <c r="BB110" t="s">
        <v>89</v>
      </c>
      <c r="BC110">
        <v>1959</v>
      </c>
      <c r="BD110" t="s">
        <v>90</v>
      </c>
    </row>
    <row r="111" spans="1:56" x14ac:dyDescent="0.35">
      <c r="A111">
        <v>57749</v>
      </c>
      <c r="B111" t="s">
        <v>237</v>
      </c>
      <c r="D111" t="s">
        <v>85</v>
      </c>
      <c r="E111" t="s">
        <v>86</v>
      </c>
      <c r="F111" t="s">
        <v>58</v>
      </c>
      <c r="G111" t="s">
        <v>59</v>
      </c>
      <c r="H111" t="s">
        <v>60</v>
      </c>
      <c r="J111" t="s">
        <v>86</v>
      </c>
      <c r="M111" t="s">
        <v>63</v>
      </c>
      <c r="N111" t="s">
        <v>64</v>
      </c>
      <c r="P111" t="s">
        <v>100</v>
      </c>
      <c r="R111">
        <v>5.1999999999999998E-2</v>
      </c>
      <c r="W111" t="s">
        <v>66</v>
      </c>
      <c r="X111" t="s">
        <v>67</v>
      </c>
      <c r="Y111" t="s">
        <v>67</v>
      </c>
      <c r="Z111" t="s">
        <v>68</v>
      </c>
      <c r="AB111">
        <v>4</v>
      </c>
      <c r="AC111" t="s">
        <v>61</v>
      </c>
      <c r="AJ111" t="s">
        <v>69</v>
      </c>
      <c r="AY111" t="s">
        <v>101</v>
      </c>
      <c r="AZ111">
        <v>70421</v>
      </c>
      <c r="BA111" t="s">
        <v>102</v>
      </c>
      <c r="BB111" t="s">
        <v>103</v>
      </c>
      <c r="BC111">
        <v>1974</v>
      </c>
      <c r="BD111" t="s">
        <v>90</v>
      </c>
    </row>
    <row r="112" spans="1:56" x14ac:dyDescent="0.35">
      <c r="A112">
        <v>57749</v>
      </c>
      <c r="B112" t="s">
        <v>237</v>
      </c>
      <c r="D112" t="s">
        <v>85</v>
      </c>
      <c r="E112">
        <v>75</v>
      </c>
      <c r="F112" t="s">
        <v>58</v>
      </c>
      <c r="G112" t="s">
        <v>59</v>
      </c>
      <c r="H112" t="s">
        <v>60</v>
      </c>
      <c r="J112" t="s">
        <v>86</v>
      </c>
      <c r="L112" t="s">
        <v>62</v>
      </c>
      <c r="M112" t="s">
        <v>63</v>
      </c>
      <c r="N112" t="s">
        <v>64</v>
      </c>
      <c r="P112" t="s">
        <v>65</v>
      </c>
      <c r="R112">
        <v>0.127</v>
      </c>
      <c r="W112" t="s">
        <v>66</v>
      </c>
      <c r="X112" t="s">
        <v>67</v>
      </c>
      <c r="Y112" t="s">
        <v>67</v>
      </c>
      <c r="Z112" t="s">
        <v>68</v>
      </c>
      <c r="AB112">
        <v>4</v>
      </c>
      <c r="AC112" t="s">
        <v>61</v>
      </c>
      <c r="AJ112" t="s">
        <v>69</v>
      </c>
      <c r="AQ112" t="s">
        <v>69</v>
      </c>
      <c r="AY112" t="s">
        <v>87</v>
      </c>
      <c r="AZ112">
        <v>878</v>
      </c>
      <c r="BA112" t="s">
        <v>88</v>
      </c>
      <c r="BB112" t="s">
        <v>89</v>
      </c>
      <c r="BC112">
        <v>1959</v>
      </c>
      <c r="BD112" t="s">
        <v>238</v>
      </c>
    </row>
    <row r="113" spans="1:56" x14ac:dyDescent="0.35">
      <c r="A113">
        <v>57749</v>
      </c>
      <c r="B113" t="s">
        <v>237</v>
      </c>
      <c r="C113" t="s">
        <v>84</v>
      </c>
      <c r="D113" t="s">
        <v>85</v>
      </c>
      <c r="E113">
        <v>100</v>
      </c>
      <c r="F113" t="s">
        <v>58</v>
      </c>
      <c r="G113" t="s">
        <v>59</v>
      </c>
      <c r="H113" t="s">
        <v>60</v>
      </c>
      <c r="J113" t="s">
        <v>86</v>
      </c>
      <c r="L113" t="s">
        <v>62</v>
      </c>
      <c r="M113" t="s">
        <v>63</v>
      </c>
      <c r="N113" t="s">
        <v>64</v>
      </c>
      <c r="P113" t="s">
        <v>65</v>
      </c>
      <c r="R113">
        <v>6.9000000000000006E-2</v>
      </c>
      <c r="W113" t="s">
        <v>66</v>
      </c>
      <c r="X113" t="s">
        <v>67</v>
      </c>
      <c r="Y113" t="s">
        <v>67</v>
      </c>
      <c r="Z113" t="s">
        <v>68</v>
      </c>
      <c r="AB113">
        <v>4</v>
      </c>
      <c r="AC113" t="s">
        <v>61</v>
      </c>
      <c r="AJ113" t="s">
        <v>69</v>
      </c>
      <c r="AY113" t="s">
        <v>87</v>
      </c>
      <c r="AZ113">
        <v>878</v>
      </c>
      <c r="BA113" t="s">
        <v>88</v>
      </c>
      <c r="BB113" t="s">
        <v>89</v>
      </c>
      <c r="BC113">
        <v>1959</v>
      </c>
      <c r="BD113" t="s">
        <v>90</v>
      </c>
    </row>
    <row r="114" spans="1:56" x14ac:dyDescent="0.35">
      <c r="A114">
        <v>58082</v>
      </c>
      <c r="B114" t="s">
        <v>239</v>
      </c>
      <c r="D114" t="s">
        <v>57</v>
      </c>
      <c r="E114">
        <v>99</v>
      </c>
      <c r="F114" t="s">
        <v>58</v>
      </c>
      <c r="G114" t="s">
        <v>59</v>
      </c>
      <c r="H114" t="s">
        <v>60</v>
      </c>
      <c r="J114">
        <v>30</v>
      </c>
      <c r="K114" t="s">
        <v>61</v>
      </c>
      <c r="L114" t="s">
        <v>74</v>
      </c>
      <c r="M114" t="s">
        <v>63</v>
      </c>
      <c r="N114" t="s">
        <v>64</v>
      </c>
      <c r="O114">
        <v>6</v>
      </c>
      <c r="P114" t="s">
        <v>65</v>
      </c>
      <c r="R114">
        <v>151</v>
      </c>
      <c r="T114">
        <v>138</v>
      </c>
      <c r="V114">
        <v>166</v>
      </c>
      <c r="W114" t="s">
        <v>66</v>
      </c>
      <c r="X114" t="s">
        <v>67</v>
      </c>
      <c r="Y114" t="s">
        <v>67</v>
      </c>
      <c r="Z114" t="s">
        <v>68</v>
      </c>
      <c r="AB114">
        <v>4</v>
      </c>
      <c r="AC114" t="s">
        <v>61</v>
      </c>
      <c r="AJ114" t="s">
        <v>69</v>
      </c>
      <c r="AY114" t="s">
        <v>80</v>
      </c>
      <c r="AZ114">
        <v>12859</v>
      </c>
      <c r="BA114" t="s">
        <v>81</v>
      </c>
      <c r="BB114" t="s">
        <v>82</v>
      </c>
      <c r="BC114">
        <v>1988</v>
      </c>
      <c r="BD114" t="s">
        <v>73</v>
      </c>
    </row>
    <row r="115" spans="1:56" x14ac:dyDescent="0.35">
      <c r="A115">
        <v>58275</v>
      </c>
      <c r="B115" t="s">
        <v>240</v>
      </c>
      <c r="D115" t="s">
        <v>57</v>
      </c>
      <c r="E115" t="s">
        <v>128</v>
      </c>
      <c r="F115" t="s">
        <v>58</v>
      </c>
      <c r="G115" t="s">
        <v>59</v>
      </c>
      <c r="H115" t="s">
        <v>60</v>
      </c>
      <c r="I115" t="s">
        <v>129</v>
      </c>
      <c r="J115" t="s">
        <v>86</v>
      </c>
      <c r="K115" t="s">
        <v>61</v>
      </c>
      <c r="L115" t="s">
        <v>74</v>
      </c>
      <c r="M115" t="s">
        <v>63</v>
      </c>
      <c r="N115" t="s">
        <v>64</v>
      </c>
      <c r="P115" t="s">
        <v>65</v>
      </c>
      <c r="R115">
        <v>0.11</v>
      </c>
      <c r="W115" t="s">
        <v>66</v>
      </c>
      <c r="X115" t="s">
        <v>67</v>
      </c>
      <c r="Y115" t="s">
        <v>67</v>
      </c>
      <c r="Z115" t="s">
        <v>68</v>
      </c>
      <c r="AB115">
        <v>4</v>
      </c>
      <c r="AC115" t="s">
        <v>61</v>
      </c>
      <c r="AJ115" t="s">
        <v>69</v>
      </c>
      <c r="AY115" t="s">
        <v>134</v>
      </c>
      <c r="AZ115">
        <v>15031</v>
      </c>
      <c r="BA115" t="s">
        <v>135</v>
      </c>
      <c r="BB115" t="s">
        <v>136</v>
      </c>
      <c r="BC115">
        <v>1995</v>
      </c>
      <c r="BD115" t="s">
        <v>133</v>
      </c>
    </row>
    <row r="116" spans="1:56" x14ac:dyDescent="0.35">
      <c r="A116">
        <v>58275</v>
      </c>
      <c r="B116" t="s">
        <v>240</v>
      </c>
      <c r="D116" t="s">
        <v>57</v>
      </c>
      <c r="E116">
        <v>98</v>
      </c>
      <c r="F116" t="s">
        <v>58</v>
      </c>
      <c r="G116" t="s">
        <v>59</v>
      </c>
      <c r="H116" t="s">
        <v>60</v>
      </c>
      <c r="J116">
        <v>32</v>
      </c>
      <c r="K116" t="s">
        <v>61</v>
      </c>
      <c r="L116" t="s">
        <v>74</v>
      </c>
      <c r="M116" t="s">
        <v>63</v>
      </c>
      <c r="N116" t="s">
        <v>64</v>
      </c>
      <c r="P116" t="s">
        <v>65</v>
      </c>
      <c r="R116">
        <v>0.11</v>
      </c>
      <c r="T116">
        <v>0.1</v>
      </c>
      <c r="V116">
        <v>0.121</v>
      </c>
      <c r="W116" t="s">
        <v>66</v>
      </c>
      <c r="X116" t="s">
        <v>67</v>
      </c>
      <c r="Y116" t="s">
        <v>67</v>
      </c>
      <c r="Z116" t="s">
        <v>68</v>
      </c>
      <c r="AB116">
        <v>4</v>
      </c>
      <c r="AC116" t="s">
        <v>61</v>
      </c>
      <c r="AJ116" t="s">
        <v>69</v>
      </c>
      <c r="AY116" t="s">
        <v>80</v>
      </c>
      <c r="AZ116">
        <v>12859</v>
      </c>
      <c r="BA116" t="s">
        <v>81</v>
      </c>
      <c r="BB116" t="s">
        <v>82</v>
      </c>
      <c r="BC116">
        <v>1988</v>
      </c>
      <c r="BD116" t="s">
        <v>73</v>
      </c>
    </row>
    <row r="117" spans="1:56" x14ac:dyDescent="0.35">
      <c r="A117">
        <v>58899</v>
      </c>
      <c r="B117" t="s">
        <v>241</v>
      </c>
      <c r="E117" t="s">
        <v>86</v>
      </c>
      <c r="F117" t="s">
        <v>58</v>
      </c>
      <c r="G117" t="s">
        <v>59</v>
      </c>
      <c r="H117" t="s">
        <v>60</v>
      </c>
      <c r="J117" t="s">
        <v>86</v>
      </c>
      <c r="K117" t="s">
        <v>61</v>
      </c>
      <c r="L117" t="s">
        <v>74</v>
      </c>
      <c r="M117" t="s">
        <v>63</v>
      </c>
      <c r="N117" t="s">
        <v>64</v>
      </c>
      <c r="P117" t="s">
        <v>100</v>
      </c>
      <c r="R117">
        <v>4.3799999999999999E-2</v>
      </c>
      <c r="W117" t="s">
        <v>66</v>
      </c>
      <c r="X117" t="s">
        <v>67</v>
      </c>
      <c r="Y117" t="s">
        <v>67</v>
      </c>
      <c r="Z117" t="s">
        <v>68</v>
      </c>
      <c r="AB117">
        <v>4</v>
      </c>
      <c r="AC117" t="s">
        <v>61</v>
      </c>
      <c r="AJ117" t="s">
        <v>69</v>
      </c>
      <c r="AY117" t="s">
        <v>242</v>
      </c>
      <c r="AZ117">
        <v>45073</v>
      </c>
      <c r="BA117" t="s">
        <v>243</v>
      </c>
      <c r="BB117" t="s">
        <v>244</v>
      </c>
      <c r="BC117">
        <v>1993</v>
      </c>
      <c r="BD117" t="s">
        <v>245</v>
      </c>
    </row>
    <row r="118" spans="1:56" x14ac:dyDescent="0.35">
      <c r="A118">
        <v>58899</v>
      </c>
      <c r="B118" t="s">
        <v>241</v>
      </c>
      <c r="E118" t="s">
        <v>86</v>
      </c>
      <c r="F118" t="s">
        <v>58</v>
      </c>
      <c r="G118" t="s">
        <v>59</v>
      </c>
      <c r="H118" t="s">
        <v>60</v>
      </c>
      <c r="J118" t="s">
        <v>86</v>
      </c>
      <c r="K118" t="s">
        <v>61</v>
      </c>
      <c r="L118" t="s">
        <v>74</v>
      </c>
      <c r="M118" t="s">
        <v>63</v>
      </c>
      <c r="N118" t="s">
        <v>64</v>
      </c>
      <c r="P118" t="s">
        <v>100</v>
      </c>
      <c r="R118">
        <v>4.3799999999999999E-2</v>
      </c>
      <c r="W118" t="s">
        <v>66</v>
      </c>
      <c r="X118" t="s">
        <v>67</v>
      </c>
      <c r="Y118" t="s">
        <v>67</v>
      </c>
      <c r="Z118" t="s">
        <v>68</v>
      </c>
      <c r="AB118">
        <v>4</v>
      </c>
      <c r="AC118" t="s">
        <v>61</v>
      </c>
      <c r="AJ118" t="s">
        <v>69</v>
      </c>
      <c r="AY118" t="s">
        <v>242</v>
      </c>
      <c r="AZ118">
        <v>45073</v>
      </c>
      <c r="BA118" t="s">
        <v>243</v>
      </c>
      <c r="BB118" t="s">
        <v>244</v>
      </c>
      <c r="BC118">
        <v>1993</v>
      </c>
      <c r="BD118" t="s">
        <v>245</v>
      </c>
    </row>
    <row r="119" spans="1:56" x14ac:dyDescent="0.35">
      <c r="A119">
        <v>58899</v>
      </c>
      <c r="B119" t="s">
        <v>241</v>
      </c>
      <c r="E119">
        <v>99</v>
      </c>
      <c r="F119" t="s">
        <v>58</v>
      </c>
      <c r="G119" t="s">
        <v>59</v>
      </c>
      <c r="H119" t="s">
        <v>60</v>
      </c>
      <c r="J119" t="s">
        <v>86</v>
      </c>
      <c r="L119" t="s">
        <v>62</v>
      </c>
      <c r="M119" t="s">
        <v>63</v>
      </c>
      <c r="N119" t="s">
        <v>64</v>
      </c>
      <c r="P119" t="s">
        <v>65</v>
      </c>
      <c r="R119">
        <v>8.6999999999999994E-2</v>
      </c>
      <c r="T119">
        <v>6.9000000000000006E-2</v>
      </c>
      <c r="V119">
        <v>0.10100000000000001</v>
      </c>
      <c r="W119" t="s">
        <v>66</v>
      </c>
      <c r="X119" t="s">
        <v>67</v>
      </c>
      <c r="Y119" t="s">
        <v>67</v>
      </c>
      <c r="Z119" t="s">
        <v>68</v>
      </c>
      <c r="AB119">
        <v>4</v>
      </c>
      <c r="AC119" t="s">
        <v>61</v>
      </c>
      <c r="AJ119" t="s">
        <v>69</v>
      </c>
      <c r="AY119" t="s">
        <v>96</v>
      </c>
      <c r="AZ119">
        <v>6797</v>
      </c>
      <c r="BA119" t="s">
        <v>97</v>
      </c>
      <c r="BB119" t="s">
        <v>98</v>
      </c>
      <c r="BC119">
        <v>1986</v>
      </c>
      <c r="BD119" t="s">
        <v>90</v>
      </c>
    </row>
    <row r="120" spans="1:56" x14ac:dyDescent="0.35">
      <c r="A120">
        <v>58899</v>
      </c>
      <c r="B120" t="s">
        <v>241</v>
      </c>
      <c r="C120" t="s">
        <v>84</v>
      </c>
      <c r="D120" t="s">
        <v>85</v>
      </c>
      <c r="E120">
        <v>100</v>
      </c>
      <c r="F120" t="s">
        <v>58</v>
      </c>
      <c r="G120" t="s">
        <v>59</v>
      </c>
      <c r="H120" t="s">
        <v>60</v>
      </c>
      <c r="J120" t="s">
        <v>86</v>
      </c>
      <c r="L120" t="s">
        <v>62</v>
      </c>
      <c r="M120" t="s">
        <v>63</v>
      </c>
      <c r="N120" t="s">
        <v>64</v>
      </c>
      <c r="P120" t="s">
        <v>65</v>
      </c>
      <c r="R120">
        <v>5.6000000000000001E-2</v>
      </c>
      <c r="W120" t="s">
        <v>66</v>
      </c>
      <c r="X120" t="s">
        <v>67</v>
      </c>
      <c r="Y120" t="s">
        <v>67</v>
      </c>
      <c r="Z120" t="s">
        <v>68</v>
      </c>
      <c r="AB120">
        <v>4</v>
      </c>
      <c r="AC120" t="s">
        <v>61</v>
      </c>
      <c r="AJ120" t="s">
        <v>69</v>
      </c>
      <c r="AY120" t="s">
        <v>87</v>
      </c>
      <c r="AZ120">
        <v>878</v>
      </c>
      <c r="BA120" t="s">
        <v>88</v>
      </c>
      <c r="BB120" t="s">
        <v>89</v>
      </c>
      <c r="BC120">
        <v>1959</v>
      </c>
      <c r="BD120" t="s">
        <v>90</v>
      </c>
    </row>
    <row r="121" spans="1:56" x14ac:dyDescent="0.35">
      <c r="A121">
        <v>58899</v>
      </c>
      <c r="B121" t="s">
        <v>241</v>
      </c>
      <c r="E121" t="s">
        <v>86</v>
      </c>
      <c r="F121" t="s">
        <v>58</v>
      </c>
      <c r="G121" t="s">
        <v>59</v>
      </c>
      <c r="H121" t="s">
        <v>60</v>
      </c>
      <c r="J121" t="s">
        <v>86</v>
      </c>
      <c r="K121" t="s">
        <v>61</v>
      </c>
      <c r="L121" t="s">
        <v>74</v>
      </c>
      <c r="M121" t="s">
        <v>63</v>
      </c>
      <c r="N121" t="s">
        <v>64</v>
      </c>
      <c r="P121" t="s">
        <v>100</v>
      </c>
      <c r="R121">
        <v>4.3799999999999999E-2</v>
      </c>
      <c r="W121" t="s">
        <v>66</v>
      </c>
      <c r="X121" t="s">
        <v>67</v>
      </c>
      <c r="Y121" t="s">
        <v>67</v>
      </c>
      <c r="Z121" t="s">
        <v>68</v>
      </c>
      <c r="AB121">
        <v>4</v>
      </c>
      <c r="AC121" t="s">
        <v>61</v>
      </c>
      <c r="AJ121" t="s">
        <v>69</v>
      </c>
      <c r="AY121" t="s">
        <v>242</v>
      </c>
      <c r="AZ121">
        <v>45073</v>
      </c>
      <c r="BA121" t="s">
        <v>243</v>
      </c>
      <c r="BB121" t="s">
        <v>244</v>
      </c>
      <c r="BC121">
        <v>1993</v>
      </c>
      <c r="BD121" t="s">
        <v>245</v>
      </c>
    </row>
    <row r="122" spans="1:56" x14ac:dyDescent="0.35">
      <c r="A122">
        <v>58899</v>
      </c>
      <c r="B122" t="s">
        <v>241</v>
      </c>
      <c r="D122" t="s">
        <v>85</v>
      </c>
      <c r="E122" t="s">
        <v>86</v>
      </c>
      <c r="F122" t="s">
        <v>58</v>
      </c>
      <c r="G122" t="s">
        <v>59</v>
      </c>
      <c r="H122" t="s">
        <v>60</v>
      </c>
      <c r="J122" t="s">
        <v>86</v>
      </c>
      <c r="M122" t="s">
        <v>63</v>
      </c>
      <c r="N122" t="s">
        <v>64</v>
      </c>
      <c r="P122" t="s">
        <v>100</v>
      </c>
      <c r="R122">
        <v>8.6999999999999994E-2</v>
      </c>
      <c r="W122" t="s">
        <v>66</v>
      </c>
      <c r="X122" t="s">
        <v>67</v>
      </c>
      <c r="Y122" t="s">
        <v>67</v>
      </c>
      <c r="Z122" t="s">
        <v>68</v>
      </c>
      <c r="AB122">
        <v>4</v>
      </c>
      <c r="AC122" t="s">
        <v>61</v>
      </c>
      <c r="AJ122" t="s">
        <v>69</v>
      </c>
      <c r="AY122" t="s">
        <v>101</v>
      </c>
      <c r="AZ122">
        <v>70421</v>
      </c>
      <c r="BA122" t="s">
        <v>102</v>
      </c>
      <c r="BB122" t="s">
        <v>103</v>
      </c>
      <c r="BC122">
        <v>1974</v>
      </c>
      <c r="BD122" t="s">
        <v>90</v>
      </c>
    </row>
    <row r="123" spans="1:56" x14ac:dyDescent="0.35">
      <c r="A123">
        <v>58899</v>
      </c>
      <c r="B123" t="s">
        <v>241</v>
      </c>
      <c r="E123">
        <v>99</v>
      </c>
      <c r="F123" t="s">
        <v>58</v>
      </c>
      <c r="G123" t="s">
        <v>59</v>
      </c>
      <c r="H123" t="s">
        <v>60</v>
      </c>
      <c r="J123" t="s">
        <v>86</v>
      </c>
      <c r="L123" t="s">
        <v>62</v>
      </c>
      <c r="M123" t="s">
        <v>63</v>
      </c>
      <c r="N123" t="s">
        <v>64</v>
      </c>
      <c r="P123" t="s">
        <v>65</v>
      </c>
      <c r="R123">
        <v>6.7000000000000004E-2</v>
      </c>
      <c r="T123">
        <v>4.2000000000000003E-2</v>
      </c>
      <c r="V123">
        <v>0.105</v>
      </c>
      <c r="W123" t="s">
        <v>66</v>
      </c>
      <c r="X123" t="s">
        <v>67</v>
      </c>
      <c r="Y123" t="s">
        <v>67</v>
      </c>
      <c r="Z123" t="s">
        <v>68</v>
      </c>
      <c r="AB123">
        <v>4</v>
      </c>
      <c r="AC123" t="s">
        <v>61</v>
      </c>
      <c r="AJ123" t="s">
        <v>69</v>
      </c>
      <c r="AY123" t="s">
        <v>96</v>
      </c>
      <c r="AZ123">
        <v>6797</v>
      </c>
      <c r="BA123" t="s">
        <v>97</v>
      </c>
      <c r="BB123" t="s">
        <v>98</v>
      </c>
      <c r="BC123">
        <v>1986</v>
      </c>
      <c r="BD123" t="s">
        <v>90</v>
      </c>
    </row>
    <row r="124" spans="1:56" x14ac:dyDescent="0.35">
      <c r="A124">
        <v>58899</v>
      </c>
      <c r="B124" t="s">
        <v>241</v>
      </c>
      <c r="D124" t="s">
        <v>57</v>
      </c>
      <c r="E124" t="s">
        <v>86</v>
      </c>
      <c r="F124" t="s">
        <v>58</v>
      </c>
      <c r="G124" t="s">
        <v>59</v>
      </c>
      <c r="H124" t="s">
        <v>60</v>
      </c>
      <c r="I124" t="s">
        <v>177</v>
      </c>
      <c r="J124">
        <v>30</v>
      </c>
      <c r="K124" t="s">
        <v>61</v>
      </c>
      <c r="L124" t="s">
        <v>62</v>
      </c>
      <c r="M124" t="s">
        <v>63</v>
      </c>
      <c r="N124" t="s">
        <v>64</v>
      </c>
      <c r="P124" t="s">
        <v>65</v>
      </c>
      <c r="R124">
        <v>0.13</v>
      </c>
      <c r="T124">
        <v>0.11799999999999999</v>
      </c>
      <c r="V124">
        <v>0.14299999999999999</v>
      </c>
      <c r="W124" t="s">
        <v>66</v>
      </c>
      <c r="X124" t="s">
        <v>67</v>
      </c>
      <c r="Y124" t="s">
        <v>67</v>
      </c>
      <c r="Z124" t="s">
        <v>68</v>
      </c>
      <c r="AB124">
        <v>4</v>
      </c>
      <c r="AC124" t="s">
        <v>61</v>
      </c>
      <c r="AJ124" t="s">
        <v>69</v>
      </c>
      <c r="AY124" t="s">
        <v>246</v>
      </c>
      <c r="AZ124">
        <v>3690</v>
      </c>
      <c r="BA124" t="s">
        <v>247</v>
      </c>
      <c r="BB124" t="s">
        <v>248</v>
      </c>
      <c r="BC124">
        <v>1981</v>
      </c>
      <c r="BD124" t="s">
        <v>73</v>
      </c>
    </row>
    <row r="125" spans="1:56" x14ac:dyDescent="0.35">
      <c r="A125">
        <v>58899</v>
      </c>
      <c r="B125" t="s">
        <v>241</v>
      </c>
      <c r="E125">
        <v>99</v>
      </c>
      <c r="F125" t="s">
        <v>58</v>
      </c>
      <c r="G125" t="s">
        <v>59</v>
      </c>
      <c r="H125" t="s">
        <v>60</v>
      </c>
      <c r="J125" t="s">
        <v>86</v>
      </c>
      <c r="L125" t="s">
        <v>62</v>
      </c>
      <c r="M125" t="s">
        <v>63</v>
      </c>
      <c r="N125" t="s">
        <v>64</v>
      </c>
      <c r="P125" t="s">
        <v>65</v>
      </c>
      <c r="R125">
        <v>8.5999999999999993E-2</v>
      </c>
      <c r="T125">
        <v>6.7000000000000004E-2</v>
      </c>
      <c r="V125">
        <v>0.11</v>
      </c>
      <c r="W125" t="s">
        <v>66</v>
      </c>
      <c r="X125" t="s">
        <v>67</v>
      </c>
      <c r="Y125" t="s">
        <v>67</v>
      </c>
      <c r="Z125" t="s">
        <v>68</v>
      </c>
      <c r="AB125">
        <v>4</v>
      </c>
      <c r="AC125" t="s">
        <v>61</v>
      </c>
      <c r="AJ125" t="s">
        <v>69</v>
      </c>
      <c r="AY125" t="s">
        <v>96</v>
      </c>
      <c r="AZ125">
        <v>6797</v>
      </c>
      <c r="BA125" t="s">
        <v>97</v>
      </c>
      <c r="BB125" t="s">
        <v>98</v>
      </c>
      <c r="BC125">
        <v>1986</v>
      </c>
      <c r="BD125" t="s">
        <v>90</v>
      </c>
    </row>
    <row r="126" spans="1:56" x14ac:dyDescent="0.35">
      <c r="A126">
        <v>58899</v>
      </c>
      <c r="B126" t="s">
        <v>241</v>
      </c>
      <c r="D126" t="s">
        <v>85</v>
      </c>
      <c r="E126">
        <v>100</v>
      </c>
      <c r="F126" t="s">
        <v>58</v>
      </c>
      <c r="G126" t="s">
        <v>59</v>
      </c>
      <c r="H126" t="s">
        <v>60</v>
      </c>
      <c r="J126" t="s">
        <v>86</v>
      </c>
      <c r="L126" t="s">
        <v>74</v>
      </c>
      <c r="M126" t="s">
        <v>63</v>
      </c>
      <c r="N126" t="s">
        <v>64</v>
      </c>
      <c r="P126" t="s">
        <v>65</v>
      </c>
      <c r="Q126" t="s">
        <v>153</v>
      </c>
      <c r="R126">
        <v>0.1</v>
      </c>
      <c r="W126" t="s">
        <v>66</v>
      </c>
      <c r="X126" t="s">
        <v>67</v>
      </c>
      <c r="Y126" t="s">
        <v>67</v>
      </c>
      <c r="Z126" t="s">
        <v>68</v>
      </c>
      <c r="AB126">
        <v>4</v>
      </c>
      <c r="AC126" t="s">
        <v>61</v>
      </c>
      <c r="AJ126" t="s">
        <v>69</v>
      </c>
      <c r="AY126" t="s">
        <v>249</v>
      </c>
      <c r="AZ126">
        <v>630</v>
      </c>
      <c r="BA126" t="s">
        <v>250</v>
      </c>
      <c r="BB126" t="s">
        <v>251</v>
      </c>
      <c r="BC126">
        <v>1976</v>
      </c>
      <c r="BD126" t="s">
        <v>90</v>
      </c>
    </row>
    <row r="127" spans="1:56" x14ac:dyDescent="0.35">
      <c r="A127">
        <v>58899</v>
      </c>
      <c r="B127" t="s">
        <v>241</v>
      </c>
      <c r="C127" t="s">
        <v>84</v>
      </c>
      <c r="D127" t="s">
        <v>85</v>
      </c>
      <c r="E127">
        <v>100</v>
      </c>
      <c r="F127" t="s">
        <v>58</v>
      </c>
      <c r="G127" t="s">
        <v>59</v>
      </c>
      <c r="H127" t="s">
        <v>60</v>
      </c>
      <c r="J127" t="s">
        <v>86</v>
      </c>
      <c r="L127" t="s">
        <v>62</v>
      </c>
      <c r="M127" t="s">
        <v>63</v>
      </c>
      <c r="N127" t="s">
        <v>64</v>
      </c>
      <c r="P127" t="s">
        <v>65</v>
      </c>
      <c r="R127">
        <v>6.2E-2</v>
      </c>
      <c r="W127" t="s">
        <v>66</v>
      </c>
      <c r="X127" t="s">
        <v>67</v>
      </c>
      <c r="Y127" t="s">
        <v>67</v>
      </c>
      <c r="Z127" t="s">
        <v>68</v>
      </c>
      <c r="AB127">
        <v>4</v>
      </c>
      <c r="AC127" t="s">
        <v>61</v>
      </c>
      <c r="AJ127" t="s">
        <v>69</v>
      </c>
      <c r="AY127" t="s">
        <v>87</v>
      </c>
      <c r="AZ127">
        <v>878</v>
      </c>
      <c r="BA127" t="s">
        <v>88</v>
      </c>
      <c r="BB127" t="s">
        <v>89</v>
      </c>
      <c r="BC127">
        <v>1959</v>
      </c>
      <c r="BD127" t="s">
        <v>90</v>
      </c>
    </row>
    <row r="128" spans="1:56" x14ac:dyDescent="0.35">
      <c r="A128">
        <v>58899</v>
      </c>
      <c r="B128" t="s">
        <v>241</v>
      </c>
      <c r="E128">
        <v>99</v>
      </c>
      <c r="F128" t="s">
        <v>58</v>
      </c>
      <c r="G128" t="s">
        <v>59</v>
      </c>
      <c r="H128" t="s">
        <v>60</v>
      </c>
      <c r="J128" t="s">
        <v>86</v>
      </c>
      <c r="L128" t="s">
        <v>74</v>
      </c>
      <c r="M128" t="s">
        <v>63</v>
      </c>
      <c r="N128" t="s">
        <v>64</v>
      </c>
      <c r="P128" t="s">
        <v>65</v>
      </c>
      <c r="R128">
        <v>7.6999999999999999E-2</v>
      </c>
      <c r="T128">
        <v>5.5E-2</v>
      </c>
      <c r="V128">
        <v>0.106</v>
      </c>
      <c r="W128" t="s">
        <v>66</v>
      </c>
      <c r="X128" t="s">
        <v>67</v>
      </c>
      <c r="Y128" t="s">
        <v>67</v>
      </c>
      <c r="Z128" t="s">
        <v>68</v>
      </c>
      <c r="AB128">
        <v>4</v>
      </c>
      <c r="AC128" t="s">
        <v>61</v>
      </c>
      <c r="AJ128" t="s">
        <v>69</v>
      </c>
      <c r="AY128" t="s">
        <v>96</v>
      </c>
      <c r="AZ128">
        <v>6797</v>
      </c>
      <c r="BA128" t="s">
        <v>97</v>
      </c>
      <c r="BB128" t="s">
        <v>98</v>
      </c>
      <c r="BC128">
        <v>1986</v>
      </c>
      <c r="BD128" t="s">
        <v>90</v>
      </c>
    </row>
    <row r="129" spans="1:56" x14ac:dyDescent="0.35">
      <c r="A129">
        <v>58899</v>
      </c>
      <c r="B129" t="s">
        <v>241</v>
      </c>
      <c r="D129" t="s">
        <v>57</v>
      </c>
      <c r="E129" t="s">
        <v>86</v>
      </c>
      <c r="F129" t="s">
        <v>58</v>
      </c>
      <c r="G129" t="s">
        <v>59</v>
      </c>
      <c r="H129" t="s">
        <v>60</v>
      </c>
      <c r="I129" t="s">
        <v>177</v>
      </c>
      <c r="J129">
        <v>30</v>
      </c>
      <c r="K129" t="s">
        <v>61</v>
      </c>
      <c r="L129" t="s">
        <v>74</v>
      </c>
      <c r="M129" t="s">
        <v>63</v>
      </c>
      <c r="N129" t="s">
        <v>64</v>
      </c>
      <c r="P129" t="s">
        <v>65</v>
      </c>
      <c r="R129">
        <v>0.111</v>
      </c>
      <c r="T129">
        <v>0.105</v>
      </c>
      <c r="V129">
        <v>0.11799999999999999</v>
      </c>
      <c r="W129" t="s">
        <v>66</v>
      </c>
      <c r="X129" t="s">
        <v>67</v>
      </c>
      <c r="Y129" t="s">
        <v>67</v>
      </c>
      <c r="Z129" t="s">
        <v>68</v>
      </c>
      <c r="AB129">
        <v>4</v>
      </c>
      <c r="AC129" t="s">
        <v>61</v>
      </c>
      <c r="AJ129" t="s">
        <v>69</v>
      </c>
      <c r="AY129" t="s">
        <v>246</v>
      </c>
      <c r="AZ129">
        <v>3690</v>
      </c>
      <c r="BA129" t="s">
        <v>247</v>
      </c>
      <c r="BB129" t="s">
        <v>248</v>
      </c>
      <c r="BC129">
        <v>1981</v>
      </c>
      <c r="BD129" t="s">
        <v>73</v>
      </c>
    </row>
    <row r="130" spans="1:56" x14ac:dyDescent="0.35">
      <c r="A130">
        <v>58902</v>
      </c>
      <c r="B130" t="s">
        <v>252</v>
      </c>
      <c r="D130" t="s">
        <v>57</v>
      </c>
      <c r="E130" t="s">
        <v>128</v>
      </c>
      <c r="F130" t="s">
        <v>58</v>
      </c>
      <c r="G130" t="s">
        <v>59</v>
      </c>
      <c r="H130" t="s">
        <v>60</v>
      </c>
      <c r="I130" t="s">
        <v>129</v>
      </c>
      <c r="J130" t="s">
        <v>86</v>
      </c>
      <c r="K130" t="s">
        <v>61</v>
      </c>
      <c r="L130" t="s">
        <v>74</v>
      </c>
      <c r="M130" t="s">
        <v>63</v>
      </c>
      <c r="N130" t="s">
        <v>64</v>
      </c>
      <c r="P130" t="s">
        <v>65</v>
      </c>
      <c r="R130">
        <v>1.03</v>
      </c>
      <c r="W130" t="s">
        <v>66</v>
      </c>
      <c r="X130" t="s">
        <v>67</v>
      </c>
      <c r="Y130" t="s">
        <v>67</v>
      </c>
      <c r="Z130" t="s">
        <v>68</v>
      </c>
      <c r="AB130">
        <v>4</v>
      </c>
      <c r="AC130" t="s">
        <v>61</v>
      </c>
      <c r="AJ130" t="s">
        <v>69</v>
      </c>
      <c r="AY130" t="s">
        <v>134</v>
      </c>
      <c r="AZ130">
        <v>15031</v>
      </c>
      <c r="BA130" t="s">
        <v>135</v>
      </c>
      <c r="BB130" t="s">
        <v>136</v>
      </c>
      <c r="BC130">
        <v>1995</v>
      </c>
      <c r="BD130" t="s">
        <v>133</v>
      </c>
    </row>
    <row r="131" spans="1:56" x14ac:dyDescent="0.35">
      <c r="A131">
        <v>58902</v>
      </c>
      <c r="B131" t="s">
        <v>252</v>
      </c>
      <c r="D131" t="s">
        <v>57</v>
      </c>
      <c r="E131" t="s">
        <v>253</v>
      </c>
      <c r="F131" t="s">
        <v>58</v>
      </c>
      <c r="G131" t="s">
        <v>59</v>
      </c>
      <c r="H131" t="s">
        <v>60</v>
      </c>
      <c r="J131">
        <v>34</v>
      </c>
      <c r="K131" t="s">
        <v>61</v>
      </c>
      <c r="L131" t="s">
        <v>74</v>
      </c>
      <c r="M131" t="s">
        <v>63</v>
      </c>
      <c r="N131" t="s">
        <v>64</v>
      </c>
      <c r="P131" t="s">
        <v>65</v>
      </c>
      <c r="R131">
        <v>1.03</v>
      </c>
      <c r="T131">
        <v>0.95</v>
      </c>
      <c r="V131">
        <v>1.1100000000000001</v>
      </c>
      <c r="W131" t="s">
        <v>66</v>
      </c>
      <c r="X131" t="s">
        <v>67</v>
      </c>
      <c r="Y131" t="s">
        <v>67</v>
      </c>
      <c r="Z131" t="s">
        <v>68</v>
      </c>
      <c r="AB131">
        <v>4</v>
      </c>
      <c r="AC131" t="s">
        <v>61</v>
      </c>
      <c r="AJ131" t="s">
        <v>69</v>
      </c>
      <c r="AY131" t="s">
        <v>75</v>
      </c>
      <c r="AZ131">
        <v>3217</v>
      </c>
      <c r="BA131" t="s">
        <v>76</v>
      </c>
      <c r="BB131" t="s">
        <v>77</v>
      </c>
      <c r="BC131">
        <v>1990</v>
      </c>
      <c r="BD131" t="s">
        <v>73</v>
      </c>
    </row>
    <row r="132" spans="1:56" x14ac:dyDescent="0.35">
      <c r="A132">
        <v>59507</v>
      </c>
      <c r="B132" t="s">
        <v>254</v>
      </c>
      <c r="D132" t="s">
        <v>57</v>
      </c>
      <c r="E132">
        <v>99</v>
      </c>
      <c r="F132" t="s">
        <v>58</v>
      </c>
      <c r="G132" t="s">
        <v>59</v>
      </c>
      <c r="H132" t="s">
        <v>60</v>
      </c>
      <c r="J132">
        <v>30</v>
      </c>
      <c r="K132" t="s">
        <v>61</v>
      </c>
      <c r="L132" t="s">
        <v>74</v>
      </c>
      <c r="M132" t="s">
        <v>63</v>
      </c>
      <c r="N132" t="s">
        <v>64</v>
      </c>
      <c r="P132" t="s">
        <v>65</v>
      </c>
      <c r="R132">
        <v>4.05</v>
      </c>
      <c r="T132">
        <v>3.11</v>
      </c>
      <c r="V132">
        <v>5.27</v>
      </c>
      <c r="W132" t="s">
        <v>66</v>
      </c>
      <c r="X132" t="s">
        <v>67</v>
      </c>
      <c r="Y132" t="s">
        <v>67</v>
      </c>
      <c r="Z132" t="s">
        <v>68</v>
      </c>
      <c r="AB132">
        <v>4</v>
      </c>
      <c r="AC132" t="s">
        <v>61</v>
      </c>
      <c r="AJ132" t="s">
        <v>69</v>
      </c>
      <c r="AY132" t="s">
        <v>141</v>
      </c>
      <c r="AZ132">
        <v>12447</v>
      </c>
      <c r="BA132" t="s">
        <v>142</v>
      </c>
      <c r="BB132" t="s">
        <v>143</v>
      </c>
      <c r="BC132">
        <v>1985</v>
      </c>
      <c r="BD132" t="s">
        <v>73</v>
      </c>
    </row>
    <row r="133" spans="1:56" x14ac:dyDescent="0.35">
      <c r="A133">
        <v>59507</v>
      </c>
      <c r="B133" t="s">
        <v>254</v>
      </c>
      <c r="D133" t="s">
        <v>57</v>
      </c>
      <c r="E133" t="s">
        <v>128</v>
      </c>
      <c r="F133" t="s">
        <v>58</v>
      </c>
      <c r="G133" t="s">
        <v>59</v>
      </c>
      <c r="H133" t="s">
        <v>60</v>
      </c>
      <c r="I133" t="s">
        <v>129</v>
      </c>
      <c r="J133" t="s">
        <v>86</v>
      </c>
      <c r="K133" t="s">
        <v>61</v>
      </c>
      <c r="L133" t="s">
        <v>74</v>
      </c>
      <c r="M133" t="s">
        <v>63</v>
      </c>
      <c r="N133" t="s">
        <v>64</v>
      </c>
      <c r="P133" t="s">
        <v>65</v>
      </c>
      <c r="R133">
        <v>4.05</v>
      </c>
      <c r="W133" t="s">
        <v>66</v>
      </c>
      <c r="X133" t="s">
        <v>67</v>
      </c>
      <c r="Y133" t="s">
        <v>67</v>
      </c>
      <c r="Z133" t="s">
        <v>68</v>
      </c>
      <c r="AB133">
        <v>4</v>
      </c>
      <c r="AC133" t="s">
        <v>61</v>
      </c>
      <c r="AJ133" t="s">
        <v>69</v>
      </c>
      <c r="AY133" t="s">
        <v>134</v>
      </c>
      <c r="AZ133">
        <v>15031</v>
      </c>
      <c r="BA133" t="s">
        <v>135</v>
      </c>
      <c r="BB133" t="s">
        <v>136</v>
      </c>
      <c r="BC133">
        <v>1995</v>
      </c>
      <c r="BD133" t="s">
        <v>133</v>
      </c>
    </row>
    <row r="134" spans="1:56" x14ac:dyDescent="0.35">
      <c r="A134">
        <v>59507</v>
      </c>
      <c r="B134" t="s">
        <v>254</v>
      </c>
      <c r="D134" t="s">
        <v>85</v>
      </c>
      <c r="E134" t="s">
        <v>86</v>
      </c>
      <c r="F134" t="s">
        <v>58</v>
      </c>
      <c r="G134" t="s">
        <v>59</v>
      </c>
      <c r="H134" t="s">
        <v>60</v>
      </c>
      <c r="J134" t="s">
        <v>86</v>
      </c>
      <c r="L134" t="s">
        <v>62</v>
      </c>
      <c r="M134" t="s">
        <v>63</v>
      </c>
      <c r="N134" t="s">
        <v>64</v>
      </c>
      <c r="P134" t="s">
        <v>100</v>
      </c>
      <c r="T134">
        <v>1</v>
      </c>
      <c r="V134">
        <v>10</v>
      </c>
      <c r="W134" t="s">
        <v>66</v>
      </c>
      <c r="X134" t="s">
        <v>67</v>
      </c>
      <c r="Y134" t="s">
        <v>67</v>
      </c>
      <c r="Z134" t="s">
        <v>68</v>
      </c>
      <c r="AB134">
        <v>4</v>
      </c>
      <c r="AC134" t="s">
        <v>61</v>
      </c>
      <c r="AJ134" t="s">
        <v>69</v>
      </c>
      <c r="AY134" t="s">
        <v>255</v>
      </c>
      <c r="AZ134">
        <v>8960</v>
      </c>
      <c r="BA134" t="s">
        <v>256</v>
      </c>
      <c r="BB134" t="s">
        <v>257</v>
      </c>
      <c r="BC134">
        <v>1972</v>
      </c>
      <c r="BD134" t="s">
        <v>90</v>
      </c>
    </row>
    <row r="135" spans="1:56" x14ac:dyDescent="0.35">
      <c r="A135">
        <v>59507</v>
      </c>
      <c r="B135" t="s">
        <v>254</v>
      </c>
      <c r="D135" t="s">
        <v>57</v>
      </c>
      <c r="E135">
        <v>99</v>
      </c>
      <c r="F135" t="s">
        <v>58</v>
      </c>
      <c r="G135" t="s">
        <v>59</v>
      </c>
      <c r="H135" t="s">
        <v>60</v>
      </c>
      <c r="J135">
        <v>31</v>
      </c>
      <c r="K135" t="s">
        <v>61</v>
      </c>
      <c r="L135" t="s">
        <v>74</v>
      </c>
      <c r="M135" t="s">
        <v>63</v>
      </c>
      <c r="N135" t="s">
        <v>64</v>
      </c>
      <c r="P135" t="s">
        <v>65</v>
      </c>
      <c r="R135">
        <v>7.38</v>
      </c>
      <c r="T135">
        <v>6.26</v>
      </c>
      <c r="V135">
        <v>8.7100000000000009</v>
      </c>
      <c r="W135" t="s">
        <v>66</v>
      </c>
      <c r="X135" t="s">
        <v>67</v>
      </c>
      <c r="Y135" t="s">
        <v>67</v>
      </c>
      <c r="Z135" t="s">
        <v>68</v>
      </c>
      <c r="AB135">
        <v>4</v>
      </c>
      <c r="AC135" t="s">
        <v>61</v>
      </c>
      <c r="AJ135" t="s">
        <v>69</v>
      </c>
      <c r="AY135" t="s">
        <v>141</v>
      </c>
      <c r="AZ135">
        <v>12447</v>
      </c>
      <c r="BA135" t="s">
        <v>142</v>
      </c>
      <c r="BB135" t="s">
        <v>143</v>
      </c>
      <c r="BC135">
        <v>1985</v>
      </c>
      <c r="BD135" t="s">
        <v>73</v>
      </c>
    </row>
    <row r="136" spans="1:56" x14ac:dyDescent="0.35">
      <c r="A136">
        <v>59507</v>
      </c>
      <c r="B136" t="s">
        <v>254</v>
      </c>
      <c r="D136" t="s">
        <v>57</v>
      </c>
      <c r="E136">
        <v>99</v>
      </c>
      <c r="F136" t="s">
        <v>58</v>
      </c>
      <c r="G136" t="s">
        <v>59</v>
      </c>
      <c r="H136" t="s">
        <v>60</v>
      </c>
      <c r="J136" t="s">
        <v>86</v>
      </c>
      <c r="K136" t="s">
        <v>61</v>
      </c>
      <c r="L136" t="s">
        <v>74</v>
      </c>
      <c r="M136" t="s">
        <v>63</v>
      </c>
      <c r="N136" t="s">
        <v>64</v>
      </c>
      <c r="P136" t="s">
        <v>65</v>
      </c>
      <c r="R136">
        <v>7.56</v>
      </c>
      <c r="T136">
        <v>6.41</v>
      </c>
      <c r="V136">
        <v>8.92</v>
      </c>
      <c r="W136" t="s">
        <v>66</v>
      </c>
      <c r="X136" t="s">
        <v>67</v>
      </c>
      <c r="Y136" t="s">
        <v>67</v>
      </c>
      <c r="Z136" t="s">
        <v>68</v>
      </c>
      <c r="AB136">
        <v>4</v>
      </c>
      <c r="AC136" t="s">
        <v>61</v>
      </c>
      <c r="AJ136" t="s">
        <v>69</v>
      </c>
      <c r="AY136" t="s">
        <v>258</v>
      </c>
      <c r="AZ136">
        <v>10954</v>
      </c>
      <c r="BA136" t="s">
        <v>259</v>
      </c>
      <c r="BB136" t="s">
        <v>260</v>
      </c>
      <c r="BC136">
        <v>1984</v>
      </c>
      <c r="BD136" t="s">
        <v>261</v>
      </c>
    </row>
    <row r="137" spans="1:56" x14ac:dyDescent="0.35">
      <c r="A137">
        <v>59972</v>
      </c>
      <c r="B137" t="s">
        <v>262</v>
      </c>
      <c r="D137" t="s">
        <v>57</v>
      </c>
      <c r="E137">
        <v>99</v>
      </c>
      <c r="F137" t="s">
        <v>58</v>
      </c>
      <c r="G137" t="s">
        <v>59</v>
      </c>
      <c r="H137" t="s">
        <v>60</v>
      </c>
      <c r="J137">
        <v>31</v>
      </c>
      <c r="K137" t="s">
        <v>61</v>
      </c>
      <c r="L137" t="s">
        <v>74</v>
      </c>
      <c r="M137" t="s">
        <v>63</v>
      </c>
      <c r="N137" t="s">
        <v>64</v>
      </c>
      <c r="P137" t="s">
        <v>65</v>
      </c>
      <c r="R137">
        <v>354</v>
      </c>
      <c r="T137">
        <v>322</v>
      </c>
      <c r="V137">
        <v>389</v>
      </c>
      <c r="W137" t="s">
        <v>66</v>
      </c>
      <c r="X137" t="s">
        <v>67</v>
      </c>
      <c r="Y137" t="s">
        <v>67</v>
      </c>
      <c r="Z137" t="s">
        <v>68</v>
      </c>
      <c r="AB137">
        <v>4</v>
      </c>
      <c r="AC137" t="s">
        <v>61</v>
      </c>
      <c r="AJ137" t="s">
        <v>69</v>
      </c>
      <c r="AY137" t="s">
        <v>263</v>
      </c>
      <c r="AZ137">
        <v>12858</v>
      </c>
      <c r="BA137" t="s">
        <v>264</v>
      </c>
      <c r="BB137" t="s">
        <v>265</v>
      </c>
      <c r="BC137">
        <v>1986</v>
      </c>
      <c r="BD137" t="s">
        <v>73</v>
      </c>
    </row>
    <row r="138" spans="1:56" x14ac:dyDescent="0.35">
      <c r="A138">
        <v>60004</v>
      </c>
      <c r="B138" t="s">
        <v>266</v>
      </c>
      <c r="D138" t="s">
        <v>57</v>
      </c>
      <c r="E138" t="s">
        <v>86</v>
      </c>
      <c r="F138" t="s">
        <v>58</v>
      </c>
      <c r="G138" t="s">
        <v>59</v>
      </c>
      <c r="H138" t="s">
        <v>60</v>
      </c>
      <c r="J138" t="s">
        <v>86</v>
      </c>
      <c r="L138" t="s">
        <v>62</v>
      </c>
      <c r="M138" t="s">
        <v>63</v>
      </c>
      <c r="N138" t="s">
        <v>64</v>
      </c>
      <c r="O138" t="s">
        <v>267</v>
      </c>
      <c r="P138" t="s">
        <v>65</v>
      </c>
      <c r="R138">
        <v>59.8</v>
      </c>
      <c r="T138">
        <v>44.2</v>
      </c>
      <c r="V138">
        <v>76.5</v>
      </c>
      <c r="W138" t="s">
        <v>66</v>
      </c>
      <c r="X138" t="s">
        <v>67</v>
      </c>
      <c r="Y138" t="s">
        <v>67</v>
      </c>
      <c r="Z138" t="s">
        <v>68</v>
      </c>
      <c r="AB138">
        <v>4</v>
      </c>
      <c r="AC138" t="s">
        <v>61</v>
      </c>
      <c r="AJ138" t="s">
        <v>69</v>
      </c>
      <c r="AY138" t="s">
        <v>268</v>
      </c>
      <c r="AZ138">
        <v>2965</v>
      </c>
      <c r="BA138" t="s">
        <v>269</v>
      </c>
      <c r="BB138" t="s">
        <v>270</v>
      </c>
      <c r="BC138">
        <v>1981</v>
      </c>
      <c r="BD138" t="s">
        <v>90</v>
      </c>
    </row>
    <row r="139" spans="1:56" x14ac:dyDescent="0.35">
      <c r="A139">
        <v>60139</v>
      </c>
      <c r="B139" t="s">
        <v>271</v>
      </c>
      <c r="D139" t="s">
        <v>57</v>
      </c>
      <c r="E139" t="s">
        <v>79</v>
      </c>
      <c r="F139" t="s">
        <v>58</v>
      </c>
      <c r="G139" t="s">
        <v>59</v>
      </c>
      <c r="H139" t="s">
        <v>60</v>
      </c>
      <c r="J139" t="s">
        <v>86</v>
      </c>
      <c r="K139" t="s">
        <v>61</v>
      </c>
      <c r="L139" t="s">
        <v>74</v>
      </c>
      <c r="M139" t="s">
        <v>63</v>
      </c>
      <c r="N139" t="s">
        <v>64</v>
      </c>
      <c r="P139" t="s">
        <v>65</v>
      </c>
      <c r="R139">
        <v>28.8</v>
      </c>
      <c r="W139" t="s">
        <v>66</v>
      </c>
      <c r="X139" t="s">
        <v>67</v>
      </c>
      <c r="Y139" t="s">
        <v>67</v>
      </c>
      <c r="Z139" t="s">
        <v>68</v>
      </c>
      <c r="AB139">
        <v>4</v>
      </c>
      <c r="AC139" t="s">
        <v>61</v>
      </c>
      <c r="AJ139" t="s">
        <v>69</v>
      </c>
      <c r="AY139" t="s">
        <v>80</v>
      </c>
      <c r="AZ139">
        <v>12859</v>
      </c>
      <c r="BA139" t="s">
        <v>81</v>
      </c>
      <c r="BB139" t="s">
        <v>82</v>
      </c>
      <c r="BC139">
        <v>1988</v>
      </c>
      <c r="BD139" t="s">
        <v>161</v>
      </c>
    </row>
    <row r="140" spans="1:56" x14ac:dyDescent="0.35">
      <c r="A140">
        <v>60297</v>
      </c>
      <c r="B140" t="s">
        <v>272</v>
      </c>
      <c r="D140" t="s">
        <v>57</v>
      </c>
      <c r="E140" t="s">
        <v>86</v>
      </c>
      <c r="F140" t="s">
        <v>58</v>
      </c>
      <c r="G140" t="s">
        <v>59</v>
      </c>
      <c r="H140" t="s">
        <v>60</v>
      </c>
      <c r="J140">
        <v>29</v>
      </c>
      <c r="K140" t="s">
        <v>61</v>
      </c>
      <c r="L140" t="s">
        <v>74</v>
      </c>
      <c r="M140" t="s">
        <v>63</v>
      </c>
      <c r="N140" t="s">
        <v>64</v>
      </c>
      <c r="P140" t="s">
        <v>65</v>
      </c>
      <c r="R140">
        <v>2560</v>
      </c>
      <c r="W140" t="s">
        <v>66</v>
      </c>
      <c r="X140" t="s">
        <v>67</v>
      </c>
      <c r="Y140" t="s">
        <v>67</v>
      </c>
      <c r="Z140" t="s">
        <v>68</v>
      </c>
      <c r="AB140">
        <v>4</v>
      </c>
      <c r="AC140" t="s">
        <v>61</v>
      </c>
      <c r="AJ140" t="s">
        <v>69</v>
      </c>
      <c r="AY140" t="s">
        <v>263</v>
      </c>
      <c r="AZ140">
        <v>12858</v>
      </c>
      <c r="BA140" t="s">
        <v>264</v>
      </c>
      <c r="BB140" t="s">
        <v>265</v>
      </c>
      <c r="BC140">
        <v>1986</v>
      </c>
      <c r="BD140" t="s">
        <v>73</v>
      </c>
    </row>
    <row r="141" spans="1:56" x14ac:dyDescent="0.35">
      <c r="A141">
        <v>60413</v>
      </c>
      <c r="B141" t="s">
        <v>273</v>
      </c>
      <c r="D141" t="s">
        <v>57</v>
      </c>
      <c r="E141">
        <v>89</v>
      </c>
      <c r="F141" t="s">
        <v>58</v>
      </c>
      <c r="G141" t="s">
        <v>59</v>
      </c>
      <c r="H141" t="s">
        <v>60</v>
      </c>
      <c r="J141">
        <v>31</v>
      </c>
      <c r="K141" t="s">
        <v>61</v>
      </c>
      <c r="L141" t="s">
        <v>74</v>
      </c>
      <c r="M141" t="s">
        <v>63</v>
      </c>
      <c r="N141" t="s">
        <v>64</v>
      </c>
      <c r="P141" t="s">
        <v>65</v>
      </c>
      <c r="R141">
        <v>1.1100000000000001</v>
      </c>
      <c r="T141">
        <v>0.96</v>
      </c>
      <c r="V141">
        <v>1.27</v>
      </c>
      <c r="W141" t="s">
        <v>66</v>
      </c>
      <c r="X141" t="s">
        <v>67</v>
      </c>
      <c r="Y141" t="s">
        <v>67</v>
      </c>
      <c r="Z141" t="s">
        <v>68</v>
      </c>
      <c r="AB141">
        <v>4</v>
      </c>
      <c r="AC141" t="s">
        <v>61</v>
      </c>
      <c r="AJ141" t="s">
        <v>69</v>
      </c>
      <c r="AY141" t="s">
        <v>75</v>
      </c>
      <c r="AZ141">
        <v>3217</v>
      </c>
      <c r="BA141" t="s">
        <v>76</v>
      </c>
      <c r="BB141" t="s">
        <v>77</v>
      </c>
      <c r="BC141">
        <v>1990</v>
      </c>
      <c r="BD141" t="s">
        <v>73</v>
      </c>
    </row>
    <row r="142" spans="1:56" x14ac:dyDescent="0.35">
      <c r="A142">
        <v>60571</v>
      </c>
      <c r="B142" t="s">
        <v>274</v>
      </c>
      <c r="C142" t="s">
        <v>91</v>
      </c>
      <c r="D142" t="s">
        <v>85</v>
      </c>
      <c r="E142">
        <v>11.1</v>
      </c>
      <c r="F142" t="s">
        <v>58</v>
      </c>
      <c r="G142" t="s">
        <v>59</v>
      </c>
      <c r="H142" t="s">
        <v>60</v>
      </c>
      <c r="J142" t="s">
        <v>86</v>
      </c>
      <c r="L142" t="s">
        <v>62</v>
      </c>
      <c r="M142" t="s">
        <v>63</v>
      </c>
      <c r="N142" t="s">
        <v>64</v>
      </c>
      <c r="P142" t="s">
        <v>65</v>
      </c>
      <c r="R142">
        <v>2.3E-2</v>
      </c>
      <c r="W142" t="s">
        <v>66</v>
      </c>
      <c r="X142" t="s">
        <v>67</v>
      </c>
      <c r="Y142" t="s">
        <v>67</v>
      </c>
      <c r="Z142" t="s">
        <v>68</v>
      </c>
      <c r="AB142">
        <v>4</v>
      </c>
      <c r="AC142" t="s">
        <v>61</v>
      </c>
      <c r="AJ142" t="s">
        <v>69</v>
      </c>
      <c r="AY142" t="s">
        <v>275</v>
      </c>
      <c r="AZ142">
        <v>16212</v>
      </c>
      <c r="BA142" t="s">
        <v>276</v>
      </c>
      <c r="BB142" t="s">
        <v>277</v>
      </c>
      <c r="BC142">
        <v>1957</v>
      </c>
      <c r="BD142" t="s">
        <v>90</v>
      </c>
    </row>
    <row r="143" spans="1:56" x14ac:dyDescent="0.35">
      <c r="A143">
        <v>60571</v>
      </c>
      <c r="B143" t="s">
        <v>274</v>
      </c>
      <c r="C143" t="s">
        <v>91</v>
      </c>
      <c r="D143" t="s">
        <v>85</v>
      </c>
      <c r="E143" t="s">
        <v>86</v>
      </c>
      <c r="F143" t="s">
        <v>58</v>
      </c>
      <c r="G143" t="s">
        <v>59</v>
      </c>
      <c r="H143" t="s">
        <v>60</v>
      </c>
      <c r="J143" t="s">
        <v>86</v>
      </c>
      <c r="L143" t="s">
        <v>62</v>
      </c>
      <c r="M143" t="s">
        <v>63</v>
      </c>
      <c r="N143" t="s">
        <v>64</v>
      </c>
      <c r="P143" t="s">
        <v>65</v>
      </c>
      <c r="R143">
        <v>2.4E-2</v>
      </c>
      <c r="W143" t="s">
        <v>66</v>
      </c>
      <c r="X143" t="s">
        <v>67</v>
      </c>
      <c r="Y143" t="s">
        <v>67</v>
      </c>
      <c r="Z143" t="s">
        <v>68</v>
      </c>
      <c r="AB143">
        <v>4</v>
      </c>
      <c r="AC143" t="s">
        <v>61</v>
      </c>
      <c r="AJ143" t="s">
        <v>69</v>
      </c>
      <c r="AY143" t="s">
        <v>275</v>
      </c>
      <c r="AZ143">
        <v>16212</v>
      </c>
      <c r="BA143" t="s">
        <v>276</v>
      </c>
      <c r="BB143" t="s">
        <v>277</v>
      </c>
      <c r="BC143">
        <v>1957</v>
      </c>
      <c r="BD143" t="s">
        <v>90</v>
      </c>
    </row>
    <row r="144" spans="1:56" x14ac:dyDescent="0.35">
      <c r="A144">
        <v>60571</v>
      </c>
      <c r="B144" t="s">
        <v>274</v>
      </c>
      <c r="D144" t="s">
        <v>85</v>
      </c>
      <c r="E144" t="s">
        <v>86</v>
      </c>
      <c r="F144" t="s">
        <v>58</v>
      </c>
      <c r="G144" t="s">
        <v>59</v>
      </c>
      <c r="H144" t="s">
        <v>60</v>
      </c>
      <c r="J144" t="s">
        <v>86</v>
      </c>
      <c r="M144" t="s">
        <v>63</v>
      </c>
      <c r="N144" t="s">
        <v>64</v>
      </c>
      <c r="P144" t="s">
        <v>100</v>
      </c>
      <c r="R144">
        <v>1.6E-2</v>
      </c>
      <c r="W144" t="s">
        <v>66</v>
      </c>
      <c r="X144" t="s">
        <v>67</v>
      </c>
      <c r="Y144" t="s">
        <v>67</v>
      </c>
      <c r="Z144" t="s">
        <v>68</v>
      </c>
      <c r="AB144">
        <v>4</v>
      </c>
      <c r="AC144" t="s">
        <v>61</v>
      </c>
      <c r="AJ144" t="s">
        <v>69</v>
      </c>
      <c r="AY144" t="s">
        <v>101</v>
      </c>
      <c r="AZ144">
        <v>70421</v>
      </c>
      <c r="BA144" t="s">
        <v>102</v>
      </c>
      <c r="BB144" t="s">
        <v>103</v>
      </c>
      <c r="BC144">
        <v>1974</v>
      </c>
      <c r="BD144" t="s">
        <v>90</v>
      </c>
    </row>
    <row r="145" spans="1:56" x14ac:dyDescent="0.35">
      <c r="A145">
        <v>60571</v>
      </c>
      <c r="B145" t="s">
        <v>274</v>
      </c>
      <c r="C145" t="s">
        <v>91</v>
      </c>
      <c r="D145" t="s">
        <v>85</v>
      </c>
      <c r="E145">
        <v>99</v>
      </c>
      <c r="F145" t="s">
        <v>58</v>
      </c>
      <c r="G145" t="s">
        <v>59</v>
      </c>
      <c r="H145" t="s">
        <v>60</v>
      </c>
      <c r="J145" t="s">
        <v>86</v>
      </c>
      <c r="L145" t="s">
        <v>62</v>
      </c>
      <c r="M145" t="s">
        <v>63</v>
      </c>
      <c r="N145" t="s">
        <v>64</v>
      </c>
      <c r="P145" t="s">
        <v>65</v>
      </c>
      <c r="R145">
        <v>1.6E-2</v>
      </c>
      <c r="W145" t="s">
        <v>66</v>
      </c>
      <c r="X145" t="s">
        <v>67</v>
      </c>
      <c r="Y145" t="s">
        <v>67</v>
      </c>
      <c r="Z145" t="s">
        <v>68</v>
      </c>
      <c r="AB145">
        <v>4</v>
      </c>
      <c r="AC145" t="s">
        <v>61</v>
      </c>
      <c r="AJ145" t="s">
        <v>69</v>
      </c>
      <c r="AY145" t="s">
        <v>275</v>
      </c>
      <c r="AZ145">
        <v>16212</v>
      </c>
      <c r="BA145" t="s">
        <v>276</v>
      </c>
      <c r="BB145" t="s">
        <v>277</v>
      </c>
      <c r="BC145">
        <v>1957</v>
      </c>
      <c r="BD145" t="s">
        <v>90</v>
      </c>
    </row>
    <row r="146" spans="1:56" x14ac:dyDescent="0.35">
      <c r="A146">
        <v>60571</v>
      </c>
      <c r="B146" t="s">
        <v>274</v>
      </c>
      <c r="C146" t="s">
        <v>91</v>
      </c>
      <c r="D146" t="s">
        <v>85</v>
      </c>
      <c r="E146">
        <v>11.1</v>
      </c>
      <c r="F146" t="s">
        <v>58</v>
      </c>
      <c r="G146" t="s">
        <v>59</v>
      </c>
      <c r="H146" t="s">
        <v>60</v>
      </c>
      <c r="J146" t="s">
        <v>86</v>
      </c>
      <c r="L146" t="s">
        <v>62</v>
      </c>
      <c r="M146" t="s">
        <v>63</v>
      </c>
      <c r="N146" t="s">
        <v>64</v>
      </c>
      <c r="P146" t="s">
        <v>65</v>
      </c>
      <c r="R146">
        <v>2.5000000000000001E-2</v>
      </c>
      <c r="W146" t="s">
        <v>66</v>
      </c>
      <c r="X146" t="s">
        <v>67</v>
      </c>
      <c r="Y146" t="s">
        <v>67</v>
      </c>
      <c r="Z146" t="s">
        <v>68</v>
      </c>
      <c r="AB146">
        <v>4</v>
      </c>
      <c r="AC146" t="s">
        <v>61</v>
      </c>
      <c r="AJ146" t="s">
        <v>69</v>
      </c>
      <c r="AY146" t="s">
        <v>275</v>
      </c>
      <c r="AZ146">
        <v>16212</v>
      </c>
      <c r="BA146" t="s">
        <v>276</v>
      </c>
      <c r="BB146" t="s">
        <v>277</v>
      </c>
      <c r="BC146">
        <v>1957</v>
      </c>
      <c r="BD146" t="s">
        <v>90</v>
      </c>
    </row>
    <row r="147" spans="1:56" x14ac:dyDescent="0.35">
      <c r="A147">
        <v>60571</v>
      </c>
      <c r="B147" t="s">
        <v>274</v>
      </c>
      <c r="C147" t="s">
        <v>91</v>
      </c>
      <c r="D147" t="s">
        <v>85</v>
      </c>
      <c r="E147">
        <v>11.1</v>
      </c>
      <c r="F147" t="s">
        <v>58</v>
      </c>
      <c r="G147" t="s">
        <v>59</v>
      </c>
      <c r="H147" t="s">
        <v>60</v>
      </c>
      <c r="J147" t="s">
        <v>86</v>
      </c>
      <c r="L147" t="s">
        <v>62</v>
      </c>
      <c r="M147" t="s">
        <v>63</v>
      </c>
      <c r="N147" t="s">
        <v>64</v>
      </c>
      <c r="P147" t="s">
        <v>65</v>
      </c>
      <c r="R147">
        <v>3.5999999999999997E-2</v>
      </c>
      <c r="W147" t="s">
        <v>66</v>
      </c>
      <c r="X147" t="s">
        <v>67</v>
      </c>
      <c r="Y147" t="s">
        <v>67</v>
      </c>
      <c r="Z147" t="s">
        <v>68</v>
      </c>
      <c r="AB147">
        <v>4</v>
      </c>
      <c r="AC147" t="s">
        <v>61</v>
      </c>
      <c r="AJ147" t="s">
        <v>69</v>
      </c>
      <c r="AY147" t="s">
        <v>275</v>
      </c>
      <c r="AZ147">
        <v>16212</v>
      </c>
      <c r="BA147" t="s">
        <v>276</v>
      </c>
      <c r="BB147" t="s">
        <v>277</v>
      </c>
      <c r="BC147">
        <v>1957</v>
      </c>
      <c r="BD147" t="s">
        <v>90</v>
      </c>
    </row>
    <row r="148" spans="1:56" x14ac:dyDescent="0.35">
      <c r="A148">
        <v>60571</v>
      </c>
      <c r="B148" t="s">
        <v>274</v>
      </c>
      <c r="E148" t="s">
        <v>86</v>
      </c>
      <c r="F148" t="s">
        <v>58</v>
      </c>
      <c r="G148" t="s">
        <v>59</v>
      </c>
      <c r="H148" t="s">
        <v>60</v>
      </c>
      <c r="J148" t="s">
        <v>86</v>
      </c>
      <c r="M148" t="s">
        <v>63</v>
      </c>
      <c r="N148" t="s">
        <v>64</v>
      </c>
      <c r="P148" t="s">
        <v>100</v>
      </c>
      <c r="R148">
        <v>3.5999999999999997E-2</v>
      </c>
      <c r="W148" t="s">
        <v>66</v>
      </c>
      <c r="X148" t="s">
        <v>67</v>
      </c>
      <c r="Y148" t="s">
        <v>67</v>
      </c>
      <c r="Z148" t="s">
        <v>68</v>
      </c>
      <c r="AB148">
        <v>4</v>
      </c>
      <c r="AC148" t="s">
        <v>61</v>
      </c>
      <c r="AJ148" t="s">
        <v>69</v>
      </c>
      <c r="AY148" t="s">
        <v>275</v>
      </c>
      <c r="AZ148">
        <v>16212</v>
      </c>
      <c r="BA148" t="s">
        <v>276</v>
      </c>
      <c r="BB148" t="s">
        <v>277</v>
      </c>
      <c r="BC148">
        <v>1957</v>
      </c>
      <c r="BD148" t="s">
        <v>90</v>
      </c>
    </row>
    <row r="149" spans="1:56" x14ac:dyDescent="0.35">
      <c r="A149">
        <v>60571</v>
      </c>
      <c r="B149" t="s">
        <v>274</v>
      </c>
      <c r="E149" t="s">
        <v>86</v>
      </c>
      <c r="F149" t="s">
        <v>58</v>
      </c>
      <c r="G149" t="s">
        <v>59</v>
      </c>
      <c r="H149" t="s">
        <v>60</v>
      </c>
      <c r="J149" t="s">
        <v>86</v>
      </c>
      <c r="M149" t="s">
        <v>63</v>
      </c>
      <c r="N149" t="s">
        <v>64</v>
      </c>
      <c r="P149" t="s">
        <v>100</v>
      </c>
      <c r="R149">
        <v>3.2000000000000001E-2</v>
      </c>
      <c r="W149" t="s">
        <v>66</v>
      </c>
      <c r="X149" t="s">
        <v>67</v>
      </c>
      <c r="Y149" t="s">
        <v>67</v>
      </c>
      <c r="Z149" t="s">
        <v>68</v>
      </c>
      <c r="AB149">
        <v>4</v>
      </c>
      <c r="AC149" t="s">
        <v>61</v>
      </c>
      <c r="AJ149" t="s">
        <v>69</v>
      </c>
      <c r="AY149" t="s">
        <v>275</v>
      </c>
      <c r="AZ149">
        <v>16212</v>
      </c>
      <c r="BA149" t="s">
        <v>276</v>
      </c>
      <c r="BB149" t="s">
        <v>277</v>
      </c>
      <c r="BC149">
        <v>1957</v>
      </c>
      <c r="BD149" t="s">
        <v>90</v>
      </c>
    </row>
    <row r="150" spans="1:56" x14ac:dyDescent="0.35">
      <c r="A150">
        <v>60571</v>
      </c>
      <c r="B150" t="s">
        <v>274</v>
      </c>
      <c r="E150" t="s">
        <v>86</v>
      </c>
      <c r="F150" t="s">
        <v>58</v>
      </c>
      <c r="G150" t="s">
        <v>59</v>
      </c>
      <c r="H150" t="s">
        <v>60</v>
      </c>
      <c r="J150" t="s">
        <v>86</v>
      </c>
      <c r="M150" t="s">
        <v>63</v>
      </c>
      <c r="N150" t="s">
        <v>64</v>
      </c>
      <c r="P150" t="s">
        <v>65</v>
      </c>
      <c r="R150">
        <v>4.2000000000000003E-2</v>
      </c>
      <c r="W150" t="s">
        <v>66</v>
      </c>
      <c r="X150" t="s">
        <v>67</v>
      </c>
      <c r="Y150" t="s">
        <v>67</v>
      </c>
      <c r="Z150" t="s">
        <v>68</v>
      </c>
      <c r="AB150">
        <v>4</v>
      </c>
      <c r="AC150" t="s">
        <v>61</v>
      </c>
      <c r="AJ150" t="s">
        <v>69</v>
      </c>
      <c r="AY150" t="s">
        <v>275</v>
      </c>
      <c r="AZ150">
        <v>16212</v>
      </c>
      <c r="BA150" t="s">
        <v>276</v>
      </c>
      <c r="BB150" t="s">
        <v>277</v>
      </c>
      <c r="BC150">
        <v>1957</v>
      </c>
      <c r="BD150" t="s">
        <v>90</v>
      </c>
    </row>
    <row r="151" spans="1:56" x14ac:dyDescent="0.35">
      <c r="A151">
        <v>60571</v>
      </c>
      <c r="B151" t="s">
        <v>274</v>
      </c>
      <c r="C151" t="s">
        <v>91</v>
      </c>
      <c r="D151" t="s">
        <v>85</v>
      </c>
      <c r="E151">
        <v>90</v>
      </c>
      <c r="F151" t="s">
        <v>58</v>
      </c>
      <c r="G151" t="s">
        <v>59</v>
      </c>
      <c r="H151" t="s">
        <v>60</v>
      </c>
      <c r="J151" t="s">
        <v>86</v>
      </c>
      <c r="L151" t="s">
        <v>62</v>
      </c>
      <c r="M151" t="s">
        <v>63</v>
      </c>
      <c r="N151" t="s">
        <v>64</v>
      </c>
      <c r="P151" t="s">
        <v>65</v>
      </c>
      <c r="R151">
        <v>1.6E-2</v>
      </c>
      <c r="W151" t="s">
        <v>66</v>
      </c>
      <c r="X151" t="s">
        <v>67</v>
      </c>
      <c r="Y151" t="s">
        <v>67</v>
      </c>
      <c r="Z151" t="s">
        <v>68</v>
      </c>
      <c r="AB151">
        <v>4</v>
      </c>
      <c r="AC151" t="s">
        <v>61</v>
      </c>
      <c r="AJ151" t="s">
        <v>69</v>
      </c>
      <c r="AQ151" t="s">
        <v>69</v>
      </c>
      <c r="AY151" t="s">
        <v>87</v>
      </c>
      <c r="AZ151">
        <v>878</v>
      </c>
      <c r="BA151" t="s">
        <v>88</v>
      </c>
      <c r="BB151" t="s">
        <v>89</v>
      </c>
      <c r="BC151">
        <v>1959</v>
      </c>
      <c r="BD151" t="s">
        <v>278</v>
      </c>
    </row>
    <row r="152" spans="1:56" x14ac:dyDescent="0.35">
      <c r="A152">
        <v>60571</v>
      </c>
      <c r="B152" t="s">
        <v>274</v>
      </c>
      <c r="E152">
        <v>85</v>
      </c>
      <c r="F152" t="s">
        <v>58</v>
      </c>
      <c r="G152" t="s">
        <v>59</v>
      </c>
      <c r="H152" t="s">
        <v>60</v>
      </c>
      <c r="J152" t="s">
        <v>86</v>
      </c>
      <c r="L152" t="s">
        <v>62</v>
      </c>
      <c r="M152" t="s">
        <v>63</v>
      </c>
      <c r="N152" t="s">
        <v>64</v>
      </c>
      <c r="P152" t="s">
        <v>65</v>
      </c>
      <c r="R152">
        <v>3.8E-3</v>
      </c>
      <c r="T152">
        <v>3.0999999999999999E-3</v>
      </c>
      <c r="V152">
        <v>4.5999999999999999E-3</v>
      </c>
      <c r="W152" t="s">
        <v>66</v>
      </c>
      <c r="X152" t="s">
        <v>67</v>
      </c>
      <c r="Y152" t="s">
        <v>67</v>
      </c>
      <c r="Z152" t="s">
        <v>68</v>
      </c>
      <c r="AB152">
        <v>4</v>
      </c>
      <c r="AC152" t="s">
        <v>61</v>
      </c>
      <c r="AJ152" t="s">
        <v>69</v>
      </c>
      <c r="AY152" t="s">
        <v>96</v>
      </c>
      <c r="AZ152">
        <v>6797</v>
      </c>
      <c r="BA152" t="s">
        <v>97</v>
      </c>
      <c r="BB152" t="s">
        <v>98</v>
      </c>
      <c r="BC152">
        <v>1986</v>
      </c>
      <c r="BD152" t="s">
        <v>90</v>
      </c>
    </row>
    <row r="153" spans="1:56" x14ac:dyDescent="0.35">
      <c r="A153">
        <v>60571</v>
      </c>
      <c r="B153" t="s">
        <v>274</v>
      </c>
      <c r="C153" t="s">
        <v>91</v>
      </c>
      <c r="D153" t="s">
        <v>85</v>
      </c>
      <c r="E153">
        <v>90</v>
      </c>
      <c r="F153" t="s">
        <v>58</v>
      </c>
      <c r="G153" t="s">
        <v>59</v>
      </c>
      <c r="H153" t="s">
        <v>60</v>
      </c>
      <c r="J153" t="s">
        <v>86</v>
      </c>
      <c r="L153" t="s">
        <v>62</v>
      </c>
      <c r="M153" t="s">
        <v>63</v>
      </c>
      <c r="N153" t="s">
        <v>64</v>
      </c>
      <c r="P153" t="s">
        <v>65</v>
      </c>
      <c r="R153">
        <v>1.6E-2</v>
      </c>
      <c r="W153" t="s">
        <v>66</v>
      </c>
      <c r="X153" t="s">
        <v>67</v>
      </c>
      <c r="Y153" t="s">
        <v>67</v>
      </c>
      <c r="Z153" t="s">
        <v>68</v>
      </c>
      <c r="AB153">
        <v>4</v>
      </c>
      <c r="AC153" t="s">
        <v>61</v>
      </c>
      <c r="AJ153" t="s">
        <v>69</v>
      </c>
      <c r="AQ153" t="s">
        <v>69</v>
      </c>
      <c r="AY153" t="s">
        <v>87</v>
      </c>
      <c r="AZ153">
        <v>878</v>
      </c>
      <c r="BA153" t="s">
        <v>88</v>
      </c>
      <c r="BB153" t="s">
        <v>89</v>
      </c>
      <c r="BC153">
        <v>1959</v>
      </c>
      <c r="BD153" t="s">
        <v>278</v>
      </c>
    </row>
    <row r="154" spans="1:56" x14ac:dyDescent="0.35">
      <c r="A154">
        <v>61734</v>
      </c>
      <c r="B154" t="s">
        <v>279</v>
      </c>
      <c r="D154" t="s">
        <v>85</v>
      </c>
      <c r="E154" t="s">
        <v>86</v>
      </c>
      <c r="F154" t="s">
        <v>58</v>
      </c>
      <c r="G154" t="s">
        <v>59</v>
      </c>
      <c r="H154" t="s">
        <v>60</v>
      </c>
      <c r="I154" t="s">
        <v>188</v>
      </c>
      <c r="J154" t="s">
        <v>86</v>
      </c>
      <c r="K154" t="s">
        <v>184</v>
      </c>
      <c r="L154" t="s">
        <v>62</v>
      </c>
      <c r="M154" t="s">
        <v>63</v>
      </c>
      <c r="N154" t="s">
        <v>64</v>
      </c>
      <c r="P154" t="s">
        <v>100</v>
      </c>
      <c r="R154">
        <v>15</v>
      </c>
      <c r="T154">
        <v>12</v>
      </c>
      <c r="V154">
        <v>17</v>
      </c>
      <c r="W154" t="s">
        <v>66</v>
      </c>
      <c r="X154" t="s">
        <v>67</v>
      </c>
      <c r="Y154" t="s">
        <v>67</v>
      </c>
      <c r="Z154" t="s">
        <v>68</v>
      </c>
      <c r="AB154">
        <v>4</v>
      </c>
      <c r="AC154" t="s">
        <v>61</v>
      </c>
      <c r="AJ154" t="s">
        <v>69</v>
      </c>
      <c r="AY154" t="s">
        <v>280</v>
      </c>
      <c r="AZ154">
        <v>17225</v>
      </c>
      <c r="BA154" t="s">
        <v>281</v>
      </c>
      <c r="BB154" t="s">
        <v>282</v>
      </c>
      <c r="BC154">
        <v>1996</v>
      </c>
      <c r="BD154" t="s">
        <v>283</v>
      </c>
    </row>
    <row r="155" spans="1:56" x14ac:dyDescent="0.35">
      <c r="A155">
        <v>61734</v>
      </c>
      <c r="B155" t="s">
        <v>279</v>
      </c>
      <c r="D155" t="s">
        <v>85</v>
      </c>
      <c r="E155" t="s">
        <v>86</v>
      </c>
      <c r="F155" t="s">
        <v>58</v>
      </c>
      <c r="G155" t="s">
        <v>59</v>
      </c>
      <c r="H155" t="s">
        <v>60</v>
      </c>
      <c r="I155" t="s">
        <v>188</v>
      </c>
      <c r="J155" t="s">
        <v>86</v>
      </c>
      <c r="K155" t="s">
        <v>184</v>
      </c>
      <c r="L155" t="s">
        <v>62</v>
      </c>
      <c r="M155" t="s">
        <v>63</v>
      </c>
      <c r="N155" t="s">
        <v>64</v>
      </c>
      <c r="P155" t="s">
        <v>100</v>
      </c>
      <c r="R155">
        <v>45</v>
      </c>
      <c r="T155">
        <v>40</v>
      </c>
      <c r="V155">
        <v>50</v>
      </c>
      <c r="W155" t="s">
        <v>66</v>
      </c>
      <c r="X155" t="s">
        <v>67</v>
      </c>
      <c r="Y155" t="s">
        <v>67</v>
      </c>
      <c r="Z155" t="s">
        <v>68</v>
      </c>
      <c r="AB155">
        <v>4</v>
      </c>
      <c r="AC155" t="s">
        <v>61</v>
      </c>
      <c r="AJ155" t="s">
        <v>69</v>
      </c>
      <c r="AY155" t="s">
        <v>280</v>
      </c>
      <c r="AZ155">
        <v>17225</v>
      </c>
      <c r="BA155" t="s">
        <v>281</v>
      </c>
      <c r="BB155" t="s">
        <v>282</v>
      </c>
      <c r="BC155">
        <v>1996</v>
      </c>
      <c r="BD155" t="s">
        <v>283</v>
      </c>
    </row>
    <row r="156" spans="1:56" x14ac:dyDescent="0.35">
      <c r="A156">
        <v>61825</v>
      </c>
      <c r="B156" t="s">
        <v>284</v>
      </c>
      <c r="E156">
        <v>100</v>
      </c>
      <c r="F156" t="s">
        <v>58</v>
      </c>
      <c r="G156" t="s">
        <v>59</v>
      </c>
      <c r="H156" t="s">
        <v>60</v>
      </c>
      <c r="J156" t="s">
        <v>86</v>
      </c>
      <c r="L156" t="s">
        <v>62</v>
      </c>
      <c r="M156" t="s">
        <v>63</v>
      </c>
      <c r="N156" t="s">
        <v>64</v>
      </c>
      <c r="P156" t="s">
        <v>65</v>
      </c>
      <c r="Q156" t="s">
        <v>153</v>
      </c>
      <c r="R156">
        <v>100</v>
      </c>
      <c r="W156" t="s">
        <v>66</v>
      </c>
      <c r="X156" t="s">
        <v>67</v>
      </c>
      <c r="Y156" t="s">
        <v>67</v>
      </c>
      <c r="Z156" t="s">
        <v>68</v>
      </c>
      <c r="AB156">
        <v>4</v>
      </c>
      <c r="AC156" t="s">
        <v>61</v>
      </c>
      <c r="AJ156" t="s">
        <v>69</v>
      </c>
      <c r="AY156" t="s">
        <v>96</v>
      </c>
      <c r="AZ156">
        <v>6797</v>
      </c>
      <c r="BA156" t="s">
        <v>97</v>
      </c>
      <c r="BB156" t="s">
        <v>98</v>
      </c>
      <c r="BC156">
        <v>1986</v>
      </c>
      <c r="BD156" t="s">
        <v>90</v>
      </c>
    </row>
    <row r="157" spans="1:56" x14ac:dyDescent="0.35">
      <c r="A157">
        <v>62533</v>
      </c>
      <c r="B157" t="s">
        <v>285</v>
      </c>
      <c r="D157" t="s">
        <v>57</v>
      </c>
      <c r="E157" t="s">
        <v>79</v>
      </c>
      <c r="F157" t="s">
        <v>58</v>
      </c>
      <c r="G157" t="s">
        <v>59</v>
      </c>
      <c r="H157" t="s">
        <v>60</v>
      </c>
      <c r="J157">
        <v>33</v>
      </c>
      <c r="K157" t="s">
        <v>61</v>
      </c>
      <c r="L157" t="s">
        <v>74</v>
      </c>
      <c r="M157" t="s">
        <v>63</v>
      </c>
      <c r="N157" t="s">
        <v>64</v>
      </c>
      <c r="P157" t="s">
        <v>65</v>
      </c>
      <c r="R157">
        <v>134</v>
      </c>
      <c r="T157">
        <v>122</v>
      </c>
      <c r="V157">
        <v>148</v>
      </c>
      <c r="W157" t="s">
        <v>66</v>
      </c>
      <c r="X157" t="s">
        <v>67</v>
      </c>
      <c r="Y157" t="s">
        <v>67</v>
      </c>
      <c r="Z157" t="s">
        <v>68</v>
      </c>
      <c r="AB157">
        <v>4</v>
      </c>
      <c r="AC157" t="s">
        <v>61</v>
      </c>
      <c r="AJ157" t="s">
        <v>69</v>
      </c>
      <c r="AY157" t="s">
        <v>286</v>
      </c>
      <c r="AZ157">
        <v>12448</v>
      </c>
      <c r="BA157" t="s">
        <v>287</v>
      </c>
      <c r="BB157" t="s">
        <v>288</v>
      </c>
      <c r="BC157">
        <v>1984</v>
      </c>
      <c r="BD157" t="s">
        <v>73</v>
      </c>
    </row>
    <row r="158" spans="1:56" x14ac:dyDescent="0.35">
      <c r="A158">
        <v>62533</v>
      </c>
      <c r="B158" t="s">
        <v>285</v>
      </c>
      <c r="D158" t="s">
        <v>57</v>
      </c>
      <c r="E158" t="s">
        <v>86</v>
      </c>
      <c r="F158" t="s">
        <v>58</v>
      </c>
      <c r="G158" t="s">
        <v>59</v>
      </c>
      <c r="H158" t="s">
        <v>60</v>
      </c>
      <c r="J158" t="s">
        <v>86</v>
      </c>
      <c r="L158" t="s">
        <v>74</v>
      </c>
      <c r="M158" t="s">
        <v>63</v>
      </c>
      <c r="N158" t="s">
        <v>64</v>
      </c>
      <c r="P158" t="s">
        <v>65</v>
      </c>
      <c r="R158">
        <v>77.900000000000006</v>
      </c>
      <c r="T158">
        <v>70.599999999999994</v>
      </c>
      <c r="V158">
        <v>86.1</v>
      </c>
      <c r="W158" t="s">
        <v>66</v>
      </c>
      <c r="X158" t="s">
        <v>67</v>
      </c>
      <c r="Y158" t="s">
        <v>67</v>
      </c>
      <c r="Z158" t="s">
        <v>68</v>
      </c>
      <c r="AB158">
        <v>4</v>
      </c>
      <c r="AC158" t="s">
        <v>61</v>
      </c>
      <c r="AJ158" t="s">
        <v>69</v>
      </c>
      <c r="AY158" t="s">
        <v>144</v>
      </c>
      <c r="AZ158">
        <v>12665</v>
      </c>
      <c r="BA158" t="s">
        <v>145</v>
      </c>
      <c r="BB158" t="s">
        <v>146</v>
      </c>
      <c r="BC158">
        <v>1987</v>
      </c>
      <c r="BD158" t="s">
        <v>90</v>
      </c>
    </row>
    <row r="159" spans="1:56" x14ac:dyDescent="0.35">
      <c r="A159">
        <v>62533</v>
      </c>
      <c r="B159" t="s">
        <v>285</v>
      </c>
      <c r="D159" t="s">
        <v>57</v>
      </c>
      <c r="E159" t="s">
        <v>79</v>
      </c>
      <c r="F159" t="s">
        <v>58</v>
      </c>
      <c r="G159" t="s">
        <v>59</v>
      </c>
      <c r="H159" t="s">
        <v>60</v>
      </c>
      <c r="I159" t="s">
        <v>188</v>
      </c>
      <c r="J159" t="s">
        <v>289</v>
      </c>
      <c r="K159" t="s">
        <v>184</v>
      </c>
      <c r="L159" t="s">
        <v>74</v>
      </c>
      <c r="M159" t="s">
        <v>63</v>
      </c>
      <c r="N159" t="s">
        <v>64</v>
      </c>
      <c r="P159" t="s">
        <v>65</v>
      </c>
      <c r="R159">
        <v>68.63</v>
      </c>
      <c r="T159">
        <v>59.42</v>
      </c>
      <c r="V159">
        <v>79.260000000000005</v>
      </c>
      <c r="W159" t="s">
        <v>66</v>
      </c>
      <c r="X159" t="s">
        <v>67</v>
      </c>
      <c r="Y159" t="s">
        <v>290</v>
      </c>
      <c r="Z159" t="s">
        <v>68</v>
      </c>
      <c r="AB159">
        <v>4</v>
      </c>
      <c r="AC159" t="s">
        <v>61</v>
      </c>
      <c r="AJ159" t="s">
        <v>69</v>
      </c>
      <c r="AY159" t="s">
        <v>291</v>
      </c>
      <c r="AZ159">
        <v>3910</v>
      </c>
      <c r="BA159" t="s">
        <v>292</v>
      </c>
      <c r="BB159" t="s">
        <v>293</v>
      </c>
      <c r="BC159">
        <v>1992</v>
      </c>
      <c r="BD159" t="s">
        <v>185</v>
      </c>
    </row>
    <row r="160" spans="1:56" x14ac:dyDescent="0.35">
      <c r="A160">
        <v>62533</v>
      </c>
      <c r="B160" t="s">
        <v>285</v>
      </c>
      <c r="D160" t="s">
        <v>57</v>
      </c>
      <c r="E160" t="s">
        <v>79</v>
      </c>
      <c r="F160" t="s">
        <v>58</v>
      </c>
      <c r="G160" t="s">
        <v>59</v>
      </c>
      <c r="H160" t="s">
        <v>60</v>
      </c>
      <c r="I160" t="s">
        <v>129</v>
      </c>
      <c r="J160" t="s">
        <v>86</v>
      </c>
      <c r="K160" t="s">
        <v>61</v>
      </c>
      <c r="L160" t="s">
        <v>74</v>
      </c>
      <c r="M160" t="s">
        <v>63</v>
      </c>
      <c r="N160" t="s">
        <v>64</v>
      </c>
      <c r="P160" t="s">
        <v>65</v>
      </c>
      <c r="R160">
        <v>134</v>
      </c>
      <c r="T160">
        <v>122</v>
      </c>
      <c r="V160">
        <v>148</v>
      </c>
      <c r="W160" t="s">
        <v>66</v>
      </c>
      <c r="X160" t="s">
        <v>67</v>
      </c>
      <c r="Y160" t="s">
        <v>290</v>
      </c>
      <c r="Z160" t="s">
        <v>68</v>
      </c>
      <c r="AB160">
        <v>4</v>
      </c>
      <c r="AC160" t="s">
        <v>61</v>
      </c>
      <c r="AJ160" t="s">
        <v>69</v>
      </c>
      <c r="AY160" t="s">
        <v>291</v>
      </c>
      <c r="AZ160">
        <v>3910</v>
      </c>
      <c r="BA160" t="s">
        <v>292</v>
      </c>
      <c r="BB160" t="s">
        <v>293</v>
      </c>
      <c r="BC160">
        <v>1992</v>
      </c>
      <c r="BD160" t="s">
        <v>294</v>
      </c>
    </row>
    <row r="161" spans="1:56" x14ac:dyDescent="0.35">
      <c r="A161">
        <v>62533</v>
      </c>
      <c r="B161" t="s">
        <v>285</v>
      </c>
      <c r="D161" t="s">
        <v>85</v>
      </c>
      <c r="E161">
        <v>99</v>
      </c>
      <c r="F161" t="s">
        <v>58</v>
      </c>
      <c r="G161" t="s">
        <v>59</v>
      </c>
      <c r="H161" t="s">
        <v>60</v>
      </c>
      <c r="J161">
        <v>30</v>
      </c>
      <c r="K161" t="s">
        <v>61</v>
      </c>
      <c r="M161" t="s">
        <v>63</v>
      </c>
      <c r="N161" t="s">
        <v>64</v>
      </c>
      <c r="P161" t="s">
        <v>65</v>
      </c>
      <c r="R161">
        <v>114</v>
      </c>
      <c r="T161">
        <v>102</v>
      </c>
      <c r="V161">
        <v>127</v>
      </c>
      <c r="W161" t="s">
        <v>66</v>
      </c>
      <c r="X161" t="s">
        <v>67</v>
      </c>
      <c r="Y161" t="s">
        <v>67</v>
      </c>
      <c r="Z161" t="s">
        <v>68</v>
      </c>
      <c r="AB161">
        <v>4</v>
      </c>
      <c r="AC161" t="s">
        <v>61</v>
      </c>
      <c r="AJ161" t="s">
        <v>69</v>
      </c>
      <c r="AY161" t="s">
        <v>295</v>
      </c>
      <c r="AZ161">
        <v>57532</v>
      </c>
      <c r="BA161" t="s">
        <v>296</v>
      </c>
      <c r="BB161" t="s">
        <v>297</v>
      </c>
      <c r="BC161">
        <v>1993</v>
      </c>
      <c r="BD161" t="s">
        <v>73</v>
      </c>
    </row>
    <row r="162" spans="1:56" x14ac:dyDescent="0.35">
      <c r="A162">
        <v>62533</v>
      </c>
      <c r="B162" t="s">
        <v>285</v>
      </c>
      <c r="D162" t="s">
        <v>57</v>
      </c>
      <c r="E162" t="s">
        <v>128</v>
      </c>
      <c r="F162" t="s">
        <v>58</v>
      </c>
      <c r="G162" t="s">
        <v>59</v>
      </c>
      <c r="H162" t="s">
        <v>60</v>
      </c>
      <c r="I162" t="s">
        <v>129</v>
      </c>
      <c r="J162" t="s">
        <v>86</v>
      </c>
      <c r="K162" t="s">
        <v>61</v>
      </c>
      <c r="L162" t="s">
        <v>74</v>
      </c>
      <c r="M162" t="s">
        <v>63</v>
      </c>
      <c r="N162" t="s">
        <v>64</v>
      </c>
      <c r="P162" t="s">
        <v>65</v>
      </c>
      <c r="R162">
        <v>94.7</v>
      </c>
      <c r="W162" t="s">
        <v>66</v>
      </c>
      <c r="X162" t="s">
        <v>67</v>
      </c>
      <c r="Y162" t="s">
        <v>67</v>
      </c>
      <c r="Z162" t="s">
        <v>68</v>
      </c>
      <c r="AB162">
        <v>4</v>
      </c>
      <c r="AC162" t="s">
        <v>61</v>
      </c>
      <c r="AJ162" t="s">
        <v>69</v>
      </c>
      <c r="AY162" t="s">
        <v>134</v>
      </c>
      <c r="AZ162">
        <v>15031</v>
      </c>
      <c r="BA162" t="s">
        <v>135</v>
      </c>
      <c r="BB162" t="s">
        <v>136</v>
      </c>
      <c r="BC162">
        <v>1995</v>
      </c>
      <c r="BD162" t="s">
        <v>133</v>
      </c>
    </row>
    <row r="163" spans="1:56" x14ac:dyDescent="0.35">
      <c r="A163">
        <v>62533</v>
      </c>
      <c r="B163" t="s">
        <v>285</v>
      </c>
      <c r="D163" t="s">
        <v>57</v>
      </c>
      <c r="E163">
        <v>99</v>
      </c>
      <c r="F163" t="s">
        <v>58</v>
      </c>
      <c r="G163" t="s">
        <v>59</v>
      </c>
      <c r="H163" t="s">
        <v>60</v>
      </c>
      <c r="J163">
        <v>30</v>
      </c>
      <c r="K163" t="s">
        <v>61</v>
      </c>
      <c r="L163" t="s">
        <v>74</v>
      </c>
      <c r="M163" t="s">
        <v>63</v>
      </c>
      <c r="N163" t="s">
        <v>64</v>
      </c>
      <c r="P163" t="s">
        <v>65</v>
      </c>
      <c r="R163">
        <v>114</v>
      </c>
      <c r="T163">
        <v>102</v>
      </c>
      <c r="V163">
        <v>127</v>
      </c>
      <c r="W163" t="s">
        <v>66</v>
      </c>
      <c r="X163" t="s">
        <v>67</v>
      </c>
      <c r="Y163" t="s">
        <v>67</v>
      </c>
      <c r="Z163" t="s">
        <v>68</v>
      </c>
      <c r="AB163">
        <v>4</v>
      </c>
      <c r="AC163" t="s">
        <v>61</v>
      </c>
      <c r="AJ163" t="s">
        <v>69</v>
      </c>
      <c r="AY163" t="s">
        <v>75</v>
      </c>
      <c r="AZ163">
        <v>3217</v>
      </c>
      <c r="BA163" t="s">
        <v>76</v>
      </c>
      <c r="BB163" t="s">
        <v>77</v>
      </c>
      <c r="BC163">
        <v>1990</v>
      </c>
      <c r="BD163" t="s">
        <v>73</v>
      </c>
    </row>
    <row r="164" spans="1:56" x14ac:dyDescent="0.35">
      <c r="A164">
        <v>62533</v>
      </c>
      <c r="B164" t="s">
        <v>285</v>
      </c>
      <c r="C164" t="s">
        <v>195</v>
      </c>
      <c r="D164" t="s">
        <v>85</v>
      </c>
      <c r="E164" t="s">
        <v>86</v>
      </c>
      <c r="F164" t="s">
        <v>58</v>
      </c>
      <c r="G164" t="s">
        <v>59</v>
      </c>
      <c r="H164" t="s">
        <v>60</v>
      </c>
      <c r="I164" t="s">
        <v>129</v>
      </c>
      <c r="J164" t="s">
        <v>86</v>
      </c>
      <c r="L164" t="s">
        <v>62</v>
      </c>
      <c r="M164" t="s">
        <v>63</v>
      </c>
      <c r="N164" t="s">
        <v>64</v>
      </c>
      <c r="O164">
        <v>5</v>
      </c>
      <c r="P164" t="s">
        <v>65</v>
      </c>
      <c r="R164">
        <v>32</v>
      </c>
      <c r="W164" t="s">
        <v>66</v>
      </c>
      <c r="X164" t="s">
        <v>67</v>
      </c>
      <c r="Y164" t="s">
        <v>67</v>
      </c>
      <c r="Z164" t="s">
        <v>68</v>
      </c>
      <c r="AB164">
        <v>4</v>
      </c>
      <c r="AC164" t="s">
        <v>61</v>
      </c>
      <c r="AJ164" t="s">
        <v>69</v>
      </c>
      <c r="AY164" t="s">
        <v>298</v>
      </c>
      <c r="AZ164">
        <v>11951</v>
      </c>
      <c r="BA164" t="s">
        <v>299</v>
      </c>
      <c r="BB164" t="s">
        <v>300</v>
      </c>
      <c r="BC164">
        <v>1986</v>
      </c>
      <c r="BD164" t="s">
        <v>90</v>
      </c>
    </row>
    <row r="165" spans="1:56" x14ac:dyDescent="0.35">
      <c r="A165">
        <v>62533</v>
      </c>
      <c r="B165" t="s">
        <v>285</v>
      </c>
      <c r="D165" t="s">
        <v>57</v>
      </c>
      <c r="E165" t="s">
        <v>301</v>
      </c>
      <c r="F165" t="s">
        <v>58</v>
      </c>
      <c r="G165" t="s">
        <v>59</v>
      </c>
      <c r="H165" t="s">
        <v>60</v>
      </c>
      <c r="J165" t="s">
        <v>86</v>
      </c>
      <c r="K165" t="s">
        <v>61</v>
      </c>
      <c r="L165" t="s">
        <v>74</v>
      </c>
      <c r="M165" t="s">
        <v>63</v>
      </c>
      <c r="N165" t="s">
        <v>64</v>
      </c>
      <c r="P165" t="s">
        <v>65</v>
      </c>
      <c r="R165">
        <v>75.5</v>
      </c>
      <c r="T165">
        <v>68.400000000000006</v>
      </c>
      <c r="V165">
        <v>83.4</v>
      </c>
      <c r="W165" t="s">
        <v>66</v>
      </c>
      <c r="X165" t="s">
        <v>67</v>
      </c>
      <c r="Y165" t="s">
        <v>67</v>
      </c>
      <c r="Z165" t="s">
        <v>68</v>
      </c>
      <c r="AB165">
        <v>4</v>
      </c>
      <c r="AC165" t="s">
        <v>61</v>
      </c>
      <c r="AJ165" t="s">
        <v>69</v>
      </c>
      <c r="AY165" t="s">
        <v>75</v>
      </c>
      <c r="AZ165">
        <v>3217</v>
      </c>
      <c r="BA165" t="s">
        <v>76</v>
      </c>
      <c r="BB165" t="s">
        <v>77</v>
      </c>
      <c r="BC165">
        <v>1990</v>
      </c>
      <c r="BD165" t="s">
        <v>302</v>
      </c>
    </row>
    <row r="166" spans="1:56" x14ac:dyDescent="0.35">
      <c r="A166">
        <v>62555</v>
      </c>
      <c r="B166" t="s">
        <v>303</v>
      </c>
      <c r="D166" t="s">
        <v>57</v>
      </c>
      <c r="E166" t="s">
        <v>86</v>
      </c>
      <c r="F166" t="s">
        <v>58</v>
      </c>
      <c r="G166" t="s">
        <v>59</v>
      </c>
      <c r="H166" t="s">
        <v>60</v>
      </c>
      <c r="J166" t="s">
        <v>86</v>
      </c>
      <c r="L166" t="s">
        <v>62</v>
      </c>
      <c r="M166" t="s">
        <v>63</v>
      </c>
      <c r="N166" t="s">
        <v>64</v>
      </c>
      <c r="P166" t="s">
        <v>65</v>
      </c>
      <c r="R166">
        <v>270</v>
      </c>
      <c r="W166" t="s">
        <v>66</v>
      </c>
      <c r="X166" t="s">
        <v>67</v>
      </c>
      <c r="Y166" t="s">
        <v>67</v>
      </c>
      <c r="Z166" t="s">
        <v>68</v>
      </c>
      <c r="AB166">
        <v>4</v>
      </c>
      <c r="AC166" t="s">
        <v>61</v>
      </c>
      <c r="AJ166" t="s">
        <v>69</v>
      </c>
      <c r="AY166" t="s">
        <v>304</v>
      </c>
      <c r="AZ166">
        <v>2966</v>
      </c>
      <c r="BA166" t="s">
        <v>305</v>
      </c>
      <c r="BB166" t="s">
        <v>306</v>
      </c>
      <c r="BC166">
        <v>1981</v>
      </c>
      <c r="BD166" t="s">
        <v>90</v>
      </c>
    </row>
    <row r="167" spans="1:56" x14ac:dyDescent="0.35">
      <c r="A167">
        <v>62566</v>
      </c>
      <c r="B167" t="s">
        <v>307</v>
      </c>
      <c r="D167" t="s">
        <v>85</v>
      </c>
      <c r="E167" t="s">
        <v>86</v>
      </c>
      <c r="F167" t="s">
        <v>58</v>
      </c>
      <c r="G167" t="s">
        <v>59</v>
      </c>
      <c r="H167" t="s">
        <v>60</v>
      </c>
      <c r="J167" t="s">
        <v>86</v>
      </c>
      <c r="L167" t="s">
        <v>62</v>
      </c>
      <c r="M167" t="s">
        <v>63</v>
      </c>
      <c r="N167" t="s">
        <v>64</v>
      </c>
      <c r="O167">
        <v>4</v>
      </c>
      <c r="P167" t="s">
        <v>100</v>
      </c>
      <c r="Q167" t="s">
        <v>153</v>
      </c>
      <c r="R167">
        <v>100</v>
      </c>
      <c r="W167" t="s">
        <v>66</v>
      </c>
      <c r="X167" t="s">
        <v>67</v>
      </c>
      <c r="Y167" t="s">
        <v>67</v>
      </c>
      <c r="Z167" t="s">
        <v>68</v>
      </c>
      <c r="AB167">
        <v>4</v>
      </c>
      <c r="AC167" t="s">
        <v>61</v>
      </c>
      <c r="AJ167" t="s">
        <v>69</v>
      </c>
      <c r="AY167" t="s">
        <v>173</v>
      </c>
      <c r="AZ167">
        <v>167113</v>
      </c>
      <c r="BA167" t="s">
        <v>174</v>
      </c>
      <c r="BB167" t="s">
        <v>175</v>
      </c>
      <c r="BC167">
        <v>1974</v>
      </c>
      <c r="BD167" t="s">
        <v>90</v>
      </c>
    </row>
    <row r="168" spans="1:56" x14ac:dyDescent="0.35">
      <c r="A168">
        <v>62737</v>
      </c>
      <c r="B168" t="s">
        <v>308</v>
      </c>
      <c r="C168" t="s">
        <v>91</v>
      </c>
      <c r="D168" t="s">
        <v>85</v>
      </c>
      <c r="E168">
        <v>93</v>
      </c>
      <c r="F168" t="s">
        <v>58</v>
      </c>
      <c r="G168" t="s">
        <v>59</v>
      </c>
      <c r="H168" t="s">
        <v>60</v>
      </c>
      <c r="J168" t="s">
        <v>86</v>
      </c>
      <c r="L168" t="s">
        <v>62</v>
      </c>
      <c r="M168" t="s">
        <v>63</v>
      </c>
      <c r="N168" t="s">
        <v>64</v>
      </c>
      <c r="P168" t="s">
        <v>65</v>
      </c>
      <c r="R168">
        <v>4</v>
      </c>
      <c r="T168">
        <v>3.2</v>
      </c>
      <c r="V168">
        <v>5</v>
      </c>
      <c r="W168" t="s">
        <v>66</v>
      </c>
      <c r="X168" t="s">
        <v>67</v>
      </c>
      <c r="Y168" t="s">
        <v>67</v>
      </c>
      <c r="Z168" t="s">
        <v>68</v>
      </c>
      <c r="AB168">
        <v>4</v>
      </c>
      <c r="AC168" t="s">
        <v>61</v>
      </c>
      <c r="AJ168" t="s">
        <v>69</v>
      </c>
      <c r="AY168" t="s">
        <v>168</v>
      </c>
      <c r="AZ168">
        <v>8096</v>
      </c>
      <c r="BA168" t="s">
        <v>169</v>
      </c>
      <c r="BB168" t="s">
        <v>170</v>
      </c>
      <c r="BC168">
        <v>1966</v>
      </c>
      <c r="BD168" t="s">
        <v>90</v>
      </c>
    </row>
    <row r="169" spans="1:56" x14ac:dyDescent="0.35">
      <c r="A169">
        <v>62737</v>
      </c>
      <c r="B169" t="s">
        <v>308</v>
      </c>
      <c r="D169" t="s">
        <v>57</v>
      </c>
      <c r="E169">
        <v>98</v>
      </c>
      <c r="F169" t="s">
        <v>58</v>
      </c>
      <c r="G169" t="s">
        <v>59</v>
      </c>
      <c r="H169" t="s">
        <v>60</v>
      </c>
      <c r="J169">
        <v>30</v>
      </c>
      <c r="K169" t="s">
        <v>61</v>
      </c>
      <c r="L169" t="s">
        <v>74</v>
      </c>
      <c r="M169" t="s">
        <v>63</v>
      </c>
      <c r="N169" t="s">
        <v>64</v>
      </c>
      <c r="P169" t="s">
        <v>65</v>
      </c>
      <c r="R169">
        <v>3.09</v>
      </c>
      <c r="T169">
        <v>2.57</v>
      </c>
      <c r="V169">
        <v>3.73</v>
      </c>
      <c r="W169" t="s">
        <v>66</v>
      </c>
      <c r="X169" t="s">
        <v>67</v>
      </c>
      <c r="Y169" t="s">
        <v>67</v>
      </c>
      <c r="Z169" t="s">
        <v>68</v>
      </c>
      <c r="AB169">
        <v>4</v>
      </c>
      <c r="AC169" t="s">
        <v>61</v>
      </c>
      <c r="AJ169" t="s">
        <v>69</v>
      </c>
      <c r="AY169" t="s">
        <v>309</v>
      </c>
      <c r="AZ169">
        <v>17138</v>
      </c>
      <c r="BA169" t="s">
        <v>310</v>
      </c>
      <c r="BB169" t="s">
        <v>311</v>
      </c>
      <c r="BC169">
        <v>1991</v>
      </c>
      <c r="BD169" t="s">
        <v>73</v>
      </c>
    </row>
    <row r="170" spans="1:56" x14ac:dyDescent="0.35">
      <c r="A170">
        <v>62737</v>
      </c>
      <c r="B170" t="s">
        <v>308</v>
      </c>
      <c r="E170">
        <v>93</v>
      </c>
      <c r="F170" t="s">
        <v>58</v>
      </c>
      <c r="G170" t="s">
        <v>59</v>
      </c>
      <c r="H170" t="s">
        <v>60</v>
      </c>
      <c r="J170" t="s">
        <v>86</v>
      </c>
      <c r="L170" t="s">
        <v>62</v>
      </c>
      <c r="M170" t="s">
        <v>63</v>
      </c>
      <c r="N170" t="s">
        <v>64</v>
      </c>
      <c r="P170" t="s">
        <v>65</v>
      </c>
      <c r="R170">
        <v>11.6</v>
      </c>
      <c r="T170">
        <v>7.83</v>
      </c>
      <c r="V170">
        <v>17.2</v>
      </c>
      <c r="W170" t="s">
        <v>66</v>
      </c>
      <c r="X170" t="s">
        <v>67</v>
      </c>
      <c r="Y170" t="s">
        <v>67</v>
      </c>
      <c r="Z170" t="s">
        <v>68</v>
      </c>
      <c r="AB170">
        <v>4</v>
      </c>
      <c r="AC170" t="s">
        <v>61</v>
      </c>
      <c r="AJ170" t="s">
        <v>69</v>
      </c>
      <c r="AY170" t="s">
        <v>96</v>
      </c>
      <c r="AZ170">
        <v>6797</v>
      </c>
      <c r="BA170" t="s">
        <v>97</v>
      </c>
      <c r="BB170" t="s">
        <v>98</v>
      </c>
      <c r="BC170">
        <v>1986</v>
      </c>
      <c r="BD170" t="s">
        <v>90</v>
      </c>
    </row>
    <row r="171" spans="1:56" x14ac:dyDescent="0.35">
      <c r="A171">
        <v>62759</v>
      </c>
      <c r="B171" t="s">
        <v>312</v>
      </c>
      <c r="D171" t="s">
        <v>57</v>
      </c>
      <c r="E171" t="s">
        <v>86</v>
      </c>
      <c r="F171" t="s">
        <v>58</v>
      </c>
      <c r="G171" t="s">
        <v>59</v>
      </c>
      <c r="H171" t="s">
        <v>60</v>
      </c>
      <c r="J171" t="s">
        <v>86</v>
      </c>
      <c r="L171" t="s">
        <v>62</v>
      </c>
      <c r="M171" t="s">
        <v>63</v>
      </c>
      <c r="N171" t="s">
        <v>64</v>
      </c>
      <c r="P171" t="s">
        <v>65</v>
      </c>
      <c r="R171">
        <v>940</v>
      </c>
      <c r="T171">
        <v>832</v>
      </c>
      <c r="V171">
        <v>1062</v>
      </c>
      <c r="W171" t="s">
        <v>66</v>
      </c>
      <c r="X171" t="s">
        <v>67</v>
      </c>
      <c r="Y171" t="s">
        <v>67</v>
      </c>
      <c r="Z171" t="s">
        <v>68</v>
      </c>
      <c r="AB171">
        <v>4</v>
      </c>
      <c r="AC171" t="s">
        <v>61</v>
      </c>
      <c r="AJ171" t="s">
        <v>69</v>
      </c>
      <c r="AY171" t="s">
        <v>163</v>
      </c>
      <c r="AZ171">
        <v>479</v>
      </c>
      <c r="BA171" t="s">
        <v>164</v>
      </c>
      <c r="BB171" t="s">
        <v>165</v>
      </c>
      <c r="BC171">
        <v>1979</v>
      </c>
      <c r="BD171" t="s">
        <v>90</v>
      </c>
    </row>
    <row r="172" spans="1:56" x14ac:dyDescent="0.35">
      <c r="A172">
        <v>63252</v>
      </c>
      <c r="B172" t="s">
        <v>313</v>
      </c>
      <c r="E172">
        <v>99.5</v>
      </c>
      <c r="F172" t="s">
        <v>58</v>
      </c>
      <c r="G172" t="s">
        <v>59</v>
      </c>
      <c r="H172" t="s">
        <v>60</v>
      </c>
      <c r="J172" t="s">
        <v>86</v>
      </c>
      <c r="L172" t="s">
        <v>62</v>
      </c>
      <c r="M172" t="s">
        <v>63</v>
      </c>
      <c r="N172" t="s">
        <v>64</v>
      </c>
      <c r="P172" t="s">
        <v>65</v>
      </c>
      <c r="R172">
        <v>7.7</v>
      </c>
      <c r="T172">
        <v>4.8</v>
      </c>
      <c r="V172">
        <v>12.2</v>
      </c>
      <c r="W172" t="s">
        <v>66</v>
      </c>
      <c r="X172" t="s">
        <v>67</v>
      </c>
      <c r="Y172" t="s">
        <v>67</v>
      </c>
      <c r="Z172" t="s">
        <v>68</v>
      </c>
      <c r="AB172">
        <v>4</v>
      </c>
      <c r="AC172" t="s">
        <v>61</v>
      </c>
      <c r="AJ172" t="s">
        <v>69</v>
      </c>
      <c r="AY172" t="s">
        <v>96</v>
      </c>
      <c r="AZ172">
        <v>6797</v>
      </c>
      <c r="BA172" t="s">
        <v>97</v>
      </c>
      <c r="BB172" t="s">
        <v>98</v>
      </c>
      <c r="BC172">
        <v>1986</v>
      </c>
      <c r="BD172" t="s">
        <v>90</v>
      </c>
    </row>
    <row r="173" spans="1:56" x14ac:dyDescent="0.35">
      <c r="A173">
        <v>63252</v>
      </c>
      <c r="B173" t="s">
        <v>313</v>
      </c>
      <c r="D173" t="s">
        <v>85</v>
      </c>
      <c r="E173">
        <v>99.7</v>
      </c>
      <c r="F173" t="s">
        <v>58</v>
      </c>
      <c r="G173" t="s">
        <v>59</v>
      </c>
      <c r="H173" t="s">
        <v>60</v>
      </c>
      <c r="J173" t="s">
        <v>86</v>
      </c>
      <c r="L173" t="s">
        <v>62</v>
      </c>
      <c r="M173" t="s">
        <v>63</v>
      </c>
      <c r="N173" t="s">
        <v>64</v>
      </c>
      <c r="O173">
        <v>8</v>
      </c>
      <c r="P173" t="s">
        <v>65</v>
      </c>
      <c r="R173">
        <v>5.24</v>
      </c>
      <c r="T173">
        <v>4.7</v>
      </c>
      <c r="V173">
        <v>5.8</v>
      </c>
      <c r="W173" t="s">
        <v>66</v>
      </c>
      <c r="X173" t="s">
        <v>67</v>
      </c>
      <c r="Y173" t="s">
        <v>67</v>
      </c>
      <c r="Z173" t="s">
        <v>68</v>
      </c>
      <c r="AB173">
        <v>4</v>
      </c>
      <c r="AC173" t="s">
        <v>61</v>
      </c>
      <c r="AJ173" t="s">
        <v>69</v>
      </c>
      <c r="AY173" t="s">
        <v>314</v>
      </c>
      <c r="AZ173">
        <v>73668</v>
      </c>
      <c r="BA173" t="s">
        <v>315</v>
      </c>
      <c r="BB173" t="s">
        <v>316</v>
      </c>
      <c r="BC173">
        <v>1995</v>
      </c>
      <c r="BD173" t="s">
        <v>90</v>
      </c>
    </row>
    <row r="174" spans="1:56" x14ac:dyDescent="0.35">
      <c r="A174">
        <v>63252</v>
      </c>
      <c r="B174" t="s">
        <v>313</v>
      </c>
      <c r="D174" t="s">
        <v>57</v>
      </c>
      <c r="E174">
        <v>99</v>
      </c>
      <c r="F174" t="s">
        <v>58</v>
      </c>
      <c r="G174" t="s">
        <v>59</v>
      </c>
      <c r="H174" t="s">
        <v>60</v>
      </c>
      <c r="J174">
        <v>28</v>
      </c>
      <c r="K174" t="s">
        <v>61</v>
      </c>
      <c r="L174" t="s">
        <v>74</v>
      </c>
      <c r="M174" t="s">
        <v>63</v>
      </c>
      <c r="N174" t="s">
        <v>64</v>
      </c>
      <c r="P174" t="s">
        <v>65</v>
      </c>
      <c r="R174">
        <v>10.4</v>
      </c>
      <c r="T174">
        <v>9.5500000000000007</v>
      </c>
      <c r="V174">
        <v>11.3</v>
      </c>
      <c r="W174" t="s">
        <v>66</v>
      </c>
      <c r="X174" t="s">
        <v>67</v>
      </c>
      <c r="Y174" t="s">
        <v>67</v>
      </c>
      <c r="Z174" t="s">
        <v>68</v>
      </c>
      <c r="AB174">
        <v>4</v>
      </c>
      <c r="AC174" t="s">
        <v>61</v>
      </c>
      <c r="AJ174" t="s">
        <v>69</v>
      </c>
      <c r="AY174" t="s">
        <v>80</v>
      </c>
      <c r="AZ174">
        <v>12859</v>
      </c>
      <c r="BA174" t="s">
        <v>81</v>
      </c>
      <c r="BB174" t="s">
        <v>82</v>
      </c>
      <c r="BC174">
        <v>1988</v>
      </c>
      <c r="BD174" t="s">
        <v>73</v>
      </c>
    </row>
    <row r="175" spans="1:56" x14ac:dyDescent="0.35">
      <c r="A175">
        <v>63252</v>
      </c>
      <c r="B175" t="s">
        <v>313</v>
      </c>
      <c r="C175" t="s">
        <v>218</v>
      </c>
      <c r="D175" t="s">
        <v>85</v>
      </c>
      <c r="E175">
        <v>50</v>
      </c>
      <c r="F175" t="s">
        <v>58</v>
      </c>
      <c r="G175" t="s">
        <v>59</v>
      </c>
      <c r="H175" t="s">
        <v>60</v>
      </c>
      <c r="J175" t="s">
        <v>86</v>
      </c>
      <c r="L175" t="s">
        <v>62</v>
      </c>
      <c r="M175" t="s">
        <v>63</v>
      </c>
      <c r="N175" t="s">
        <v>64</v>
      </c>
      <c r="P175" t="s">
        <v>65</v>
      </c>
      <c r="R175">
        <v>12</v>
      </c>
      <c r="W175" t="s">
        <v>66</v>
      </c>
      <c r="X175" t="s">
        <v>67</v>
      </c>
      <c r="Y175" t="s">
        <v>67</v>
      </c>
      <c r="Z175" t="s">
        <v>68</v>
      </c>
      <c r="AB175">
        <v>4</v>
      </c>
      <c r="AC175" t="s">
        <v>61</v>
      </c>
      <c r="AJ175" t="s">
        <v>69</v>
      </c>
      <c r="AY175" t="s">
        <v>87</v>
      </c>
      <c r="AZ175">
        <v>936</v>
      </c>
      <c r="BA175" t="s">
        <v>219</v>
      </c>
      <c r="BB175" t="s">
        <v>220</v>
      </c>
      <c r="BC175">
        <v>1960</v>
      </c>
      <c r="BD175" t="s">
        <v>90</v>
      </c>
    </row>
    <row r="176" spans="1:56" x14ac:dyDescent="0.35">
      <c r="A176">
        <v>63252</v>
      </c>
      <c r="B176" t="s">
        <v>313</v>
      </c>
      <c r="D176" t="s">
        <v>57</v>
      </c>
      <c r="E176">
        <v>99</v>
      </c>
      <c r="F176" t="s">
        <v>58</v>
      </c>
      <c r="G176" t="s">
        <v>59</v>
      </c>
      <c r="H176" t="s">
        <v>60</v>
      </c>
      <c r="J176">
        <v>29</v>
      </c>
      <c r="K176" t="s">
        <v>61</v>
      </c>
      <c r="L176" t="s">
        <v>74</v>
      </c>
      <c r="M176" t="s">
        <v>63</v>
      </c>
      <c r="N176" t="s">
        <v>64</v>
      </c>
      <c r="P176" t="s">
        <v>65</v>
      </c>
      <c r="R176">
        <v>6.67</v>
      </c>
      <c r="T176">
        <v>6.05</v>
      </c>
      <c r="V176">
        <v>7.34</v>
      </c>
      <c r="W176" t="s">
        <v>66</v>
      </c>
      <c r="X176" t="s">
        <v>67</v>
      </c>
      <c r="Y176" t="s">
        <v>67</v>
      </c>
      <c r="Z176" t="s">
        <v>68</v>
      </c>
      <c r="AB176">
        <v>4</v>
      </c>
      <c r="AC176" t="s">
        <v>61</v>
      </c>
      <c r="AJ176" t="s">
        <v>69</v>
      </c>
      <c r="AY176" t="s">
        <v>80</v>
      </c>
      <c r="AZ176">
        <v>12859</v>
      </c>
      <c r="BA176" t="s">
        <v>81</v>
      </c>
      <c r="BB176" t="s">
        <v>82</v>
      </c>
      <c r="BC176">
        <v>1988</v>
      </c>
      <c r="BD176" t="s">
        <v>73</v>
      </c>
    </row>
    <row r="177" spans="1:56" x14ac:dyDescent="0.35">
      <c r="A177">
        <v>63252</v>
      </c>
      <c r="B177" t="s">
        <v>313</v>
      </c>
      <c r="C177" t="s">
        <v>91</v>
      </c>
      <c r="D177" t="s">
        <v>85</v>
      </c>
      <c r="E177">
        <v>95</v>
      </c>
      <c r="F177" t="s">
        <v>58</v>
      </c>
      <c r="G177" t="s">
        <v>59</v>
      </c>
      <c r="H177" t="s">
        <v>60</v>
      </c>
      <c r="J177" t="s">
        <v>86</v>
      </c>
      <c r="L177" t="s">
        <v>62</v>
      </c>
      <c r="M177" t="s">
        <v>63</v>
      </c>
      <c r="N177" t="s">
        <v>64</v>
      </c>
      <c r="P177" t="s">
        <v>65</v>
      </c>
      <c r="R177">
        <v>13</v>
      </c>
      <c r="W177" t="s">
        <v>66</v>
      </c>
      <c r="X177" t="s">
        <v>67</v>
      </c>
      <c r="Y177" t="s">
        <v>67</v>
      </c>
      <c r="Z177" t="s">
        <v>68</v>
      </c>
      <c r="AB177">
        <v>4</v>
      </c>
      <c r="AC177" t="s">
        <v>61</v>
      </c>
      <c r="AJ177" t="s">
        <v>69</v>
      </c>
      <c r="AY177" t="s">
        <v>87</v>
      </c>
      <c r="AZ177">
        <v>936</v>
      </c>
      <c r="BA177" t="s">
        <v>219</v>
      </c>
      <c r="BB177" t="s">
        <v>220</v>
      </c>
      <c r="BC177">
        <v>1960</v>
      </c>
      <c r="BD177" t="s">
        <v>90</v>
      </c>
    </row>
    <row r="178" spans="1:56" x14ac:dyDescent="0.35">
      <c r="A178">
        <v>63252</v>
      </c>
      <c r="B178" t="s">
        <v>313</v>
      </c>
      <c r="D178" t="s">
        <v>85</v>
      </c>
      <c r="E178">
        <v>99.7</v>
      </c>
      <c r="F178" t="s">
        <v>58</v>
      </c>
      <c r="G178" t="s">
        <v>59</v>
      </c>
      <c r="H178" t="s">
        <v>60</v>
      </c>
      <c r="J178" t="s">
        <v>86</v>
      </c>
      <c r="L178" t="s">
        <v>62</v>
      </c>
      <c r="M178" t="s">
        <v>63</v>
      </c>
      <c r="N178" t="s">
        <v>64</v>
      </c>
      <c r="O178">
        <v>8</v>
      </c>
      <c r="P178" t="s">
        <v>65</v>
      </c>
      <c r="R178">
        <v>7.43</v>
      </c>
      <c r="T178">
        <v>6</v>
      </c>
      <c r="V178">
        <v>10</v>
      </c>
      <c r="W178" t="s">
        <v>66</v>
      </c>
      <c r="X178" t="s">
        <v>67</v>
      </c>
      <c r="Y178" t="s">
        <v>67</v>
      </c>
      <c r="Z178" t="s">
        <v>68</v>
      </c>
      <c r="AB178">
        <v>4</v>
      </c>
      <c r="AC178" t="s">
        <v>61</v>
      </c>
      <c r="AJ178" t="s">
        <v>69</v>
      </c>
      <c r="AY178" t="s">
        <v>314</v>
      </c>
      <c r="AZ178">
        <v>73668</v>
      </c>
      <c r="BA178" t="s">
        <v>315</v>
      </c>
      <c r="BB178" t="s">
        <v>316</v>
      </c>
      <c r="BC178">
        <v>1995</v>
      </c>
      <c r="BD178" t="s">
        <v>90</v>
      </c>
    </row>
    <row r="179" spans="1:56" x14ac:dyDescent="0.35">
      <c r="A179">
        <v>63252</v>
      </c>
      <c r="B179" t="s">
        <v>313</v>
      </c>
      <c r="D179" t="s">
        <v>85</v>
      </c>
      <c r="E179">
        <v>50</v>
      </c>
      <c r="F179" t="s">
        <v>58</v>
      </c>
      <c r="G179" t="s">
        <v>59</v>
      </c>
      <c r="H179" t="s">
        <v>60</v>
      </c>
      <c r="J179" t="s">
        <v>86</v>
      </c>
      <c r="L179" t="s">
        <v>62</v>
      </c>
      <c r="M179" t="s">
        <v>63</v>
      </c>
      <c r="N179" t="s">
        <v>64</v>
      </c>
      <c r="P179" t="s">
        <v>100</v>
      </c>
      <c r="R179">
        <v>41</v>
      </c>
      <c r="W179" t="s">
        <v>66</v>
      </c>
      <c r="X179" t="s">
        <v>67</v>
      </c>
      <c r="Y179" t="s">
        <v>67</v>
      </c>
      <c r="Z179" t="s">
        <v>68</v>
      </c>
      <c r="AB179">
        <v>4</v>
      </c>
      <c r="AC179" t="s">
        <v>61</v>
      </c>
      <c r="AJ179" t="s">
        <v>69</v>
      </c>
      <c r="AY179" t="s">
        <v>87</v>
      </c>
      <c r="AZ179">
        <v>936</v>
      </c>
      <c r="BA179" t="s">
        <v>219</v>
      </c>
      <c r="BB179" t="s">
        <v>220</v>
      </c>
      <c r="BC179">
        <v>1960</v>
      </c>
      <c r="BD179" t="s">
        <v>90</v>
      </c>
    </row>
    <row r="180" spans="1:56" x14ac:dyDescent="0.35">
      <c r="A180">
        <v>63252</v>
      </c>
      <c r="B180" t="s">
        <v>313</v>
      </c>
      <c r="D180" t="s">
        <v>85</v>
      </c>
      <c r="E180">
        <v>99.7</v>
      </c>
      <c r="F180" t="s">
        <v>58</v>
      </c>
      <c r="G180" t="s">
        <v>59</v>
      </c>
      <c r="H180" t="s">
        <v>60</v>
      </c>
      <c r="J180" t="s">
        <v>86</v>
      </c>
      <c r="L180" t="s">
        <v>62</v>
      </c>
      <c r="M180" t="s">
        <v>63</v>
      </c>
      <c r="N180" t="s">
        <v>64</v>
      </c>
      <c r="O180">
        <v>8</v>
      </c>
      <c r="P180" t="s">
        <v>65</v>
      </c>
      <c r="R180">
        <v>5.72</v>
      </c>
      <c r="T180">
        <v>5.0999999999999996</v>
      </c>
      <c r="V180">
        <v>6.5</v>
      </c>
      <c r="W180" t="s">
        <v>66</v>
      </c>
      <c r="X180" t="s">
        <v>67</v>
      </c>
      <c r="Y180" t="s">
        <v>67</v>
      </c>
      <c r="Z180" t="s">
        <v>68</v>
      </c>
      <c r="AB180">
        <v>4</v>
      </c>
      <c r="AC180" t="s">
        <v>61</v>
      </c>
      <c r="AJ180" t="s">
        <v>69</v>
      </c>
      <c r="AY180" t="s">
        <v>314</v>
      </c>
      <c r="AZ180">
        <v>73668</v>
      </c>
      <c r="BA180" t="s">
        <v>315</v>
      </c>
      <c r="BB180" t="s">
        <v>316</v>
      </c>
      <c r="BC180">
        <v>1995</v>
      </c>
      <c r="BD180" t="s">
        <v>90</v>
      </c>
    </row>
    <row r="181" spans="1:56" x14ac:dyDescent="0.35">
      <c r="A181">
        <v>63252</v>
      </c>
      <c r="B181" t="s">
        <v>313</v>
      </c>
      <c r="D181" t="s">
        <v>85</v>
      </c>
      <c r="E181">
        <v>99.7</v>
      </c>
      <c r="F181" t="s">
        <v>58</v>
      </c>
      <c r="G181" t="s">
        <v>59</v>
      </c>
      <c r="H181" t="s">
        <v>60</v>
      </c>
      <c r="J181" t="s">
        <v>86</v>
      </c>
      <c r="L181" t="s">
        <v>62</v>
      </c>
      <c r="M181" t="s">
        <v>63</v>
      </c>
      <c r="N181" t="s">
        <v>64</v>
      </c>
      <c r="O181">
        <v>8</v>
      </c>
      <c r="P181" t="s">
        <v>65</v>
      </c>
      <c r="R181">
        <v>5.86</v>
      </c>
      <c r="T181">
        <v>5.3</v>
      </c>
      <c r="V181">
        <v>6.5</v>
      </c>
      <c r="W181" t="s">
        <v>66</v>
      </c>
      <c r="X181" t="s">
        <v>67</v>
      </c>
      <c r="Y181" t="s">
        <v>67</v>
      </c>
      <c r="Z181" t="s">
        <v>68</v>
      </c>
      <c r="AB181">
        <v>4</v>
      </c>
      <c r="AC181" t="s">
        <v>61</v>
      </c>
      <c r="AJ181" t="s">
        <v>69</v>
      </c>
      <c r="AY181" t="s">
        <v>314</v>
      </c>
      <c r="AZ181">
        <v>73668</v>
      </c>
      <c r="BA181" t="s">
        <v>315</v>
      </c>
      <c r="BB181" t="s">
        <v>316</v>
      </c>
      <c r="BC181">
        <v>1995</v>
      </c>
      <c r="BD181" t="s">
        <v>90</v>
      </c>
    </row>
    <row r="182" spans="1:56" x14ac:dyDescent="0.35">
      <c r="A182">
        <v>63252</v>
      </c>
      <c r="B182" t="s">
        <v>313</v>
      </c>
      <c r="D182" t="s">
        <v>57</v>
      </c>
      <c r="E182">
        <v>99</v>
      </c>
      <c r="F182" t="s">
        <v>58</v>
      </c>
      <c r="G182" t="s">
        <v>59</v>
      </c>
      <c r="H182" t="s">
        <v>60</v>
      </c>
      <c r="J182">
        <v>31</v>
      </c>
      <c r="K182" t="s">
        <v>61</v>
      </c>
      <c r="L182" t="s">
        <v>74</v>
      </c>
      <c r="M182" t="s">
        <v>63</v>
      </c>
      <c r="N182" t="s">
        <v>64</v>
      </c>
      <c r="P182" t="s">
        <v>65</v>
      </c>
      <c r="R182">
        <v>9.4700000000000006</v>
      </c>
      <c r="T182">
        <v>8.6</v>
      </c>
      <c r="V182">
        <v>10.4</v>
      </c>
      <c r="W182" t="s">
        <v>66</v>
      </c>
      <c r="X182" t="s">
        <v>67</v>
      </c>
      <c r="Y182" t="s">
        <v>67</v>
      </c>
      <c r="Z182" t="s">
        <v>68</v>
      </c>
      <c r="AB182">
        <v>4</v>
      </c>
      <c r="AC182" t="s">
        <v>61</v>
      </c>
      <c r="AJ182" t="s">
        <v>69</v>
      </c>
      <c r="AY182" t="s">
        <v>80</v>
      </c>
      <c r="AZ182">
        <v>12859</v>
      </c>
      <c r="BA182" t="s">
        <v>81</v>
      </c>
      <c r="BB182" t="s">
        <v>82</v>
      </c>
      <c r="BC182">
        <v>1988</v>
      </c>
      <c r="BD182" t="s">
        <v>73</v>
      </c>
    </row>
    <row r="183" spans="1:56" x14ac:dyDescent="0.35">
      <c r="A183">
        <v>63252</v>
      </c>
      <c r="B183" t="s">
        <v>313</v>
      </c>
      <c r="D183" t="s">
        <v>85</v>
      </c>
      <c r="E183">
        <v>99.7</v>
      </c>
      <c r="F183" t="s">
        <v>58</v>
      </c>
      <c r="G183" t="s">
        <v>59</v>
      </c>
      <c r="H183" t="s">
        <v>60</v>
      </c>
      <c r="J183" t="s">
        <v>86</v>
      </c>
      <c r="L183" t="s">
        <v>62</v>
      </c>
      <c r="M183" t="s">
        <v>63</v>
      </c>
      <c r="N183" t="s">
        <v>64</v>
      </c>
      <c r="O183">
        <v>8</v>
      </c>
      <c r="P183" t="s">
        <v>65</v>
      </c>
      <c r="R183">
        <v>3.94</v>
      </c>
      <c r="T183">
        <v>3.4</v>
      </c>
      <c r="V183">
        <v>4.5</v>
      </c>
      <c r="W183" t="s">
        <v>66</v>
      </c>
      <c r="X183" t="s">
        <v>67</v>
      </c>
      <c r="Y183" t="s">
        <v>67</v>
      </c>
      <c r="Z183" t="s">
        <v>68</v>
      </c>
      <c r="AB183">
        <v>4</v>
      </c>
      <c r="AC183" t="s">
        <v>61</v>
      </c>
      <c r="AJ183" t="s">
        <v>69</v>
      </c>
      <c r="AY183" t="s">
        <v>314</v>
      </c>
      <c r="AZ183">
        <v>73668</v>
      </c>
      <c r="BA183" t="s">
        <v>315</v>
      </c>
      <c r="BB183" t="s">
        <v>316</v>
      </c>
      <c r="BC183">
        <v>1995</v>
      </c>
      <c r="BD183" t="s">
        <v>90</v>
      </c>
    </row>
    <row r="184" spans="1:56" x14ac:dyDescent="0.35">
      <c r="A184">
        <v>63252</v>
      </c>
      <c r="B184" t="s">
        <v>313</v>
      </c>
      <c r="D184" t="s">
        <v>85</v>
      </c>
      <c r="E184" t="s">
        <v>86</v>
      </c>
      <c r="F184" t="s">
        <v>58</v>
      </c>
      <c r="G184" t="s">
        <v>59</v>
      </c>
      <c r="H184" t="s">
        <v>60</v>
      </c>
      <c r="J184" t="s">
        <v>86</v>
      </c>
      <c r="L184" t="s">
        <v>62</v>
      </c>
      <c r="M184" t="s">
        <v>63</v>
      </c>
      <c r="N184" t="s">
        <v>64</v>
      </c>
      <c r="P184" t="s">
        <v>100</v>
      </c>
      <c r="R184">
        <v>5.1710000000000003</v>
      </c>
      <c r="T184">
        <v>4.9219999999999997</v>
      </c>
      <c r="V184">
        <v>5.4370000000000003</v>
      </c>
      <c r="W184" t="s">
        <v>66</v>
      </c>
      <c r="X184" t="s">
        <v>67</v>
      </c>
      <c r="Y184" t="s">
        <v>67</v>
      </c>
      <c r="Z184" t="s">
        <v>68</v>
      </c>
      <c r="AB184">
        <v>4</v>
      </c>
      <c r="AC184" t="s">
        <v>61</v>
      </c>
      <c r="AJ184" t="s">
        <v>69</v>
      </c>
      <c r="AY184" t="s">
        <v>317</v>
      </c>
      <c r="AZ184">
        <v>153255</v>
      </c>
      <c r="BA184" t="s">
        <v>318</v>
      </c>
      <c r="BB184" t="s">
        <v>319</v>
      </c>
      <c r="BC184">
        <v>2008</v>
      </c>
      <c r="BD184" t="s">
        <v>90</v>
      </c>
    </row>
    <row r="185" spans="1:56" x14ac:dyDescent="0.35">
      <c r="A185">
        <v>63252</v>
      </c>
      <c r="B185" t="s">
        <v>313</v>
      </c>
      <c r="D185" t="s">
        <v>57</v>
      </c>
      <c r="E185">
        <v>80</v>
      </c>
      <c r="F185" t="s">
        <v>58</v>
      </c>
      <c r="G185" t="s">
        <v>59</v>
      </c>
      <c r="H185" t="s">
        <v>60</v>
      </c>
      <c r="J185">
        <v>2</v>
      </c>
      <c r="K185" t="s">
        <v>320</v>
      </c>
      <c r="L185" t="s">
        <v>74</v>
      </c>
      <c r="M185" t="s">
        <v>63</v>
      </c>
      <c r="N185" t="s">
        <v>64</v>
      </c>
      <c r="P185" t="s">
        <v>65</v>
      </c>
      <c r="R185">
        <v>9</v>
      </c>
      <c r="W185" t="s">
        <v>66</v>
      </c>
      <c r="X185" t="s">
        <v>67</v>
      </c>
      <c r="Y185" t="s">
        <v>67</v>
      </c>
      <c r="Z185" t="s">
        <v>68</v>
      </c>
      <c r="AB185">
        <v>4</v>
      </c>
      <c r="AC185" t="s">
        <v>61</v>
      </c>
      <c r="AJ185" t="s">
        <v>69</v>
      </c>
      <c r="AY185" t="s">
        <v>321</v>
      </c>
      <c r="AZ185">
        <v>5073</v>
      </c>
      <c r="BA185" t="s">
        <v>322</v>
      </c>
      <c r="BB185" t="s">
        <v>323</v>
      </c>
      <c r="BC185">
        <v>1972</v>
      </c>
      <c r="BD185" t="s">
        <v>324</v>
      </c>
    </row>
    <row r="186" spans="1:56" x14ac:dyDescent="0.35">
      <c r="A186">
        <v>63252</v>
      </c>
      <c r="B186" t="s">
        <v>313</v>
      </c>
      <c r="D186" t="s">
        <v>57</v>
      </c>
      <c r="E186" t="s">
        <v>86</v>
      </c>
      <c r="F186" t="s">
        <v>58</v>
      </c>
      <c r="G186" t="s">
        <v>59</v>
      </c>
      <c r="H186" t="s">
        <v>60</v>
      </c>
      <c r="J186" t="s">
        <v>86</v>
      </c>
      <c r="L186" t="s">
        <v>74</v>
      </c>
      <c r="M186" t="s">
        <v>63</v>
      </c>
      <c r="N186" t="s">
        <v>64</v>
      </c>
      <c r="P186" t="s">
        <v>65</v>
      </c>
      <c r="R186">
        <v>5.01</v>
      </c>
      <c r="T186">
        <v>4.57</v>
      </c>
      <c r="V186">
        <v>5.48</v>
      </c>
      <c r="W186" t="s">
        <v>66</v>
      </c>
      <c r="X186" t="s">
        <v>67</v>
      </c>
      <c r="Y186" t="s">
        <v>67</v>
      </c>
      <c r="Z186" t="s">
        <v>68</v>
      </c>
      <c r="AB186">
        <v>4</v>
      </c>
      <c r="AC186" t="s">
        <v>61</v>
      </c>
      <c r="AJ186" t="s">
        <v>69</v>
      </c>
      <c r="AY186" t="s">
        <v>325</v>
      </c>
      <c r="AZ186">
        <v>10775</v>
      </c>
      <c r="BA186" t="s">
        <v>326</v>
      </c>
      <c r="BB186" t="s">
        <v>327</v>
      </c>
      <c r="BC186">
        <v>1985</v>
      </c>
      <c r="BD186" t="s">
        <v>90</v>
      </c>
    </row>
    <row r="187" spans="1:56" x14ac:dyDescent="0.35">
      <c r="A187">
        <v>63252</v>
      </c>
      <c r="B187" t="s">
        <v>313</v>
      </c>
      <c r="E187">
        <v>99.5</v>
      </c>
      <c r="F187" t="s">
        <v>58</v>
      </c>
      <c r="G187" t="s">
        <v>59</v>
      </c>
      <c r="H187" t="s">
        <v>60</v>
      </c>
      <c r="J187" t="s">
        <v>86</v>
      </c>
      <c r="L187" t="s">
        <v>62</v>
      </c>
      <c r="M187" t="s">
        <v>63</v>
      </c>
      <c r="N187" t="s">
        <v>64</v>
      </c>
      <c r="P187" t="s">
        <v>65</v>
      </c>
      <c r="R187">
        <v>14.6</v>
      </c>
      <c r="T187">
        <v>11.7</v>
      </c>
      <c r="V187">
        <v>19.8</v>
      </c>
      <c r="W187" t="s">
        <v>66</v>
      </c>
      <c r="X187" t="s">
        <v>67</v>
      </c>
      <c r="Y187" t="s">
        <v>67</v>
      </c>
      <c r="Z187" t="s">
        <v>68</v>
      </c>
      <c r="AB187">
        <v>4</v>
      </c>
      <c r="AC187" t="s">
        <v>61</v>
      </c>
      <c r="AJ187" t="s">
        <v>69</v>
      </c>
      <c r="AY187" t="s">
        <v>96</v>
      </c>
      <c r="AZ187">
        <v>6797</v>
      </c>
      <c r="BA187" t="s">
        <v>97</v>
      </c>
      <c r="BB187" t="s">
        <v>98</v>
      </c>
      <c r="BC187">
        <v>1986</v>
      </c>
      <c r="BD187" t="s">
        <v>90</v>
      </c>
    </row>
    <row r="188" spans="1:56" x14ac:dyDescent="0.35">
      <c r="A188">
        <v>63252</v>
      </c>
      <c r="B188" t="s">
        <v>313</v>
      </c>
      <c r="D188" t="s">
        <v>85</v>
      </c>
      <c r="E188">
        <v>99.7</v>
      </c>
      <c r="F188" t="s">
        <v>58</v>
      </c>
      <c r="G188" t="s">
        <v>59</v>
      </c>
      <c r="H188" t="s">
        <v>60</v>
      </c>
      <c r="J188" t="s">
        <v>86</v>
      </c>
      <c r="L188" t="s">
        <v>62</v>
      </c>
      <c r="M188" t="s">
        <v>63</v>
      </c>
      <c r="N188" t="s">
        <v>64</v>
      </c>
      <c r="P188" t="s">
        <v>65</v>
      </c>
      <c r="R188">
        <v>5.2</v>
      </c>
      <c r="T188">
        <v>3.9</v>
      </c>
      <c r="V188">
        <v>7.4</v>
      </c>
      <c r="W188" t="s">
        <v>66</v>
      </c>
      <c r="X188" t="s">
        <v>67</v>
      </c>
      <c r="Y188" t="s">
        <v>67</v>
      </c>
      <c r="Z188" t="s">
        <v>68</v>
      </c>
      <c r="AB188">
        <v>4</v>
      </c>
      <c r="AC188" t="s">
        <v>61</v>
      </c>
      <c r="AJ188" t="s">
        <v>69</v>
      </c>
      <c r="AY188" t="s">
        <v>328</v>
      </c>
      <c r="AZ188">
        <v>65396</v>
      </c>
      <c r="BA188" t="s">
        <v>329</v>
      </c>
      <c r="BB188" t="s">
        <v>330</v>
      </c>
      <c r="BC188">
        <v>2001</v>
      </c>
      <c r="BD188" t="s">
        <v>90</v>
      </c>
    </row>
    <row r="189" spans="1:56" x14ac:dyDescent="0.35">
      <c r="A189">
        <v>63252</v>
      </c>
      <c r="B189" t="s">
        <v>313</v>
      </c>
      <c r="C189" t="s">
        <v>218</v>
      </c>
      <c r="D189" t="s">
        <v>85</v>
      </c>
      <c r="E189">
        <v>50</v>
      </c>
      <c r="F189" t="s">
        <v>58</v>
      </c>
      <c r="G189" t="s">
        <v>59</v>
      </c>
      <c r="H189" t="s">
        <v>60</v>
      </c>
      <c r="J189" t="s">
        <v>86</v>
      </c>
      <c r="L189" t="s">
        <v>62</v>
      </c>
      <c r="M189" t="s">
        <v>63</v>
      </c>
      <c r="N189" t="s">
        <v>64</v>
      </c>
      <c r="P189" t="s">
        <v>65</v>
      </c>
      <c r="R189">
        <v>6.7</v>
      </c>
      <c r="W189" t="s">
        <v>66</v>
      </c>
      <c r="X189" t="s">
        <v>67</v>
      </c>
      <c r="Y189" t="s">
        <v>67</v>
      </c>
      <c r="Z189" t="s">
        <v>68</v>
      </c>
      <c r="AB189">
        <v>4</v>
      </c>
      <c r="AC189" t="s">
        <v>61</v>
      </c>
      <c r="AJ189" t="s">
        <v>69</v>
      </c>
      <c r="AY189" t="s">
        <v>87</v>
      </c>
      <c r="AZ189">
        <v>936</v>
      </c>
      <c r="BA189" t="s">
        <v>219</v>
      </c>
      <c r="BB189" t="s">
        <v>220</v>
      </c>
      <c r="BC189">
        <v>1960</v>
      </c>
      <c r="BD189" t="s">
        <v>90</v>
      </c>
    </row>
    <row r="190" spans="1:56" x14ac:dyDescent="0.35">
      <c r="A190">
        <v>63252</v>
      </c>
      <c r="B190" t="s">
        <v>313</v>
      </c>
      <c r="D190" t="s">
        <v>85</v>
      </c>
      <c r="E190">
        <v>99.7</v>
      </c>
      <c r="F190" t="s">
        <v>58</v>
      </c>
      <c r="G190" t="s">
        <v>59</v>
      </c>
      <c r="H190" t="s">
        <v>60</v>
      </c>
      <c r="J190" t="s">
        <v>86</v>
      </c>
      <c r="L190" t="s">
        <v>62</v>
      </c>
      <c r="M190" t="s">
        <v>63</v>
      </c>
      <c r="N190" t="s">
        <v>64</v>
      </c>
      <c r="O190">
        <v>8</v>
      </c>
      <c r="P190" t="s">
        <v>65</v>
      </c>
      <c r="R190">
        <v>4.38</v>
      </c>
      <c r="T190">
        <v>3.95</v>
      </c>
      <c r="V190">
        <v>4.8600000000000003</v>
      </c>
      <c r="W190" t="s">
        <v>66</v>
      </c>
      <c r="X190" t="s">
        <v>67</v>
      </c>
      <c r="Y190" t="s">
        <v>67</v>
      </c>
      <c r="Z190" t="s">
        <v>68</v>
      </c>
      <c r="AB190">
        <v>4</v>
      </c>
      <c r="AC190" t="s">
        <v>61</v>
      </c>
      <c r="AJ190" t="s">
        <v>69</v>
      </c>
      <c r="AY190" t="s">
        <v>314</v>
      </c>
      <c r="AZ190">
        <v>73668</v>
      </c>
      <c r="BA190" t="s">
        <v>315</v>
      </c>
      <c r="BB190" t="s">
        <v>316</v>
      </c>
      <c r="BC190">
        <v>1995</v>
      </c>
      <c r="BD190" t="s">
        <v>90</v>
      </c>
    </row>
    <row r="191" spans="1:56" x14ac:dyDescent="0.35">
      <c r="A191">
        <v>63252</v>
      </c>
      <c r="B191" t="s">
        <v>313</v>
      </c>
      <c r="C191" t="s">
        <v>91</v>
      </c>
      <c r="D191" t="s">
        <v>57</v>
      </c>
      <c r="E191">
        <v>99</v>
      </c>
      <c r="F191" t="s">
        <v>58</v>
      </c>
      <c r="G191" t="s">
        <v>59</v>
      </c>
      <c r="H191" t="s">
        <v>60</v>
      </c>
      <c r="I191" t="s">
        <v>188</v>
      </c>
      <c r="J191" t="s">
        <v>86</v>
      </c>
      <c r="L191" t="s">
        <v>190</v>
      </c>
      <c r="M191" t="s">
        <v>63</v>
      </c>
      <c r="N191" t="s">
        <v>64</v>
      </c>
      <c r="P191" t="s">
        <v>65</v>
      </c>
      <c r="Q191" t="s">
        <v>153</v>
      </c>
      <c r="R191">
        <v>1.6</v>
      </c>
      <c r="W191" t="s">
        <v>66</v>
      </c>
      <c r="X191" t="s">
        <v>67</v>
      </c>
      <c r="Y191" t="s">
        <v>67</v>
      </c>
      <c r="Z191" t="s">
        <v>68</v>
      </c>
      <c r="AB191">
        <v>4</v>
      </c>
      <c r="AC191" t="s">
        <v>61</v>
      </c>
      <c r="AJ191" t="s">
        <v>69</v>
      </c>
      <c r="AY191" t="s">
        <v>331</v>
      </c>
      <c r="AZ191">
        <v>5313</v>
      </c>
      <c r="BA191" t="s">
        <v>332</v>
      </c>
      <c r="BB191" t="s">
        <v>333</v>
      </c>
      <c r="BC191">
        <v>1989</v>
      </c>
      <c r="BD191" t="s">
        <v>90</v>
      </c>
    </row>
    <row r="192" spans="1:56" x14ac:dyDescent="0.35">
      <c r="A192">
        <v>63252</v>
      </c>
      <c r="B192" t="s">
        <v>313</v>
      </c>
      <c r="D192" t="s">
        <v>57</v>
      </c>
      <c r="E192">
        <v>99</v>
      </c>
      <c r="F192" t="s">
        <v>58</v>
      </c>
      <c r="G192" t="s">
        <v>59</v>
      </c>
      <c r="H192" t="s">
        <v>60</v>
      </c>
      <c r="J192">
        <v>28</v>
      </c>
      <c r="K192" t="s">
        <v>61</v>
      </c>
      <c r="L192" t="s">
        <v>74</v>
      </c>
      <c r="M192" t="s">
        <v>63</v>
      </c>
      <c r="N192" t="s">
        <v>64</v>
      </c>
      <c r="P192" t="s">
        <v>65</v>
      </c>
      <c r="R192">
        <v>8.93</v>
      </c>
      <c r="T192">
        <v>8.43</v>
      </c>
      <c r="V192">
        <v>9.4600000000000009</v>
      </c>
      <c r="W192" t="s">
        <v>66</v>
      </c>
      <c r="X192" t="s">
        <v>67</v>
      </c>
      <c r="Y192" t="s">
        <v>67</v>
      </c>
      <c r="Z192" t="s">
        <v>68</v>
      </c>
      <c r="AB192">
        <v>4</v>
      </c>
      <c r="AC192" t="s">
        <v>61</v>
      </c>
      <c r="AJ192" t="s">
        <v>69</v>
      </c>
      <c r="AY192" t="s">
        <v>80</v>
      </c>
      <c r="AZ192">
        <v>12859</v>
      </c>
      <c r="BA192" t="s">
        <v>81</v>
      </c>
      <c r="BB192" t="s">
        <v>82</v>
      </c>
      <c r="BC192">
        <v>1988</v>
      </c>
      <c r="BD192" t="s">
        <v>73</v>
      </c>
    </row>
    <row r="193" spans="1:56" x14ac:dyDescent="0.35">
      <c r="A193">
        <v>63252</v>
      </c>
      <c r="B193" t="s">
        <v>313</v>
      </c>
      <c r="C193" t="s">
        <v>91</v>
      </c>
      <c r="D193" t="s">
        <v>85</v>
      </c>
      <c r="E193">
        <v>99.7</v>
      </c>
      <c r="F193" t="s">
        <v>58</v>
      </c>
      <c r="G193" t="s">
        <v>59</v>
      </c>
      <c r="H193" t="s">
        <v>60</v>
      </c>
      <c r="J193" t="s">
        <v>86</v>
      </c>
      <c r="L193" t="s">
        <v>62</v>
      </c>
      <c r="M193" t="s">
        <v>63</v>
      </c>
      <c r="N193" t="s">
        <v>64</v>
      </c>
      <c r="O193">
        <v>8</v>
      </c>
      <c r="P193" t="s">
        <v>65</v>
      </c>
      <c r="R193">
        <v>5.21</v>
      </c>
      <c r="W193" t="s">
        <v>66</v>
      </c>
      <c r="X193" t="s">
        <v>67</v>
      </c>
      <c r="Y193" t="s">
        <v>67</v>
      </c>
      <c r="Z193" t="s">
        <v>68</v>
      </c>
      <c r="AB193">
        <v>4</v>
      </c>
      <c r="AC193" t="s">
        <v>61</v>
      </c>
      <c r="AJ193" t="s">
        <v>69</v>
      </c>
      <c r="AY193" t="s">
        <v>334</v>
      </c>
      <c r="AZ193">
        <v>81380</v>
      </c>
      <c r="BA193" t="s">
        <v>335</v>
      </c>
      <c r="BB193" t="s">
        <v>336</v>
      </c>
      <c r="BC193">
        <v>2005</v>
      </c>
      <c r="BD193" t="s">
        <v>90</v>
      </c>
    </row>
    <row r="194" spans="1:56" x14ac:dyDescent="0.35">
      <c r="A194">
        <v>63252</v>
      </c>
      <c r="B194" t="s">
        <v>313</v>
      </c>
      <c r="E194">
        <v>99.5</v>
      </c>
      <c r="F194" t="s">
        <v>58</v>
      </c>
      <c r="G194" t="s">
        <v>59</v>
      </c>
      <c r="H194" t="s">
        <v>60</v>
      </c>
      <c r="J194" t="s">
        <v>86</v>
      </c>
      <c r="L194" t="s">
        <v>62</v>
      </c>
      <c r="M194" t="s">
        <v>63</v>
      </c>
      <c r="N194" t="s">
        <v>64</v>
      </c>
      <c r="P194" t="s">
        <v>65</v>
      </c>
      <c r="R194">
        <v>14</v>
      </c>
      <c r="T194">
        <v>11.4</v>
      </c>
      <c r="V194">
        <v>17.2</v>
      </c>
      <c r="W194" t="s">
        <v>66</v>
      </c>
      <c r="X194" t="s">
        <v>67</v>
      </c>
      <c r="Y194" t="s">
        <v>67</v>
      </c>
      <c r="Z194" t="s">
        <v>68</v>
      </c>
      <c r="AB194">
        <v>4</v>
      </c>
      <c r="AC194" t="s">
        <v>61</v>
      </c>
      <c r="AJ194" t="s">
        <v>69</v>
      </c>
      <c r="AY194" t="s">
        <v>96</v>
      </c>
      <c r="AZ194">
        <v>6797</v>
      </c>
      <c r="BA194" t="s">
        <v>97</v>
      </c>
      <c r="BB194" t="s">
        <v>98</v>
      </c>
      <c r="BC194">
        <v>1986</v>
      </c>
      <c r="BD194" t="s">
        <v>90</v>
      </c>
    </row>
    <row r="195" spans="1:56" x14ac:dyDescent="0.35">
      <c r="A195">
        <v>63252</v>
      </c>
      <c r="B195" t="s">
        <v>313</v>
      </c>
      <c r="C195" t="s">
        <v>91</v>
      </c>
      <c r="D195" t="s">
        <v>85</v>
      </c>
      <c r="E195">
        <v>95</v>
      </c>
      <c r="F195" t="s">
        <v>58</v>
      </c>
      <c r="G195" t="s">
        <v>59</v>
      </c>
      <c r="H195" t="s">
        <v>60</v>
      </c>
      <c r="J195" t="s">
        <v>86</v>
      </c>
      <c r="L195" t="s">
        <v>62</v>
      </c>
      <c r="M195" t="s">
        <v>63</v>
      </c>
      <c r="N195" t="s">
        <v>64</v>
      </c>
      <c r="P195" t="s">
        <v>65</v>
      </c>
      <c r="R195">
        <v>7</v>
      </c>
      <c r="W195" t="s">
        <v>66</v>
      </c>
      <c r="X195" t="s">
        <v>67</v>
      </c>
      <c r="Y195" t="s">
        <v>67</v>
      </c>
      <c r="Z195" t="s">
        <v>68</v>
      </c>
      <c r="AB195">
        <v>4</v>
      </c>
      <c r="AC195" t="s">
        <v>61</v>
      </c>
      <c r="AJ195" t="s">
        <v>69</v>
      </c>
      <c r="AY195" t="s">
        <v>87</v>
      </c>
      <c r="AZ195">
        <v>936</v>
      </c>
      <c r="BA195" t="s">
        <v>219</v>
      </c>
      <c r="BB195" t="s">
        <v>220</v>
      </c>
      <c r="BC195">
        <v>1960</v>
      </c>
      <c r="BD195" t="s">
        <v>90</v>
      </c>
    </row>
    <row r="196" spans="1:56" x14ac:dyDescent="0.35">
      <c r="A196">
        <v>64175</v>
      </c>
      <c r="B196" t="s">
        <v>337</v>
      </c>
      <c r="D196" t="s">
        <v>57</v>
      </c>
      <c r="E196">
        <v>95</v>
      </c>
      <c r="F196" t="s">
        <v>58</v>
      </c>
      <c r="G196" t="s">
        <v>59</v>
      </c>
      <c r="H196" t="s">
        <v>60</v>
      </c>
      <c r="J196">
        <v>30</v>
      </c>
      <c r="K196" t="s">
        <v>61</v>
      </c>
      <c r="L196" t="s">
        <v>74</v>
      </c>
      <c r="M196" t="s">
        <v>63</v>
      </c>
      <c r="N196" t="s">
        <v>64</v>
      </c>
      <c r="P196" t="s">
        <v>65</v>
      </c>
      <c r="R196">
        <v>14200</v>
      </c>
      <c r="T196">
        <v>13400</v>
      </c>
      <c r="V196">
        <v>15100</v>
      </c>
      <c r="W196" t="s">
        <v>66</v>
      </c>
      <c r="X196" t="s">
        <v>67</v>
      </c>
      <c r="Y196" t="s">
        <v>67</v>
      </c>
      <c r="Z196" t="s">
        <v>68</v>
      </c>
      <c r="AB196">
        <v>4</v>
      </c>
      <c r="AC196" t="s">
        <v>61</v>
      </c>
      <c r="AJ196" t="s">
        <v>69</v>
      </c>
      <c r="AY196" t="s">
        <v>286</v>
      </c>
      <c r="AZ196">
        <v>12448</v>
      </c>
      <c r="BA196" t="s">
        <v>287</v>
      </c>
      <c r="BB196" t="s">
        <v>288</v>
      </c>
      <c r="BC196">
        <v>1984</v>
      </c>
      <c r="BD196" t="s">
        <v>73</v>
      </c>
    </row>
    <row r="197" spans="1:56" x14ac:dyDescent="0.35">
      <c r="A197">
        <v>64175</v>
      </c>
      <c r="B197" t="s">
        <v>337</v>
      </c>
      <c r="C197" t="s">
        <v>195</v>
      </c>
      <c r="D197" t="s">
        <v>85</v>
      </c>
      <c r="E197" t="s">
        <v>86</v>
      </c>
      <c r="F197" t="s">
        <v>58</v>
      </c>
      <c r="G197" t="s">
        <v>59</v>
      </c>
      <c r="H197" t="s">
        <v>60</v>
      </c>
      <c r="I197" t="s">
        <v>129</v>
      </c>
      <c r="J197" t="s">
        <v>86</v>
      </c>
      <c r="L197" t="s">
        <v>62</v>
      </c>
      <c r="M197" t="s">
        <v>63</v>
      </c>
      <c r="N197" t="s">
        <v>64</v>
      </c>
      <c r="O197">
        <v>5</v>
      </c>
      <c r="P197" t="s">
        <v>65</v>
      </c>
      <c r="Q197" t="s">
        <v>153</v>
      </c>
      <c r="R197">
        <v>100</v>
      </c>
      <c r="W197" t="s">
        <v>66</v>
      </c>
      <c r="X197" t="s">
        <v>67</v>
      </c>
      <c r="Y197" t="s">
        <v>67</v>
      </c>
      <c r="Z197" t="s">
        <v>68</v>
      </c>
      <c r="AB197">
        <v>4</v>
      </c>
      <c r="AC197" t="s">
        <v>61</v>
      </c>
      <c r="AJ197" t="s">
        <v>69</v>
      </c>
      <c r="AY197" t="s">
        <v>298</v>
      </c>
      <c r="AZ197">
        <v>11951</v>
      </c>
      <c r="BA197" t="s">
        <v>299</v>
      </c>
      <c r="BB197" t="s">
        <v>300</v>
      </c>
      <c r="BC197">
        <v>1986</v>
      </c>
      <c r="BD197" t="s">
        <v>90</v>
      </c>
    </row>
    <row r="198" spans="1:56" x14ac:dyDescent="0.35">
      <c r="A198">
        <v>64175</v>
      </c>
      <c r="B198" t="s">
        <v>337</v>
      </c>
      <c r="D198" t="s">
        <v>85</v>
      </c>
      <c r="E198" t="s">
        <v>86</v>
      </c>
      <c r="F198" t="s">
        <v>58</v>
      </c>
      <c r="G198" t="s">
        <v>59</v>
      </c>
      <c r="H198" t="s">
        <v>60</v>
      </c>
      <c r="I198" t="s">
        <v>129</v>
      </c>
      <c r="J198" t="s">
        <v>86</v>
      </c>
      <c r="K198" t="s">
        <v>196</v>
      </c>
      <c r="L198" t="s">
        <v>62</v>
      </c>
      <c r="M198" t="s">
        <v>63</v>
      </c>
      <c r="N198" t="s">
        <v>64</v>
      </c>
      <c r="P198" t="s">
        <v>100</v>
      </c>
      <c r="R198">
        <v>13480</v>
      </c>
      <c r="W198" t="s">
        <v>66</v>
      </c>
      <c r="X198" t="s">
        <v>67</v>
      </c>
      <c r="Y198" t="s">
        <v>67</v>
      </c>
      <c r="Z198" t="s">
        <v>68</v>
      </c>
      <c r="AB198">
        <v>4</v>
      </c>
      <c r="AC198" t="s">
        <v>61</v>
      </c>
      <c r="AJ198" t="s">
        <v>69</v>
      </c>
      <c r="AY198" t="s">
        <v>338</v>
      </c>
      <c r="AZ198">
        <v>719</v>
      </c>
      <c r="BA198" t="s">
        <v>339</v>
      </c>
      <c r="BB198" t="s">
        <v>340</v>
      </c>
      <c r="BC198">
        <v>1976</v>
      </c>
      <c r="BD198" t="s">
        <v>341</v>
      </c>
    </row>
    <row r="199" spans="1:56" x14ac:dyDescent="0.35">
      <c r="A199">
        <v>64175</v>
      </c>
      <c r="B199" t="s">
        <v>337</v>
      </c>
      <c r="D199" t="s">
        <v>57</v>
      </c>
      <c r="E199">
        <v>95</v>
      </c>
      <c r="F199" t="s">
        <v>58</v>
      </c>
      <c r="G199" t="s">
        <v>59</v>
      </c>
      <c r="H199" t="s">
        <v>60</v>
      </c>
      <c r="J199">
        <v>30</v>
      </c>
      <c r="K199" t="s">
        <v>61</v>
      </c>
      <c r="L199" t="s">
        <v>74</v>
      </c>
      <c r="M199" t="s">
        <v>63</v>
      </c>
      <c r="N199" t="s">
        <v>64</v>
      </c>
      <c r="O199">
        <v>6</v>
      </c>
      <c r="P199" t="s">
        <v>65</v>
      </c>
      <c r="R199">
        <v>15300</v>
      </c>
      <c r="T199">
        <v>14100</v>
      </c>
      <c r="V199">
        <v>16600</v>
      </c>
      <c r="W199" t="s">
        <v>66</v>
      </c>
      <c r="X199" t="s">
        <v>67</v>
      </c>
      <c r="Y199" t="s">
        <v>67</v>
      </c>
      <c r="Z199" t="s">
        <v>68</v>
      </c>
      <c r="AB199">
        <v>4</v>
      </c>
      <c r="AC199" t="s">
        <v>61</v>
      </c>
      <c r="AJ199" t="s">
        <v>69</v>
      </c>
      <c r="AY199" t="s">
        <v>286</v>
      </c>
      <c r="AZ199">
        <v>12448</v>
      </c>
      <c r="BA199" t="s">
        <v>287</v>
      </c>
      <c r="BB199" t="s">
        <v>288</v>
      </c>
      <c r="BC199">
        <v>1984</v>
      </c>
      <c r="BD199" t="s">
        <v>73</v>
      </c>
    </row>
    <row r="200" spans="1:56" x14ac:dyDescent="0.35">
      <c r="A200">
        <v>64175</v>
      </c>
      <c r="B200" t="s">
        <v>337</v>
      </c>
      <c r="D200" t="s">
        <v>85</v>
      </c>
      <c r="E200" t="s">
        <v>86</v>
      </c>
      <c r="F200" t="s">
        <v>58</v>
      </c>
      <c r="G200" t="s">
        <v>59</v>
      </c>
      <c r="H200" t="s">
        <v>60</v>
      </c>
      <c r="J200" t="s">
        <v>86</v>
      </c>
      <c r="L200" t="s">
        <v>62</v>
      </c>
      <c r="M200" t="s">
        <v>63</v>
      </c>
      <c r="N200" t="s">
        <v>64</v>
      </c>
      <c r="O200">
        <v>6</v>
      </c>
      <c r="P200" t="s">
        <v>100</v>
      </c>
      <c r="R200">
        <v>12720</v>
      </c>
      <c r="T200">
        <v>11287</v>
      </c>
      <c r="V200">
        <v>14334</v>
      </c>
      <c r="W200" t="s">
        <v>66</v>
      </c>
      <c r="X200" t="s">
        <v>67</v>
      </c>
      <c r="Y200" t="s">
        <v>67</v>
      </c>
      <c r="Z200" t="s">
        <v>68</v>
      </c>
      <c r="AB200">
        <v>4</v>
      </c>
      <c r="AC200" t="s">
        <v>61</v>
      </c>
      <c r="AJ200" t="s">
        <v>69</v>
      </c>
      <c r="AY200" t="s">
        <v>342</v>
      </c>
      <c r="AZ200">
        <v>115034</v>
      </c>
      <c r="BA200" t="s">
        <v>343</v>
      </c>
      <c r="BB200" t="s">
        <v>344</v>
      </c>
      <c r="BC200">
        <v>1987</v>
      </c>
      <c r="BD200" t="s">
        <v>90</v>
      </c>
    </row>
    <row r="201" spans="1:56" x14ac:dyDescent="0.35">
      <c r="A201">
        <v>64197</v>
      </c>
      <c r="B201" t="s">
        <v>345</v>
      </c>
      <c r="D201" t="s">
        <v>85</v>
      </c>
      <c r="E201" t="s">
        <v>86</v>
      </c>
      <c r="F201" t="s">
        <v>58</v>
      </c>
      <c r="G201" t="s">
        <v>59</v>
      </c>
      <c r="H201" t="s">
        <v>60</v>
      </c>
      <c r="I201" t="s">
        <v>129</v>
      </c>
      <c r="J201" t="s">
        <v>86</v>
      </c>
      <c r="K201" t="s">
        <v>196</v>
      </c>
      <c r="L201" t="s">
        <v>62</v>
      </c>
      <c r="M201" t="s">
        <v>63</v>
      </c>
      <c r="N201" t="s">
        <v>64</v>
      </c>
      <c r="P201" t="s">
        <v>100</v>
      </c>
      <c r="R201">
        <v>88</v>
      </c>
      <c r="W201" t="s">
        <v>66</v>
      </c>
      <c r="X201" t="s">
        <v>67</v>
      </c>
      <c r="Y201" t="s">
        <v>67</v>
      </c>
      <c r="Z201" t="s">
        <v>68</v>
      </c>
      <c r="AB201">
        <v>4</v>
      </c>
      <c r="AC201" t="s">
        <v>61</v>
      </c>
      <c r="AJ201" t="s">
        <v>69</v>
      </c>
      <c r="AY201" t="s">
        <v>338</v>
      </c>
      <c r="AZ201">
        <v>719</v>
      </c>
      <c r="BA201" t="s">
        <v>339</v>
      </c>
      <c r="BB201" t="s">
        <v>340</v>
      </c>
      <c r="BC201">
        <v>1976</v>
      </c>
      <c r="BD201" t="s">
        <v>341</v>
      </c>
    </row>
    <row r="202" spans="1:56" x14ac:dyDescent="0.35">
      <c r="A202">
        <v>64197</v>
      </c>
      <c r="B202" t="s">
        <v>345</v>
      </c>
      <c r="D202" t="s">
        <v>85</v>
      </c>
      <c r="E202" t="s">
        <v>86</v>
      </c>
      <c r="F202" t="s">
        <v>58</v>
      </c>
      <c r="G202" t="s">
        <v>59</v>
      </c>
      <c r="H202" t="s">
        <v>60</v>
      </c>
      <c r="I202" t="s">
        <v>129</v>
      </c>
      <c r="J202" t="s">
        <v>86</v>
      </c>
      <c r="K202" t="s">
        <v>196</v>
      </c>
      <c r="L202" t="s">
        <v>62</v>
      </c>
      <c r="M202" t="s">
        <v>63</v>
      </c>
      <c r="N202" t="s">
        <v>64</v>
      </c>
      <c r="P202" t="s">
        <v>100</v>
      </c>
      <c r="R202">
        <v>79</v>
      </c>
      <c r="W202" t="s">
        <v>66</v>
      </c>
      <c r="X202" t="s">
        <v>67</v>
      </c>
      <c r="Y202" t="s">
        <v>67</v>
      </c>
      <c r="Z202" t="s">
        <v>68</v>
      </c>
      <c r="AB202">
        <v>4</v>
      </c>
      <c r="AC202" t="s">
        <v>61</v>
      </c>
      <c r="AJ202" t="s">
        <v>69</v>
      </c>
      <c r="AY202" t="s">
        <v>338</v>
      </c>
      <c r="AZ202">
        <v>719</v>
      </c>
      <c r="BA202" t="s">
        <v>339</v>
      </c>
      <c r="BB202" t="s">
        <v>340</v>
      </c>
      <c r="BC202">
        <v>1976</v>
      </c>
      <c r="BD202" t="s">
        <v>341</v>
      </c>
    </row>
    <row r="203" spans="1:56" x14ac:dyDescent="0.35">
      <c r="A203">
        <v>65305</v>
      </c>
      <c r="B203" t="s">
        <v>346</v>
      </c>
      <c r="D203" t="s">
        <v>57</v>
      </c>
      <c r="E203">
        <v>58</v>
      </c>
      <c r="F203" t="s">
        <v>58</v>
      </c>
      <c r="G203" t="s">
        <v>59</v>
      </c>
      <c r="H203" t="s">
        <v>60</v>
      </c>
      <c r="J203" t="s">
        <v>86</v>
      </c>
      <c r="K203" t="s">
        <v>61</v>
      </c>
      <c r="L203" t="s">
        <v>74</v>
      </c>
      <c r="M203" t="s">
        <v>63</v>
      </c>
      <c r="N203" t="s">
        <v>64</v>
      </c>
      <c r="P203" t="s">
        <v>65</v>
      </c>
      <c r="R203">
        <v>15.6</v>
      </c>
      <c r="T203">
        <v>11.3</v>
      </c>
      <c r="V203">
        <v>21.6</v>
      </c>
      <c r="W203" t="s">
        <v>66</v>
      </c>
      <c r="X203" t="s">
        <v>67</v>
      </c>
      <c r="Y203" t="s">
        <v>67</v>
      </c>
      <c r="Z203" t="s">
        <v>68</v>
      </c>
      <c r="AB203">
        <v>4</v>
      </c>
      <c r="AC203" t="s">
        <v>61</v>
      </c>
      <c r="AJ203" t="s">
        <v>69</v>
      </c>
      <c r="AY203" t="s">
        <v>75</v>
      </c>
      <c r="AZ203">
        <v>3217</v>
      </c>
      <c r="BA203" t="s">
        <v>76</v>
      </c>
      <c r="BB203" t="s">
        <v>77</v>
      </c>
      <c r="BC203">
        <v>1990</v>
      </c>
      <c r="BD203" t="s">
        <v>347</v>
      </c>
    </row>
    <row r="204" spans="1:56" x14ac:dyDescent="0.35">
      <c r="A204">
        <v>65305</v>
      </c>
      <c r="B204" t="s">
        <v>346</v>
      </c>
      <c r="D204" t="s">
        <v>57</v>
      </c>
      <c r="E204" t="s">
        <v>86</v>
      </c>
      <c r="F204" t="s">
        <v>58</v>
      </c>
      <c r="G204" t="s">
        <v>59</v>
      </c>
      <c r="H204" t="s">
        <v>60</v>
      </c>
      <c r="J204">
        <v>29</v>
      </c>
      <c r="K204" t="s">
        <v>61</v>
      </c>
      <c r="L204" t="s">
        <v>74</v>
      </c>
      <c r="M204" t="s">
        <v>63</v>
      </c>
      <c r="N204" t="s">
        <v>64</v>
      </c>
      <c r="P204" t="s">
        <v>65</v>
      </c>
      <c r="R204">
        <v>12.2</v>
      </c>
      <c r="T204">
        <v>11</v>
      </c>
      <c r="V204">
        <v>13.4</v>
      </c>
      <c r="W204" t="s">
        <v>66</v>
      </c>
      <c r="X204" t="s">
        <v>67</v>
      </c>
      <c r="Y204" t="s">
        <v>67</v>
      </c>
      <c r="Z204" t="s">
        <v>68</v>
      </c>
      <c r="AB204">
        <v>4</v>
      </c>
      <c r="AC204" t="s">
        <v>61</v>
      </c>
      <c r="AJ204" t="s">
        <v>69</v>
      </c>
      <c r="AY204" t="s">
        <v>80</v>
      </c>
      <c r="AZ204">
        <v>12859</v>
      </c>
      <c r="BA204" t="s">
        <v>81</v>
      </c>
      <c r="BB204" t="s">
        <v>82</v>
      </c>
      <c r="BC204">
        <v>1988</v>
      </c>
      <c r="BD204" t="s">
        <v>73</v>
      </c>
    </row>
    <row r="205" spans="1:56" x14ac:dyDescent="0.35">
      <c r="A205">
        <v>65305</v>
      </c>
      <c r="B205" t="s">
        <v>346</v>
      </c>
      <c r="D205" t="s">
        <v>57</v>
      </c>
      <c r="E205" t="s">
        <v>86</v>
      </c>
      <c r="F205" t="s">
        <v>58</v>
      </c>
      <c r="G205" t="s">
        <v>59</v>
      </c>
      <c r="H205" t="s">
        <v>60</v>
      </c>
      <c r="J205" t="s">
        <v>86</v>
      </c>
      <c r="L205" t="s">
        <v>74</v>
      </c>
      <c r="M205" t="s">
        <v>63</v>
      </c>
      <c r="N205" t="s">
        <v>64</v>
      </c>
      <c r="P205" t="s">
        <v>65</v>
      </c>
      <c r="R205">
        <v>19.7</v>
      </c>
      <c r="T205">
        <v>14.2</v>
      </c>
      <c r="V205">
        <v>27.3</v>
      </c>
      <c r="W205" t="s">
        <v>66</v>
      </c>
      <c r="X205" t="s">
        <v>67</v>
      </c>
      <c r="Y205" t="s">
        <v>67</v>
      </c>
      <c r="Z205" t="s">
        <v>68</v>
      </c>
      <c r="AB205">
        <v>4</v>
      </c>
      <c r="AC205" t="s">
        <v>61</v>
      </c>
      <c r="AJ205" t="s">
        <v>69</v>
      </c>
      <c r="AY205" t="s">
        <v>144</v>
      </c>
      <c r="AZ205">
        <v>12665</v>
      </c>
      <c r="BA205" t="s">
        <v>145</v>
      </c>
      <c r="BB205" t="s">
        <v>146</v>
      </c>
      <c r="BC205">
        <v>1987</v>
      </c>
      <c r="BD205" t="s">
        <v>90</v>
      </c>
    </row>
    <row r="206" spans="1:56" x14ac:dyDescent="0.35">
      <c r="A206">
        <v>65452</v>
      </c>
      <c r="B206" t="s">
        <v>348</v>
      </c>
      <c r="D206" t="s">
        <v>57</v>
      </c>
      <c r="E206" t="s">
        <v>128</v>
      </c>
      <c r="F206" t="s">
        <v>58</v>
      </c>
      <c r="G206" t="s">
        <v>59</v>
      </c>
      <c r="H206" t="s">
        <v>60</v>
      </c>
      <c r="I206" t="s">
        <v>129</v>
      </c>
      <c r="J206" t="s">
        <v>86</v>
      </c>
      <c r="K206" t="s">
        <v>61</v>
      </c>
      <c r="L206" t="s">
        <v>74</v>
      </c>
      <c r="M206" t="s">
        <v>63</v>
      </c>
      <c r="N206" t="s">
        <v>64</v>
      </c>
      <c r="P206" t="s">
        <v>65</v>
      </c>
      <c r="R206">
        <v>101</v>
      </c>
      <c r="W206" t="s">
        <v>66</v>
      </c>
      <c r="X206" t="s">
        <v>67</v>
      </c>
      <c r="Y206" t="s">
        <v>67</v>
      </c>
      <c r="Z206" t="s">
        <v>68</v>
      </c>
      <c r="AB206">
        <v>4</v>
      </c>
      <c r="AC206" t="s">
        <v>61</v>
      </c>
      <c r="AJ206" t="s">
        <v>69</v>
      </c>
      <c r="AY206" t="s">
        <v>134</v>
      </c>
      <c r="AZ206">
        <v>15031</v>
      </c>
      <c r="BA206" t="s">
        <v>135</v>
      </c>
      <c r="BB206" t="s">
        <v>136</v>
      </c>
      <c r="BC206">
        <v>1995</v>
      </c>
      <c r="BD206" t="s">
        <v>133</v>
      </c>
    </row>
    <row r="207" spans="1:56" x14ac:dyDescent="0.35">
      <c r="A207">
        <v>65452</v>
      </c>
      <c r="B207" t="s">
        <v>348</v>
      </c>
      <c r="D207" t="s">
        <v>57</v>
      </c>
      <c r="E207">
        <v>99</v>
      </c>
      <c r="F207" t="s">
        <v>58</v>
      </c>
      <c r="G207" t="s">
        <v>59</v>
      </c>
      <c r="H207" t="s">
        <v>60</v>
      </c>
      <c r="J207">
        <v>34</v>
      </c>
      <c r="K207" t="s">
        <v>61</v>
      </c>
      <c r="L207" t="s">
        <v>74</v>
      </c>
      <c r="M207" t="s">
        <v>63</v>
      </c>
      <c r="N207" t="s">
        <v>64</v>
      </c>
      <c r="P207" t="s">
        <v>65</v>
      </c>
      <c r="R207">
        <v>101</v>
      </c>
      <c r="T207">
        <v>94</v>
      </c>
      <c r="V207">
        <v>108</v>
      </c>
      <c r="W207" t="s">
        <v>66</v>
      </c>
      <c r="X207" t="s">
        <v>67</v>
      </c>
      <c r="Y207" t="s">
        <v>67</v>
      </c>
      <c r="Z207" t="s">
        <v>68</v>
      </c>
      <c r="AB207">
        <v>4</v>
      </c>
      <c r="AC207" t="s">
        <v>61</v>
      </c>
      <c r="AJ207" t="s">
        <v>69</v>
      </c>
      <c r="AY207" t="s">
        <v>141</v>
      </c>
      <c r="AZ207">
        <v>12447</v>
      </c>
      <c r="BA207" t="s">
        <v>142</v>
      </c>
      <c r="BB207" t="s">
        <v>143</v>
      </c>
      <c r="BC207">
        <v>1985</v>
      </c>
      <c r="BD207" t="s">
        <v>73</v>
      </c>
    </row>
    <row r="208" spans="1:56" x14ac:dyDescent="0.35">
      <c r="A208">
        <v>66251</v>
      </c>
      <c r="B208" t="s">
        <v>349</v>
      </c>
      <c r="D208" t="s">
        <v>57</v>
      </c>
      <c r="E208">
        <v>99</v>
      </c>
      <c r="F208" t="s">
        <v>58</v>
      </c>
      <c r="G208" t="s">
        <v>59</v>
      </c>
      <c r="H208" t="s">
        <v>60</v>
      </c>
      <c r="J208" t="s">
        <v>86</v>
      </c>
      <c r="K208" t="s">
        <v>61</v>
      </c>
      <c r="L208" t="s">
        <v>74</v>
      </c>
      <c r="M208" t="s">
        <v>63</v>
      </c>
      <c r="N208" t="s">
        <v>64</v>
      </c>
      <c r="P208" t="s">
        <v>65</v>
      </c>
      <c r="R208">
        <v>14</v>
      </c>
      <c r="T208">
        <v>12</v>
      </c>
      <c r="V208">
        <v>16.5</v>
      </c>
      <c r="W208" t="s">
        <v>66</v>
      </c>
      <c r="X208" t="s">
        <v>67</v>
      </c>
      <c r="Y208" t="s">
        <v>67</v>
      </c>
      <c r="Z208" t="s">
        <v>68</v>
      </c>
      <c r="AB208">
        <v>4</v>
      </c>
      <c r="AC208" t="s">
        <v>61</v>
      </c>
      <c r="AJ208" t="s">
        <v>69</v>
      </c>
      <c r="AY208" t="s">
        <v>141</v>
      </c>
      <c r="AZ208">
        <v>12447</v>
      </c>
      <c r="BA208" t="s">
        <v>142</v>
      </c>
      <c r="BB208" t="s">
        <v>143</v>
      </c>
      <c r="BC208">
        <v>1985</v>
      </c>
      <c r="BD208" t="s">
        <v>350</v>
      </c>
    </row>
    <row r="209" spans="1:56" x14ac:dyDescent="0.35">
      <c r="A209">
        <v>66251</v>
      </c>
      <c r="B209" t="s">
        <v>349</v>
      </c>
      <c r="D209" t="s">
        <v>57</v>
      </c>
      <c r="E209">
        <v>99</v>
      </c>
      <c r="F209" t="s">
        <v>58</v>
      </c>
      <c r="G209" t="s">
        <v>59</v>
      </c>
      <c r="H209" t="s">
        <v>60</v>
      </c>
      <c r="J209">
        <v>33</v>
      </c>
      <c r="K209" t="s">
        <v>61</v>
      </c>
      <c r="L209" t="s">
        <v>74</v>
      </c>
      <c r="M209" t="s">
        <v>63</v>
      </c>
      <c r="N209" t="s">
        <v>64</v>
      </c>
      <c r="P209" t="s">
        <v>65</v>
      </c>
      <c r="R209">
        <v>22</v>
      </c>
      <c r="T209">
        <v>21</v>
      </c>
      <c r="V209">
        <v>23</v>
      </c>
      <c r="W209" t="s">
        <v>66</v>
      </c>
      <c r="X209" t="s">
        <v>67</v>
      </c>
      <c r="Y209" t="s">
        <v>67</v>
      </c>
      <c r="Z209" t="s">
        <v>68</v>
      </c>
      <c r="AB209">
        <v>4</v>
      </c>
      <c r="AC209" t="s">
        <v>61</v>
      </c>
      <c r="AJ209" t="s">
        <v>69</v>
      </c>
      <c r="AY209" t="s">
        <v>75</v>
      </c>
      <c r="AZ209">
        <v>3217</v>
      </c>
      <c r="BA209" t="s">
        <v>76</v>
      </c>
      <c r="BB209" t="s">
        <v>77</v>
      </c>
      <c r="BC209">
        <v>1990</v>
      </c>
      <c r="BD209" t="s">
        <v>73</v>
      </c>
    </row>
    <row r="210" spans="1:56" x14ac:dyDescent="0.35">
      <c r="A210">
        <v>66251</v>
      </c>
      <c r="B210" t="s">
        <v>349</v>
      </c>
      <c r="D210" t="s">
        <v>57</v>
      </c>
      <c r="E210">
        <v>99</v>
      </c>
      <c r="F210" t="s">
        <v>58</v>
      </c>
      <c r="G210" t="s">
        <v>59</v>
      </c>
      <c r="H210" t="s">
        <v>60</v>
      </c>
      <c r="J210" t="s">
        <v>86</v>
      </c>
      <c r="L210" t="s">
        <v>74</v>
      </c>
      <c r="M210" t="s">
        <v>63</v>
      </c>
      <c r="N210" t="s">
        <v>64</v>
      </c>
      <c r="O210">
        <v>7</v>
      </c>
      <c r="P210" t="s">
        <v>65</v>
      </c>
      <c r="Q210" t="s">
        <v>153</v>
      </c>
      <c r="R210">
        <v>18</v>
      </c>
      <c r="W210" t="s">
        <v>66</v>
      </c>
      <c r="X210" t="s">
        <v>67</v>
      </c>
      <c r="Y210" t="s">
        <v>67</v>
      </c>
      <c r="Z210" t="s">
        <v>68</v>
      </c>
      <c r="AB210">
        <v>4</v>
      </c>
      <c r="AC210" t="s">
        <v>61</v>
      </c>
      <c r="AJ210" t="s">
        <v>69</v>
      </c>
      <c r="AY210" t="s">
        <v>351</v>
      </c>
      <c r="AZ210">
        <v>9994</v>
      </c>
      <c r="BA210" t="s">
        <v>352</v>
      </c>
      <c r="BB210" t="s">
        <v>353</v>
      </c>
      <c r="BC210">
        <v>1982</v>
      </c>
      <c r="BD210" t="s">
        <v>90</v>
      </c>
    </row>
    <row r="211" spans="1:56" x14ac:dyDescent="0.35">
      <c r="A211">
        <v>66251</v>
      </c>
      <c r="B211" t="s">
        <v>349</v>
      </c>
      <c r="D211" t="s">
        <v>57</v>
      </c>
      <c r="E211">
        <v>99</v>
      </c>
      <c r="F211" t="s">
        <v>58</v>
      </c>
      <c r="G211" t="s">
        <v>59</v>
      </c>
      <c r="H211" t="s">
        <v>60</v>
      </c>
      <c r="J211" t="s">
        <v>86</v>
      </c>
      <c r="L211" t="s">
        <v>62</v>
      </c>
      <c r="M211" t="s">
        <v>63</v>
      </c>
      <c r="N211" t="s">
        <v>64</v>
      </c>
      <c r="O211">
        <v>6</v>
      </c>
      <c r="P211" t="s">
        <v>65</v>
      </c>
      <c r="Q211" t="s">
        <v>153</v>
      </c>
      <c r="R211">
        <v>18</v>
      </c>
      <c r="W211" t="s">
        <v>66</v>
      </c>
      <c r="X211" t="s">
        <v>67</v>
      </c>
      <c r="Y211" t="s">
        <v>67</v>
      </c>
      <c r="Z211" t="s">
        <v>68</v>
      </c>
      <c r="AB211">
        <v>4</v>
      </c>
      <c r="AC211" t="s">
        <v>61</v>
      </c>
      <c r="AJ211" t="s">
        <v>69</v>
      </c>
      <c r="AY211" t="s">
        <v>351</v>
      </c>
      <c r="AZ211">
        <v>9994</v>
      </c>
      <c r="BA211" t="s">
        <v>352</v>
      </c>
      <c r="BB211" t="s">
        <v>353</v>
      </c>
      <c r="BC211">
        <v>1982</v>
      </c>
      <c r="BD211" t="s">
        <v>90</v>
      </c>
    </row>
    <row r="212" spans="1:56" x14ac:dyDescent="0.35">
      <c r="A212">
        <v>66762</v>
      </c>
      <c r="B212" t="s">
        <v>354</v>
      </c>
      <c r="D212" t="s">
        <v>57</v>
      </c>
      <c r="E212" t="s">
        <v>128</v>
      </c>
      <c r="F212" t="s">
        <v>58</v>
      </c>
      <c r="G212" t="s">
        <v>59</v>
      </c>
      <c r="H212" t="s">
        <v>60</v>
      </c>
      <c r="I212" t="s">
        <v>129</v>
      </c>
      <c r="J212" t="s">
        <v>86</v>
      </c>
      <c r="K212" t="s">
        <v>61</v>
      </c>
      <c r="L212" t="s">
        <v>74</v>
      </c>
      <c r="M212" t="s">
        <v>63</v>
      </c>
      <c r="N212" t="s">
        <v>64</v>
      </c>
      <c r="P212" t="s">
        <v>65</v>
      </c>
      <c r="R212">
        <v>5.1100000000000003</v>
      </c>
      <c r="W212" t="s">
        <v>66</v>
      </c>
      <c r="X212" t="s">
        <v>67</v>
      </c>
      <c r="Y212" t="s">
        <v>67</v>
      </c>
      <c r="Z212" t="s">
        <v>68</v>
      </c>
      <c r="AB212">
        <v>4</v>
      </c>
      <c r="AC212" t="s">
        <v>61</v>
      </c>
      <c r="AJ212" t="s">
        <v>69</v>
      </c>
      <c r="AY212" t="s">
        <v>134</v>
      </c>
      <c r="AZ212">
        <v>15031</v>
      </c>
      <c r="BA212" t="s">
        <v>135</v>
      </c>
      <c r="BB212" t="s">
        <v>136</v>
      </c>
      <c r="BC212">
        <v>1995</v>
      </c>
      <c r="BD212" t="s">
        <v>133</v>
      </c>
    </row>
    <row r="213" spans="1:56" x14ac:dyDescent="0.35">
      <c r="A213">
        <v>66762</v>
      </c>
      <c r="B213" t="s">
        <v>354</v>
      </c>
      <c r="D213" t="s">
        <v>57</v>
      </c>
      <c r="E213">
        <v>99</v>
      </c>
      <c r="F213" t="s">
        <v>58</v>
      </c>
      <c r="G213" t="s">
        <v>59</v>
      </c>
      <c r="H213" t="s">
        <v>60</v>
      </c>
      <c r="J213">
        <v>30</v>
      </c>
      <c r="K213" t="s">
        <v>61</v>
      </c>
      <c r="L213" t="s">
        <v>74</v>
      </c>
      <c r="M213" t="s">
        <v>63</v>
      </c>
      <c r="N213" t="s">
        <v>64</v>
      </c>
      <c r="P213" t="s">
        <v>65</v>
      </c>
      <c r="R213">
        <v>5.1100000000000003</v>
      </c>
      <c r="T213">
        <v>4.18</v>
      </c>
      <c r="V213">
        <v>6.24</v>
      </c>
      <c r="W213" t="s">
        <v>66</v>
      </c>
      <c r="X213" t="s">
        <v>67</v>
      </c>
      <c r="Y213" t="s">
        <v>67</v>
      </c>
      <c r="Z213" t="s">
        <v>68</v>
      </c>
      <c r="AB213">
        <v>4</v>
      </c>
      <c r="AC213" t="s">
        <v>61</v>
      </c>
      <c r="AJ213" t="s">
        <v>69</v>
      </c>
      <c r="AY213" t="s">
        <v>75</v>
      </c>
      <c r="AZ213">
        <v>3217</v>
      </c>
      <c r="BA213" t="s">
        <v>76</v>
      </c>
      <c r="BB213" t="s">
        <v>77</v>
      </c>
      <c r="BC213">
        <v>1990</v>
      </c>
      <c r="BD213" t="s">
        <v>73</v>
      </c>
    </row>
    <row r="214" spans="1:56" x14ac:dyDescent="0.35">
      <c r="A214">
        <v>67367</v>
      </c>
      <c r="B214" t="s">
        <v>355</v>
      </c>
      <c r="D214" t="s">
        <v>57</v>
      </c>
      <c r="E214" t="s">
        <v>86</v>
      </c>
      <c r="F214" t="s">
        <v>58</v>
      </c>
      <c r="G214" t="s">
        <v>59</v>
      </c>
      <c r="H214" t="s">
        <v>60</v>
      </c>
      <c r="J214">
        <v>31</v>
      </c>
      <c r="K214" t="s">
        <v>61</v>
      </c>
      <c r="L214" t="s">
        <v>74</v>
      </c>
      <c r="M214" t="s">
        <v>63</v>
      </c>
      <c r="N214" t="s">
        <v>64</v>
      </c>
      <c r="P214" t="s">
        <v>65</v>
      </c>
      <c r="R214">
        <v>4.5999999999999996</v>
      </c>
      <c r="W214" t="s">
        <v>66</v>
      </c>
      <c r="X214" t="s">
        <v>67</v>
      </c>
      <c r="Y214" t="s">
        <v>67</v>
      </c>
      <c r="Z214" t="s">
        <v>68</v>
      </c>
      <c r="AB214">
        <v>4</v>
      </c>
      <c r="AC214" t="s">
        <v>61</v>
      </c>
      <c r="AJ214" t="s">
        <v>69</v>
      </c>
      <c r="AY214" t="s">
        <v>138</v>
      </c>
      <c r="AZ214">
        <v>4154</v>
      </c>
      <c r="BA214" t="s">
        <v>356</v>
      </c>
      <c r="BB214" t="s">
        <v>357</v>
      </c>
      <c r="BC214">
        <v>1981</v>
      </c>
      <c r="BD214" t="s">
        <v>73</v>
      </c>
    </row>
    <row r="215" spans="1:56" x14ac:dyDescent="0.35">
      <c r="A215">
        <v>67436</v>
      </c>
      <c r="B215" t="s">
        <v>358</v>
      </c>
      <c r="D215" t="s">
        <v>85</v>
      </c>
      <c r="E215" t="s">
        <v>86</v>
      </c>
      <c r="F215" t="s">
        <v>58</v>
      </c>
      <c r="G215" t="s">
        <v>59</v>
      </c>
      <c r="H215" t="s">
        <v>60</v>
      </c>
      <c r="J215" t="s">
        <v>86</v>
      </c>
      <c r="L215" t="s">
        <v>62</v>
      </c>
      <c r="M215" t="s">
        <v>63</v>
      </c>
      <c r="N215" t="s">
        <v>64</v>
      </c>
      <c r="O215">
        <v>5</v>
      </c>
      <c r="P215" t="s">
        <v>100</v>
      </c>
      <c r="Q215" t="s">
        <v>153</v>
      </c>
      <c r="R215">
        <v>300</v>
      </c>
      <c r="W215" t="s">
        <v>66</v>
      </c>
      <c r="X215" t="s">
        <v>67</v>
      </c>
      <c r="Y215" t="s">
        <v>67</v>
      </c>
      <c r="Z215" t="s">
        <v>68</v>
      </c>
      <c r="AB215">
        <v>4</v>
      </c>
      <c r="AC215" t="s">
        <v>61</v>
      </c>
      <c r="AJ215" t="s">
        <v>69</v>
      </c>
      <c r="AY215" t="s">
        <v>173</v>
      </c>
      <c r="AZ215">
        <v>167113</v>
      </c>
      <c r="BA215" t="s">
        <v>174</v>
      </c>
      <c r="BB215" t="s">
        <v>175</v>
      </c>
      <c r="BC215">
        <v>1974</v>
      </c>
      <c r="BD215" t="s">
        <v>90</v>
      </c>
    </row>
    <row r="216" spans="1:56" x14ac:dyDescent="0.35">
      <c r="A216">
        <v>67561</v>
      </c>
      <c r="B216" t="s">
        <v>359</v>
      </c>
      <c r="C216" t="s">
        <v>195</v>
      </c>
      <c r="D216" t="s">
        <v>85</v>
      </c>
      <c r="E216" t="s">
        <v>86</v>
      </c>
      <c r="F216" t="s">
        <v>58</v>
      </c>
      <c r="G216" t="s">
        <v>59</v>
      </c>
      <c r="H216" t="s">
        <v>60</v>
      </c>
      <c r="I216" t="s">
        <v>129</v>
      </c>
      <c r="J216" t="s">
        <v>86</v>
      </c>
      <c r="L216" t="s">
        <v>62</v>
      </c>
      <c r="M216" t="s">
        <v>63</v>
      </c>
      <c r="N216" t="s">
        <v>64</v>
      </c>
      <c r="O216">
        <v>5</v>
      </c>
      <c r="P216" t="s">
        <v>65</v>
      </c>
      <c r="Q216" t="s">
        <v>153</v>
      </c>
      <c r="R216">
        <v>100</v>
      </c>
      <c r="W216" t="s">
        <v>66</v>
      </c>
      <c r="X216" t="s">
        <v>67</v>
      </c>
      <c r="Y216" t="s">
        <v>67</v>
      </c>
      <c r="Z216" t="s">
        <v>68</v>
      </c>
      <c r="AB216">
        <v>4</v>
      </c>
      <c r="AC216" t="s">
        <v>61</v>
      </c>
      <c r="AJ216" t="s">
        <v>69</v>
      </c>
      <c r="AY216" t="s">
        <v>298</v>
      </c>
      <c r="AZ216">
        <v>11951</v>
      </c>
      <c r="BA216" t="s">
        <v>299</v>
      </c>
      <c r="BB216" t="s">
        <v>300</v>
      </c>
      <c r="BC216">
        <v>1986</v>
      </c>
      <c r="BD216" t="s">
        <v>90</v>
      </c>
    </row>
    <row r="217" spans="1:56" x14ac:dyDescent="0.35">
      <c r="A217">
        <v>67561</v>
      </c>
      <c r="B217" t="s">
        <v>359</v>
      </c>
      <c r="D217" t="s">
        <v>57</v>
      </c>
      <c r="E217" t="s">
        <v>86</v>
      </c>
      <c r="F217" t="s">
        <v>58</v>
      </c>
      <c r="G217" t="s">
        <v>59</v>
      </c>
      <c r="H217" t="s">
        <v>60</v>
      </c>
      <c r="J217" t="s">
        <v>86</v>
      </c>
      <c r="K217" t="s">
        <v>61</v>
      </c>
      <c r="L217" t="s">
        <v>74</v>
      </c>
      <c r="M217" t="s">
        <v>63</v>
      </c>
      <c r="N217" t="s">
        <v>64</v>
      </c>
      <c r="P217" t="s">
        <v>65</v>
      </c>
      <c r="R217">
        <v>29400</v>
      </c>
      <c r="T217">
        <v>28500</v>
      </c>
      <c r="V217">
        <v>30400</v>
      </c>
      <c r="W217" t="s">
        <v>66</v>
      </c>
      <c r="X217" t="s">
        <v>67</v>
      </c>
      <c r="Y217" t="s">
        <v>67</v>
      </c>
      <c r="Z217" t="s">
        <v>68</v>
      </c>
      <c r="AB217">
        <v>4</v>
      </c>
      <c r="AC217" t="s">
        <v>61</v>
      </c>
      <c r="AJ217" t="s">
        <v>69</v>
      </c>
      <c r="AY217" t="s">
        <v>360</v>
      </c>
      <c r="AZ217">
        <v>11988</v>
      </c>
      <c r="BA217" t="s">
        <v>361</v>
      </c>
      <c r="BB217" t="s">
        <v>362</v>
      </c>
      <c r="BC217">
        <v>1986</v>
      </c>
      <c r="BD217" t="s">
        <v>363</v>
      </c>
    </row>
    <row r="218" spans="1:56" x14ac:dyDescent="0.35">
      <c r="A218">
        <v>67561</v>
      </c>
      <c r="B218" t="s">
        <v>359</v>
      </c>
      <c r="D218" t="s">
        <v>85</v>
      </c>
      <c r="E218" t="s">
        <v>86</v>
      </c>
      <c r="F218" t="s">
        <v>58</v>
      </c>
      <c r="G218" t="s">
        <v>59</v>
      </c>
      <c r="H218" t="s">
        <v>60</v>
      </c>
      <c r="J218" t="s">
        <v>86</v>
      </c>
      <c r="L218" t="s">
        <v>62</v>
      </c>
      <c r="M218" t="s">
        <v>63</v>
      </c>
      <c r="N218" t="s">
        <v>64</v>
      </c>
      <c r="O218">
        <v>6</v>
      </c>
      <c r="P218" t="s">
        <v>100</v>
      </c>
      <c r="R218">
        <v>17421</v>
      </c>
      <c r="T218">
        <v>16203</v>
      </c>
      <c r="V218">
        <v>18730</v>
      </c>
      <c r="W218" t="s">
        <v>66</v>
      </c>
      <c r="X218" t="s">
        <v>67</v>
      </c>
      <c r="Y218" t="s">
        <v>67</v>
      </c>
      <c r="Z218" t="s">
        <v>68</v>
      </c>
      <c r="AB218">
        <v>4</v>
      </c>
      <c r="AC218" t="s">
        <v>61</v>
      </c>
      <c r="AJ218" t="s">
        <v>69</v>
      </c>
      <c r="AY218" t="s">
        <v>342</v>
      </c>
      <c r="AZ218">
        <v>115034</v>
      </c>
      <c r="BA218" t="s">
        <v>343</v>
      </c>
      <c r="BB218" t="s">
        <v>344</v>
      </c>
      <c r="BC218">
        <v>1987</v>
      </c>
      <c r="BD218" t="s">
        <v>90</v>
      </c>
    </row>
    <row r="219" spans="1:56" x14ac:dyDescent="0.35">
      <c r="A219">
        <v>67561</v>
      </c>
      <c r="B219" t="s">
        <v>359</v>
      </c>
      <c r="D219" t="s">
        <v>57</v>
      </c>
      <c r="E219" t="s">
        <v>86</v>
      </c>
      <c r="F219" t="s">
        <v>58</v>
      </c>
      <c r="G219" t="s">
        <v>59</v>
      </c>
      <c r="H219" t="s">
        <v>60</v>
      </c>
      <c r="J219" t="s">
        <v>86</v>
      </c>
      <c r="L219" t="s">
        <v>74</v>
      </c>
      <c r="M219" t="s">
        <v>63</v>
      </c>
      <c r="N219" t="s">
        <v>64</v>
      </c>
      <c r="P219" t="s">
        <v>65</v>
      </c>
      <c r="R219">
        <v>28200</v>
      </c>
      <c r="W219" t="s">
        <v>66</v>
      </c>
      <c r="X219" t="s">
        <v>67</v>
      </c>
      <c r="Y219" t="s">
        <v>67</v>
      </c>
      <c r="Z219" t="s">
        <v>68</v>
      </c>
      <c r="AB219">
        <v>4</v>
      </c>
      <c r="AC219" t="s">
        <v>61</v>
      </c>
      <c r="AJ219" t="s">
        <v>69</v>
      </c>
      <c r="AY219" t="s">
        <v>364</v>
      </c>
      <c r="AZ219">
        <v>10183</v>
      </c>
      <c r="BA219" t="s">
        <v>365</v>
      </c>
      <c r="BB219" t="s">
        <v>366</v>
      </c>
      <c r="BC219">
        <v>1983</v>
      </c>
      <c r="BD219" t="s">
        <v>90</v>
      </c>
    </row>
    <row r="220" spans="1:56" x14ac:dyDescent="0.35">
      <c r="A220">
        <v>67561</v>
      </c>
      <c r="B220" t="s">
        <v>359</v>
      </c>
      <c r="D220" t="s">
        <v>57</v>
      </c>
      <c r="E220">
        <v>99</v>
      </c>
      <c r="F220" t="s">
        <v>58</v>
      </c>
      <c r="G220" t="s">
        <v>59</v>
      </c>
      <c r="H220" t="s">
        <v>60</v>
      </c>
      <c r="J220" t="s">
        <v>86</v>
      </c>
      <c r="K220" t="s">
        <v>61</v>
      </c>
      <c r="L220" t="s">
        <v>74</v>
      </c>
      <c r="M220" t="s">
        <v>63</v>
      </c>
      <c r="N220" t="s">
        <v>64</v>
      </c>
      <c r="O220">
        <v>6</v>
      </c>
      <c r="P220" t="s">
        <v>65</v>
      </c>
      <c r="R220">
        <v>28100</v>
      </c>
      <c r="T220">
        <v>27200</v>
      </c>
      <c r="V220">
        <v>29000</v>
      </c>
      <c r="W220" t="s">
        <v>66</v>
      </c>
      <c r="X220" t="s">
        <v>67</v>
      </c>
      <c r="Y220" t="s">
        <v>67</v>
      </c>
      <c r="Z220" t="s">
        <v>68</v>
      </c>
      <c r="AB220">
        <v>4</v>
      </c>
      <c r="AC220" t="s">
        <v>61</v>
      </c>
      <c r="AJ220" t="s">
        <v>69</v>
      </c>
      <c r="AY220" t="s">
        <v>367</v>
      </c>
      <c r="AZ220">
        <v>10579</v>
      </c>
      <c r="BA220" t="s">
        <v>368</v>
      </c>
      <c r="BB220" t="s">
        <v>369</v>
      </c>
      <c r="BC220">
        <v>1983</v>
      </c>
      <c r="BD220" t="s">
        <v>370</v>
      </c>
    </row>
    <row r="221" spans="1:56" x14ac:dyDescent="0.35">
      <c r="A221">
        <v>67630</v>
      </c>
      <c r="B221" t="s">
        <v>371</v>
      </c>
      <c r="D221" t="s">
        <v>57</v>
      </c>
      <c r="E221" t="s">
        <v>86</v>
      </c>
      <c r="F221" t="s">
        <v>58</v>
      </c>
      <c r="G221" t="s">
        <v>59</v>
      </c>
      <c r="H221" t="s">
        <v>60</v>
      </c>
      <c r="J221">
        <v>31</v>
      </c>
      <c r="K221" t="s">
        <v>61</v>
      </c>
      <c r="L221" t="s">
        <v>74</v>
      </c>
      <c r="M221" t="s">
        <v>63</v>
      </c>
      <c r="N221" t="s">
        <v>64</v>
      </c>
      <c r="P221" t="s">
        <v>65</v>
      </c>
      <c r="R221">
        <v>9640</v>
      </c>
      <c r="T221">
        <v>9230</v>
      </c>
      <c r="V221">
        <v>10000</v>
      </c>
      <c r="W221" t="s">
        <v>66</v>
      </c>
      <c r="X221" t="s">
        <v>67</v>
      </c>
      <c r="Y221" t="s">
        <v>67</v>
      </c>
      <c r="Z221" t="s">
        <v>68</v>
      </c>
      <c r="AB221">
        <v>4</v>
      </c>
      <c r="AC221" t="s">
        <v>61</v>
      </c>
      <c r="AJ221" t="s">
        <v>69</v>
      </c>
      <c r="AY221" t="s">
        <v>286</v>
      </c>
      <c r="AZ221">
        <v>12448</v>
      </c>
      <c r="BA221" t="s">
        <v>287</v>
      </c>
      <c r="BB221" t="s">
        <v>288</v>
      </c>
      <c r="BC221">
        <v>1984</v>
      </c>
      <c r="BD221" t="s">
        <v>73</v>
      </c>
    </row>
    <row r="222" spans="1:56" x14ac:dyDescent="0.35">
      <c r="A222">
        <v>67630</v>
      </c>
      <c r="B222" t="s">
        <v>371</v>
      </c>
      <c r="D222" t="s">
        <v>85</v>
      </c>
      <c r="E222" t="s">
        <v>86</v>
      </c>
      <c r="F222" t="s">
        <v>58</v>
      </c>
      <c r="G222" t="s">
        <v>59</v>
      </c>
      <c r="H222" t="s">
        <v>60</v>
      </c>
      <c r="I222" t="s">
        <v>129</v>
      </c>
      <c r="J222" t="s">
        <v>86</v>
      </c>
      <c r="K222" t="s">
        <v>196</v>
      </c>
      <c r="L222" t="s">
        <v>62</v>
      </c>
      <c r="M222" t="s">
        <v>63</v>
      </c>
      <c r="N222" t="s">
        <v>64</v>
      </c>
      <c r="P222" t="s">
        <v>100</v>
      </c>
      <c r="R222">
        <v>11130</v>
      </c>
      <c r="W222" t="s">
        <v>66</v>
      </c>
      <c r="X222" t="s">
        <v>67</v>
      </c>
      <c r="Y222" t="s">
        <v>67</v>
      </c>
      <c r="Z222" t="s">
        <v>68</v>
      </c>
      <c r="AB222">
        <v>4</v>
      </c>
      <c r="AC222" t="s">
        <v>61</v>
      </c>
      <c r="AJ222" t="s">
        <v>69</v>
      </c>
      <c r="AY222" t="s">
        <v>338</v>
      </c>
      <c r="AZ222">
        <v>719</v>
      </c>
      <c r="BA222" t="s">
        <v>339</v>
      </c>
      <c r="BB222" t="s">
        <v>340</v>
      </c>
      <c r="BC222">
        <v>1976</v>
      </c>
      <c r="BD222" t="s">
        <v>341</v>
      </c>
    </row>
    <row r="223" spans="1:56" x14ac:dyDescent="0.35">
      <c r="A223">
        <v>67630</v>
      </c>
      <c r="B223" t="s">
        <v>371</v>
      </c>
      <c r="D223" t="s">
        <v>57</v>
      </c>
      <c r="E223">
        <v>99.8</v>
      </c>
      <c r="F223" t="s">
        <v>58</v>
      </c>
      <c r="G223" t="s">
        <v>59</v>
      </c>
      <c r="H223" t="s">
        <v>60</v>
      </c>
      <c r="J223">
        <v>31</v>
      </c>
      <c r="K223" t="s">
        <v>61</v>
      </c>
      <c r="L223" t="s">
        <v>74</v>
      </c>
      <c r="M223" t="s">
        <v>63</v>
      </c>
      <c r="N223" t="s">
        <v>64</v>
      </c>
      <c r="P223" t="s">
        <v>65</v>
      </c>
      <c r="R223">
        <v>6550</v>
      </c>
      <c r="T223">
        <v>5770</v>
      </c>
      <c r="V223">
        <v>7450</v>
      </c>
      <c r="W223" t="s">
        <v>66</v>
      </c>
      <c r="X223" t="s">
        <v>67</v>
      </c>
      <c r="Y223" t="s">
        <v>67</v>
      </c>
      <c r="Z223" t="s">
        <v>68</v>
      </c>
      <c r="AB223">
        <v>4</v>
      </c>
      <c r="AC223" t="s">
        <v>61</v>
      </c>
      <c r="AJ223" t="s">
        <v>69</v>
      </c>
      <c r="AY223" t="s">
        <v>286</v>
      </c>
      <c r="AZ223">
        <v>12448</v>
      </c>
      <c r="BA223" t="s">
        <v>287</v>
      </c>
      <c r="BB223" t="s">
        <v>288</v>
      </c>
      <c r="BC223">
        <v>1984</v>
      </c>
      <c r="BD223" t="s">
        <v>73</v>
      </c>
    </row>
    <row r="224" spans="1:56" x14ac:dyDescent="0.35">
      <c r="A224">
        <v>67630</v>
      </c>
      <c r="B224" t="s">
        <v>371</v>
      </c>
      <c r="D224" t="s">
        <v>57</v>
      </c>
      <c r="E224">
        <v>99.8</v>
      </c>
      <c r="F224" t="s">
        <v>58</v>
      </c>
      <c r="G224" t="s">
        <v>59</v>
      </c>
      <c r="H224" t="s">
        <v>60</v>
      </c>
      <c r="J224">
        <v>29</v>
      </c>
      <c r="K224" t="s">
        <v>61</v>
      </c>
      <c r="L224" t="s">
        <v>74</v>
      </c>
      <c r="M224" t="s">
        <v>63</v>
      </c>
      <c r="N224" t="s">
        <v>64</v>
      </c>
      <c r="P224" t="s">
        <v>65</v>
      </c>
      <c r="R224">
        <v>10400</v>
      </c>
      <c r="T224">
        <v>10200</v>
      </c>
      <c r="V224">
        <v>10600</v>
      </c>
      <c r="W224" t="s">
        <v>66</v>
      </c>
      <c r="X224" t="s">
        <v>67</v>
      </c>
      <c r="Y224" t="s">
        <v>67</v>
      </c>
      <c r="Z224" t="s">
        <v>68</v>
      </c>
      <c r="AB224">
        <v>4</v>
      </c>
      <c r="AC224" t="s">
        <v>61</v>
      </c>
      <c r="AJ224" t="s">
        <v>69</v>
      </c>
      <c r="AY224" t="s">
        <v>286</v>
      </c>
      <c r="AZ224">
        <v>12448</v>
      </c>
      <c r="BA224" t="s">
        <v>287</v>
      </c>
      <c r="BB224" t="s">
        <v>288</v>
      </c>
      <c r="BC224">
        <v>1984</v>
      </c>
      <c r="BD224" t="s">
        <v>73</v>
      </c>
    </row>
    <row r="225" spans="1:56" x14ac:dyDescent="0.35">
      <c r="A225">
        <v>67641</v>
      </c>
      <c r="B225" t="s">
        <v>372</v>
      </c>
      <c r="D225" t="s">
        <v>57</v>
      </c>
      <c r="E225">
        <v>99.7</v>
      </c>
      <c r="F225" t="s">
        <v>58</v>
      </c>
      <c r="G225" t="s">
        <v>59</v>
      </c>
      <c r="H225" t="s">
        <v>60</v>
      </c>
      <c r="J225">
        <v>28</v>
      </c>
      <c r="K225" t="s">
        <v>61</v>
      </c>
      <c r="L225" t="s">
        <v>74</v>
      </c>
      <c r="M225" t="s">
        <v>63</v>
      </c>
      <c r="N225" t="s">
        <v>64</v>
      </c>
      <c r="P225" t="s">
        <v>65</v>
      </c>
      <c r="R225">
        <v>7280</v>
      </c>
      <c r="T225">
        <v>6730</v>
      </c>
      <c r="V225">
        <v>7880</v>
      </c>
      <c r="W225" t="s">
        <v>66</v>
      </c>
      <c r="X225" t="s">
        <v>67</v>
      </c>
      <c r="Y225" t="s">
        <v>67</v>
      </c>
      <c r="Z225" t="s">
        <v>68</v>
      </c>
      <c r="AB225">
        <v>4</v>
      </c>
      <c r="AC225" t="s">
        <v>61</v>
      </c>
      <c r="AJ225" t="s">
        <v>69</v>
      </c>
      <c r="AY225" t="s">
        <v>286</v>
      </c>
      <c r="AZ225">
        <v>12448</v>
      </c>
      <c r="BA225" t="s">
        <v>287</v>
      </c>
      <c r="BB225" t="s">
        <v>288</v>
      </c>
      <c r="BC225">
        <v>1984</v>
      </c>
      <c r="BD225" t="s">
        <v>73</v>
      </c>
    </row>
    <row r="226" spans="1:56" x14ac:dyDescent="0.35">
      <c r="A226">
        <v>67641</v>
      </c>
      <c r="B226" t="s">
        <v>372</v>
      </c>
      <c r="D226" t="s">
        <v>57</v>
      </c>
      <c r="E226" t="s">
        <v>86</v>
      </c>
      <c r="F226" t="s">
        <v>58</v>
      </c>
      <c r="G226" t="s">
        <v>59</v>
      </c>
      <c r="H226" t="s">
        <v>60</v>
      </c>
      <c r="J226" t="s">
        <v>86</v>
      </c>
      <c r="L226" t="s">
        <v>74</v>
      </c>
      <c r="M226" t="s">
        <v>63</v>
      </c>
      <c r="N226" t="s">
        <v>64</v>
      </c>
      <c r="P226" t="s">
        <v>65</v>
      </c>
      <c r="R226">
        <v>10700</v>
      </c>
      <c r="W226" t="s">
        <v>66</v>
      </c>
      <c r="X226" t="s">
        <v>67</v>
      </c>
      <c r="Y226" t="s">
        <v>67</v>
      </c>
      <c r="Z226" t="s">
        <v>68</v>
      </c>
      <c r="AB226">
        <v>4</v>
      </c>
      <c r="AC226" t="s">
        <v>61</v>
      </c>
      <c r="AJ226" t="s">
        <v>69</v>
      </c>
      <c r="AY226" t="s">
        <v>373</v>
      </c>
      <c r="AZ226">
        <v>4059</v>
      </c>
      <c r="BA226" t="s">
        <v>374</v>
      </c>
      <c r="BB226" t="s">
        <v>375</v>
      </c>
      <c r="BC226">
        <v>1982</v>
      </c>
      <c r="BD226" t="s">
        <v>90</v>
      </c>
    </row>
    <row r="227" spans="1:56" x14ac:dyDescent="0.35">
      <c r="A227">
        <v>67641</v>
      </c>
      <c r="B227" t="s">
        <v>372</v>
      </c>
      <c r="C227" t="s">
        <v>195</v>
      </c>
      <c r="D227" t="s">
        <v>85</v>
      </c>
      <c r="E227" t="s">
        <v>86</v>
      </c>
      <c r="F227" t="s">
        <v>58</v>
      </c>
      <c r="G227" t="s">
        <v>59</v>
      </c>
      <c r="H227" t="s">
        <v>60</v>
      </c>
      <c r="I227" t="s">
        <v>129</v>
      </c>
      <c r="J227" t="s">
        <v>86</v>
      </c>
      <c r="L227" t="s">
        <v>62</v>
      </c>
      <c r="M227" t="s">
        <v>63</v>
      </c>
      <c r="N227" t="s">
        <v>64</v>
      </c>
      <c r="O227">
        <v>5</v>
      </c>
      <c r="P227" t="s">
        <v>65</v>
      </c>
      <c r="Q227" t="s">
        <v>153</v>
      </c>
      <c r="R227">
        <v>100</v>
      </c>
      <c r="W227" t="s">
        <v>66</v>
      </c>
      <c r="X227" t="s">
        <v>67</v>
      </c>
      <c r="Y227" t="s">
        <v>67</v>
      </c>
      <c r="Z227" t="s">
        <v>68</v>
      </c>
      <c r="AB227">
        <v>4</v>
      </c>
      <c r="AC227" t="s">
        <v>61</v>
      </c>
      <c r="AJ227" t="s">
        <v>69</v>
      </c>
      <c r="AY227" t="s">
        <v>298</v>
      </c>
      <c r="AZ227">
        <v>11951</v>
      </c>
      <c r="BA227" t="s">
        <v>299</v>
      </c>
      <c r="BB227" t="s">
        <v>300</v>
      </c>
      <c r="BC227">
        <v>1986</v>
      </c>
      <c r="BD227" t="s">
        <v>90</v>
      </c>
    </row>
    <row r="228" spans="1:56" x14ac:dyDescent="0.35">
      <c r="A228">
        <v>67641</v>
      </c>
      <c r="B228" t="s">
        <v>372</v>
      </c>
      <c r="D228" t="s">
        <v>57</v>
      </c>
      <c r="E228">
        <v>99</v>
      </c>
      <c r="F228" t="s">
        <v>58</v>
      </c>
      <c r="G228" t="s">
        <v>59</v>
      </c>
      <c r="H228" t="s">
        <v>60</v>
      </c>
      <c r="J228">
        <v>33</v>
      </c>
      <c r="K228" t="s">
        <v>61</v>
      </c>
      <c r="L228" t="s">
        <v>74</v>
      </c>
      <c r="M228" t="s">
        <v>63</v>
      </c>
      <c r="N228" t="s">
        <v>64</v>
      </c>
      <c r="P228" t="s">
        <v>65</v>
      </c>
      <c r="R228">
        <v>8120</v>
      </c>
      <c r="T228">
        <v>7530</v>
      </c>
      <c r="V228">
        <v>8760</v>
      </c>
      <c r="W228" t="s">
        <v>66</v>
      </c>
      <c r="X228" t="s">
        <v>67</v>
      </c>
      <c r="Y228" t="s">
        <v>67</v>
      </c>
      <c r="Z228" t="s">
        <v>68</v>
      </c>
      <c r="AB228">
        <v>4</v>
      </c>
      <c r="AC228" t="s">
        <v>61</v>
      </c>
      <c r="AJ228" t="s">
        <v>69</v>
      </c>
      <c r="AY228" t="s">
        <v>286</v>
      </c>
      <c r="AZ228">
        <v>12448</v>
      </c>
      <c r="BA228" t="s">
        <v>287</v>
      </c>
      <c r="BB228" t="s">
        <v>288</v>
      </c>
      <c r="BC228">
        <v>1984</v>
      </c>
      <c r="BD228" t="s">
        <v>73</v>
      </c>
    </row>
    <row r="229" spans="1:56" x14ac:dyDescent="0.35">
      <c r="A229">
        <v>67641</v>
      </c>
      <c r="B229" t="s">
        <v>372</v>
      </c>
      <c r="D229" t="s">
        <v>57</v>
      </c>
      <c r="E229" t="s">
        <v>86</v>
      </c>
      <c r="F229" t="s">
        <v>58</v>
      </c>
      <c r="G229" t="s">
        <v>59</v>
      </c>
      <c r="H229" t="s">
        <v>60</v>
      </c>
      <c r="J229" t="s">
        <v>86</v>
      </c>
      <c r="K229" t="s">
        <v>320</v>
      </c>
      <c r="L229" t="s">
        <v>74</v>
      </c>
      <c r="M229" t="s">
        <v>63</v>
      </c>
      <c r="N229" t="s">
        <v>64</v>
      </c>
      <c r="P229" t="s">
        <v>65</v>
      </c>
      <c r="R229">
        <v>9100</v>
      </c>
      <c r="T229">
        <v>8733</v>
      </c>
      <c r="V229">
        <v>9482</v>
      </c>
      <c r="W229" t="s">
        <v>66</v>
      </c>
      <c r="X229" t="s">
        <v>67</v>
      </c>
      <c r="Y229" t="s">
        <v>67</v>
      </c>
      <c r="Z229" t="s">
        <v>68</v>
      </c>
      <c r="AB229">
        <v>4</v>
      </c>
      <c r="AC229" t="s">
        <v>61</v>
      </c>
      <c r="AJ229" t="s">
        <v>69</v>
      </c>
      <c r="AY229" t="s">
        <v>376</v>
      </c>
      <c r="AZ229">
        <v>2470</v>
      </c>
      <c r="BA229" t="s">
        <v>377</v>
      </c>
      <c r="BB229" t="s">
        <v>378</v>
      </c>
      <c r="BC229">
        <v>1978</v>
      </c>
      <c r="BD229" t="s">
        <v>379</v>
      </c>
    </row>
    <row r="230" spans="1:56" x14ac:dyDescent="0.35">
      <c r="A230">
        <v>67641</v>
      </c>
      <c r="B230" t="s">
        <v>372</v>
      </c>
      <c r="D230" t="s">
        <v>57</v>
      </c>
      <c r="E230">
        <v>99</v>
      </c>
      <c r="F230" t="s">
        <v>58</v>
      </c>
      <c r="G230" t="s">
        <v>59</v>
      </c>
      <c r="H230" t="s">
        <v>60</v>
      </c>
      <c r="J230">
        <v>32</v>
      </c>
      <c r="K230" t="s">
        <v>61</v>
      </c>
      <c r="L230" t="s">
        <v>74</v>
      </c>
      <c r="M230" t="s">
        <v>63</v>
      </c>
      <c r="N230" t="s">
        <v>64</v>
      </c>
      <c r="P230" t="s">
        <v>65</v>
      </c>
      <c r="R230">
        <v>6210</v>
      </c>
      <c r="T230">
        <v>5490</v>
      </c>
      <c r="V230">
        <v>7030</v>
      </c>
      <c r="W230" t="s">
        <v>66</v>
      </c>
      <c r="X230" t="s">
        <v>67</v>
      </c>
      <c r="Y230" t="s">
        <v>67</v>
      </c>
      <c r="Z230" t="s">
        <v>68</v>
      </c>
      <c r="AB230">
        <v>4</v>
      </c>
      <c r="AC230" t="s">
        <v>61</v>
      </c>
      <c r="AJ230" t="s">
        <v>69</v>
      </c>
      <c r="AY230" t="s">
        <v>286</v>
      </c>
      <c r="AZ230">
        <v>12448</v>
      </c>
      <c r="BA230" t="s">
        <v>287</v>
      </c>
      <c r="BB230" t="s">
        <v>288</v>
      </c>
      <c r="BC230">
        <v>1984</v>
      </c>
      <c r="BD230" t="s">
        <v>73</v>
      </c>
    </row>
    <row r="231" spans="1:56" x14ac:dyDescent="0.35">
      <c r="A231">
        <v>67663</v>
      </c>
      <c r="B231" t="s">
        <v>380</v>
      </c>
      <c r="C231" t="s">
        <v>195</v>
      </c>
      <c r="D231" t="s">
        <v>57</v>
      </c>
      <c r="E231" t="s">
        <v>86</v>
      </c>
      <c r="F231" t="s">
        <v>58</v>
      </c>
      <c r="G231" t="s">
        <v>59</v>
      </c>
      <c r="H231" t="s">
        <v>60</v>
      </c>
      <c r="I231" t="s">
        <v>177</v>
      </c>
      <c r="J231" t="s">
        <v>86</v>
      </c>
      <c r="K231" t="s">
        <v>61</v>
      </c>
      <c r="L231" t="s">
        <v>62</v>
      </c>
      <c r="M231" t="s">
        <v>63</v>
      </c>
      <c r="N231" t="s">
        <v>64</v>
      </c>
      <c r="O231" t="s">
        <v>381</v>
      </c>
      <c r="P231" t="s">
        <v>65</v>
      </c>
      <c r="R231">
        <v>129</v>
      </c>
      <c r="T231">
        <v>91</v>
      </c>
      <c r="V231">
        <v>197</v>
      </c>
      <c r="W231" t="s">
        <v>66</v>
      </c>
      <c r="X231" t="s">
        <v>67</v>
      </c>
      <c r="Y231" t="s">
        <v>67</v>
      </c>
      <c r="Z231" t="s">
        <v>68</v>
      </c>
      <c r="AB231">
        <v>4</v>
      </c>
      <c r="AC231" t="s">
        <v>61</v>
      </c>
      <c r="AJ231" t="s">
        <v>69</v>
      </c>
      <c r="AY231" t="s">
        <v>382</v>
      </c>
      <c r="AZ231">
        <v>163462</v>
      </c>
      <c r="BA231" t="s">
        <v>383</v>
      </c>
      <c r="BB231" t="s">
        <v>384</v>
      </c>
      <c r="BC231">
        <v>1987</v>
      </c>
      <c r="BD231" t="s">
        <v>385</v>
      </c>
    </row>
    <row r="232" spans="1:56" x14ac:dyDescent="0.35">
      <c r="A232">
        <v>67663</v>
      </c>
      <c r="B232" t="s">
        <v>380</v>
      </c>
      <c r="C232" t="s">
        <v>386</v>
      </c>
      <c r="D232" t="s">
        <v>57</v>
      </c>
      <c r="E232" t="s">
        <v>86</v>
      </c>
      <c r="F232" t="s">
        <v>58</v>
      </c>
      <c r="G232" t="s">
        <v>59</v>
      </c>
      <c r="H232" t="s">
        <v>60</v>
      </c>
      <c r="J232">
        <v>1</v>
      </c>
      <c r="K232" t="s">
        <v>387</v>
      </c>
      <c r="L232" t="s">
        <v>74</v>
      </c>
      <c r="M232" t="s">
        <v>63</v>
      </c>
      <c r="N232" t="s">
        <v>64</v>
      </c>
      <c r="P232" t="s">
        <v>65</v>
      </c>
      <c r="R232">
        <v>89.85</v>
      </c>
      <c r="T232">
        <v>84.7</v>
      </c>
      <c r="V232">
        <v>94.87</v>
      </c>
      <c r="W232" t="s">
        <v>66</v>
      </c>
      <c r="X232" t="s">
        <v>67</v>
      </c>
      <c r="Y232" t="s">
        <v>67</v>
      </c>
      <c r="Z232" t="s">
        <v>68</v>
      </c>
      <c r="AB232">
        <v>4</v>
      </c>
      <c r="AC232" t="s">
        <v>61</v>
      </c>
      <c r="AJ232" t="s">
        <v>69</v>
      </c>
      <c r="AY232" t="s">
        <v>388</v>
      </c>
      <c r="AZ232">
        <v>45758</v>
      </c>
      <c r="BA232" t="s">
        <v>389</v>
      </c>
      <c r="BB232" t="s">
        <v>390</v>
      </c>
      <c r="BC232">
        <v>1982</v>
      </c>
      <c r="BD232" t="s">
        <v>391</v>
      </c>
    </row>
    <row r="233" spans="1:56" x14ac:dyDescent="0.35">
      <c r="A233">
        <v>67663</v>
      </c>
      <c r="B233" t="s">
        <v>380</v>
      </c>
      <c r="C233" t="s">
        <v>195</v>
      </c>
      <c r="D233" t="s">
        <v>57</v>
      </c>
      <c r="E233" t="s">
        <v>86</v>
      </c>
      <c r="F233" t="s">
        <v>58</v>
      </c>
      <c r="G233" t="s">
        <v>59</v>
      </c>
      <c r="H233" t="s">
        <v>60</v>
      </c>
      <c r="I233" t="s">
        <v>392</v>
      </c>
      <c r="J233" t="s">
        <v>86</v>
      </c>
      <c r="K233" t="s">
        <v>61</v>
      </c>
      <c r="L233" t="s">
        <v>62</v>
      </c>
      <c r="M233" t="s">
        <v>63</v>
      </c>
      <c r="N233" t="s">
        <v>64</v>
      </c>
      <c r="O233" t="s">
        <v>381</v>
      </c>
      <c r="P233" t="s">
        <v>65</v>
      </c>
      <c r="R233">
        <v>103</v>
      </c>
      <c r="T233">
        <v>94</v>
      </c>
      <c r="V233">
        <v>113</v>
      </c>
      <c r="W233" t="s">
        <v>66</v>
      </c>
      <c r="X233" t="s">
        <v>67</v>
      </c>
      <c r="Y233" t="s">
        <v>67</v>
      </c>
      <c r="Z233" t="s">
        <v>68</v>
      </c>
      <c r="AB233">
        <v>4</v>
      </c>
      <c r="AC233" t="s">
        <v>61</v>
      </c>
      <c r="AJ233" t="s">
        <v>69</v>
      </c>
      <c r="AY233" t="s">
        <v>382</v>
      </c>
      <c r="AZ233">
        <v>163462</v>
      </c>
      <c r="BA233" t="s">
        <v>383</v>
      </c>
      <c r="BB233" t="s">
        <v>384</v>
      </c>
      <c r="BC233">
        <v>1987</v>
      </c>
      <c r="BD233" t="s">
        <v>393</v>
      </c>
    </row>
    <row r="234" spans="1:56" x14ac:dyDescent="0.35">
      <c r="A234">
        <v>67663</v>
      </c>
      <c r="B234" t="s">
        <v>380</v>
      </c>
      <c r="D234" t="s">
        <v>85</v>
      </c>
      <c r="E234" t="s">
        <v>86</v>
      </c>
      <c r="F234" t="s">
        <v>58</v>
      </c>
      <c r="G234" t="s">
        <v>59</v>
      </c>
      <c r="H234" t="s">
        <v>60</v>
      </c>
      <c r="I234" t="s">
        <v>129</v>
      </c>
      <c r="J234" t="s">
        <v>86</v>
      </c>
      <c r="K234" t="s">
        <v>61</v>
      </c>
      <c r="L234" t="s">
        <v>62</v>
      </c>
      <c r="M234" t="s">
        <v>63</v>
      </c>
      <c r="N234" t="s">
        <v>64</v>
      </c>
      <c r="P234" t="s">
        <v>100</v>
      </c>
      <c r="R234">
        <v>171</v>
      </c>
      <c r="T234">
        <v>131</v>
      </c>
      <c r="V234">
        <v>214</v>
      </c>
      <c r="W234" t="s">
        <v>66</v>
      </c>
      <c r="X234" t="s">
        <v>67</v>
      </c>
      <c r="Y234" t="s">
        <v>67</v>
      </c>
      <c r="Z234" t="s">
        <v>68</v>
      </c>
      <c r="AB234">
        <v>4</v>
      </c>
      <c r="AC234" t="s">
        <v>61</v>
      </c>
      <c r="AJ234" t="s">
        <v>69</v>
      </c>
      <c r="AY234" t="s">
        <v>394</v>
      </c>
      <c r="AZ234">
        <v>10432</v>
      </c>
      <c r="BA234" t="s">
        <v>395</v>
      </c>
      <c r="BB234" t="s">
        <v>396</v>
      </c>
      <c r="BC234">
        <v>1983</v>
      </c>
      <c r="BD234" t="s">
        <v>127</v>
      </c>
    </row>
    <row r="235" spans="1:56" x14ac:dyDescent="0.35">
      <c r="A235">
        <v>67663</v>
      </c>
      <c r="B235" t="s">
        <v>380</v>
      </c>
      <c r="C235" t="s">
        <v>386</v>
      </c>
      <c r="D235" t="s">
        <v>57</v>
      </c>
      <c r="E235" t="s">
        <v>86</v>
      </c>
      <c r="F235" t="s">
        <v>58</v>
      </c>
      <c r="G235" t="s">
        <v>59</v>
      </c>
      <c r="H235" t="s">
        <v>60</v>
      </c>
      <c r="J235">
        <v>1</v>
      </c>
      <c r="K235" t="s">
        <v>387</v>
      </c>
      <c r="L235" t="s">
        <v>62</v>
      </c>
      <c r="M235" t="s">
        <v>63</v>
      </c>
      <c r="N235" t="s">
        <v>64</v>
      </c>
      <c r="P235" t="s">
        <v>65</v>
      </c>
      <c r="R235">
        <v>73.09</v>
      </c>
      <c r="T235">
        <v>65.05</v>
      </c>
      <c r="V235">
        <v>82.01</v>
      </c>
      <c r="W235" t="s">
        <v>66</v>
      </c>
      <c r="X235" t="s">
        <v>67</v>
      </c>
      <c r="Y235" t="s">
        <v>67</v>
      </c>
      <c r="Z235" t="s">
        <v>68</v>
      </c>
      <c r="AB235">
        <v>4</v>
      </c>
      <c r="AC235" t="s">
        <v>61</v>
      </c>
      <c r="AJ235" t="s">
        <v>69</v>
      </c>
      <c r="AY235" t="s">
        <v>388</v>
      </c>
      <c r="AZ235">
        <v>45758</v>
      </c>
      <c r="BA235" t="s">
        <v>389</v>
      </c>
      <c r="BB235" t="s">
        <v>390</v>
      </c>
      <c r="BC235">
        <v>1982</v>
      </c>
      <c r="BD235" t="s">
        <v>391</v>
      </c>
    </row>
    <row r="236" spans="1:56" x14ac:dyDescent="0.35">
      <c r="A236">
        <v>67663</v>
      </c>
      <c r="B236" t="s">
        <v>380</v>
      </c>
      <c r="D236" t="s">
        <v>85</v>
      </c>
      <c r="E236" t="s">
        <v>86</v>
      </c>
      <c r="F236" t="s">
        <v>58</v>
      </c>
      <c r="G236" t="s">
        <v>59</v>
      </c>
      <c r="H236" t="s">
        <v>60</v>
      </c>
      <c r="I236" t="s">
        <v>397</v>
      </c>
      <c r="J236" t="s">
        <v>86</v>
      </c>
      <c r="K236" t="s">
        <v>61</v>
      </c>
      <c r="L236" t="s">
        <v>62</v>
      </c>
      <c r="M236" t="s">
        <v>63</v>
      </c>
      <c r="N236" t="s">
        <v>64</v>
      </c>
      <c r="P236" t="s">
        <v>100</v>
      </c>
      <c r="R236">
        <v>103</v>
      </c>
      <c r="T236">
        <v>94</v>
      </c>
      <c r="V236">
        <v>113</v>
      </c>
      <c r="W236" t="s">
        <v>66</v>
      </c>
      <c r="X236" t="s">
        <v>67</v>
      </c>
      <c r="Y236" t="s">
        <v>67</v>
      </c>
      <c r="Z236" t="s">
        <v>68</v>
      </c>
      <c r="AB236">
        <v>4</v>
      </c>
      <c r="AC236" t="s">
        <v>61</v>
      </c>
      <c r="AJ236" t="s">
        <v>69</v>
      </c>
      <c r="AY236" t="s">
        <v>394</v>
      </c>
      <c r="AZ236">
        <v>10432</v>
      </c>
      <c r="BA236" t="s">
        <v>395</v>
      </c>
      <c r="BB236" t="s">
        <v>396</v>
      </c>
      <c r="BC236">
        <v>1983</v>
      </c>
      <c r="BD236" t="s">
        <v>398</v>
      </c>
    </row>
    <row r="237" spans="1:56" x14ac:dyDescent="0.35">
      <c r="A237">
        <v>67663</v>
      </c>
      <c r="B237" t="s">
        <v>380</v>
      </c>
      <c r="C237" t="s">
        <v>195</v>
      </c>
      <c r="D237" t="s">
        <v>57</v>
      </c>
      <c r="E237" t="s">
        <v>86</v>
      </c>
      <c r="F237" t="s">
        <v>58</v>
      </c>
      <c r="G237" t="s">
        <v>59</v>
      </c>
      <c r="H237" t="s">
        <v>60</v>
      </c>
      <c r="I237" t="s">
        <v>129</v>
      </c>
      <c r="J237" t="s">
        <v>86</v>
      </c>
      <c r="K237" t="s">
        <v>61</v>
      </c>
      <c r="L237" t="s">
        <v>62</v>
      </c>
      <c r="M237" t="s">
        <v>63</v>
      </c>
      <c r="N237" t="s">
        <v>64</v>
      </c>
      <c r="O237" t="s">
        <v>381</v>
      </c>
      <c r="P237" t="s">
        <v>65</v>
      </c>
      <c r="R237">
        <v>171</v>
      </c>
      <c r="T237">
        <v>131</v>
      </c>
      <c r="V237">
        <v>214</v>
      </c>
      <c r="W237" t="s">
        <v>66</v>
      </c>
      <c r="X237" t="s">
        <v>67</v>
      </c>
      <c r="Y237" t="s">
        <v>67</v>
      </c>
      <c r="Z237" t="s">
        <v>68</v>
      </c>
      <c r="AB237">
        <v>4</v>
      </c>
      <c r="AC237" t="s">
        <v>61</v>
      </c>
      <c r="AJ237" t="s">
        <v>69</v>
      </c>
      <c r="AY237" t="s">
        <v>382</v>
      </c>
      <c r="AZ237">
        <v>163462</v>
      </c>
      <c r="BA237" t="s">
        <v>383</v>
      </c>
      <c r="BB237" t="s">
        <v>384</v>
      </c>
      <c r="BC237">
        <v>1987</v>
      </c>
      <c r="BD237" t="s">
        <v>127</v>
      </c>
    </row>
    <row r="238" spans="1:56" x14ac:dyDescent="0.35">
      <c r="A238">
        <v>67663</v>
      </c>
      <c r="B238" t="s">
        <v>380</v>
      </c>
      <c r="D238" t="s">
        <v>57</v>
      </c>
      <c r="E238" t="s">
        <v>79</v>
      </c>
      <c r="F238" t="s">
        <v>58</v>
      </c>
      <c r="G238" t="s">
        <v>59</v>
      </c>
      <c r="H238" t="s">
        <v>60</v>
      </c>
      <c r="J238">
        <v>30</v>
      </c>
      <c r="K238" t="s">
        <v>61</v>
      </c>
      <c r="L238" t="s">
        <v>74</v>
      </c>
      <c r="M238" t="s">
        <v>63</v>
      </c>
      <c r="N238" t="s">
        <v>64</v>
      </c>
      <c r="P238" t="s">
        <v>65</v>
      </c>
      <c r="R238">
        <v>70.7</v>
      </c>
      <c r="T238">
        <v>62.8</v>
      </c>
      <c r="V238">
        <v>79.599999999999994</v>
      </c>
      <c r="W238" t="s">
        <v>66</v>
      </c>
      <c r="X238" t="s">
        <v>67</v>
      </c>
      <c r="Y238" t="s">
        <v>67</v>
      </c>
      <c r="Z238" t="s">
        <v>68</v>
      </c>
      <c r="AB238">
        <v>4</v>
      </c>
      <c r="AC238" t="s">
        <v>61</v>
      </c>
      <c r="AJ238" t="s">
        <v>69</v>
      </c>
      <c r="AY238" t="s">
        <v>75</v>
      </c>
      <c r="AZ238">
        <v>3217</v>
      </c>
      <c r="BA238" t="s">
        <v>76</v>
      </c>
      <c r="BB238" t="s">
        <v>77</v>
      </c>
      <c r="BC238">
        <v>1990</v>
      </c>
      <c r="BD238" t="s">
        <v>73</v>
      </c>
    </row>
    <row r="239" spans="1:56" x14ac:dyDescent="0.35">
      <c r="A239">
        <v>67663</v>
      </c>
      <c r="B239" t="s">
        <v>380</v>
      </c>
      <c r="D239" t="s">
        <v>85</v>
      </c>
      <c r="E239" t="s">
        <v>86</v>
      </c>
      <c r="F239" t="s">
        <v>58</v>
      </c>
      <c r="G239" t="s">
        <v>59</v>
      </c>
      <c r="H239" t="s">
        <v>60</v>
      </c>
      <c r="I239" t="s">
        <v>177</v>
      </c>
      <c r="J239" t="s">
        <v>86</v>
      </c>
      <c r="K239" t="s">
        <v>61</v>
      </c>
      <c r="L239" t="s">
        <v>62</v>
      </c>
      <c r="M239" t="s">
        <v>63</v>
      </c>
      <c r="N239" t="s">
        <v>64</v>
      </c>
      <c r="P239" t="s">
        <v>100</v>
      </c>
      <c r="R239">
        <v>129</v>
      </c>
      <c r="T239">
        <v>91</v>
      </c>
      <c r="V239">
        <v>197</v>
      </c>
      <c r="W239" t="s">
        <v>66</v>
      </c>
      <c r="X239" t="s">
        <v>67</v>
      </c>
      <c r="Y239" t="s">
        <v>67</v>
      </c>
      <c r="Z239" t="s">
        <v>68</v>
      </c>
      <c r="AB239">
        <v>4</v>
      </c>
      <c r="AC239" t="s">
        <v>61</v>
      </c>
      <c r="AJ239" t="s">
        <v>69</v>
      </c>
      <c r="AY239" t="s">
        <v>394</v>
      </c>
      <c r="AZ239">
        <v>10432</v>
      </c>
      <c r="BA239" t="s">
        <v>395</v>
      </c>
      <c r="BB239" t="s">
        <v>396</v>
      </c>
      <c r="BC239">
        <v>1983</v>
      </c>
      <c r="BD239" t="s">
        <v>385</v>
      </c>
    </row>
    <row r="240" spans="1:56" x14ac:dyDescent="0.35">
      <c r="A240">
        <v>67685</v>
      </c>
      <c r="B240" t="s">
        <v>399</v>
      </c>
      <c r="D240" t="s">
        <v>57</v>
      </c>
      <c r="E240" t="s">
        <v>79</v>
      </c>
      <c r="F240" t="s">
        <v>58</v>
      </c>
      <c r="G240" t="s">
        <v>59</v>
      </c>
      <c r="H240" t="s">
        <v>60</v>
      </c>
      <c r="J240">
        <v>31</v>
      </c>
      <c r="K240" t="s">
        <v>61</v>
      </c>
      <c r="L240" t="s">
        <v>74</v>
      </c>
      <c r="M240" t="s">
        <v>63</v>
      </c>
      <c r="N240" t="s">
        <v>64</v>
      </c>
      <c r="P240" t="s">
        <v>65</v>
      </c>
      <c r="R240">
        <v>34000</v>
      </c>
      <c r="W240" t="s">
        <v>66</v>
      </c>
      <c r="X240" t="s">
        <v>67</v>
      </c>
      <c r="Y240" t="s">
        <v>67</v>
      </c>
      <c r="Z240" t="s">
        <v>68</v>
      </c>
      <c r="AB240">
        <v>4</v>
      </c>
      <c r="AC240" t="s">
        <v>61</v>
      </c>
      <c r="AJ240" t="s">
        <v>69</v>
      </c>
      <c r="AY240" t="s">
        <v>75</v>
      </c>
      <c r="AZ240">
        <v>3217</v>
      </c>
      <c r="BA240" t="s">
        <v>76</v>
      </c>
      <c r="BB240" t="s">
        <v>77</v>
      </c>
      <c r="BC240">
        <v>1990</v>
      </c>
      <c r="BD240" t="s">
        <v>73</v>
      </c>
    </row>
    <row r="241" spans="1:56" x14ac:dyDescent="0.35">
      <c r="A241">
        <v>67721</v>
      </c>
      <c r="B241" t="s">
        <v>400</v>
      </c>
      <c r="D241" t="s">
        <v>57</v>
      </c>
      <c r="E241">
        <v>98</v>
      </c>
      <c r="F241" t="s">
        <v>58</v>
      </c>
      <c r="G241" t="s">
        <v>59</v>
      </c>
      <c r="H241" t="s">
        <v>60</v>
      </c>
      <c r="J241" t="s">
        <v>86</v>
      </c>
      <c r="L241" t="s">
        <v>74</v>
      </c>
      <c r="M241" t="s">
        <v>63</v>
      </c>
      <c r="N241" t="s">
        <v>64</v>
      </c>
      <c r="P241" t="s">
        <v>65</v>
      </c>
      <c r="R241">
        <v>1.1000000000000001</v>
      </c>
      <c r="T241">
        <v>0.96699999999999997</v>
      </c>
      <c r="V241">
        <v>1.25</v>
      </c>
      <c r="W241" t="s">
        <v>66</v>
      </c>
      <c r="X241" t="s">
        <v>67</v>
      </c>
      <c r="Y241" t="s">
        <v>67</v>
      </c>
      <c r="Z241" t="s">
        <v>68</v>
      </c>
      <c r="AB241">
        <v>4</v>
      </c>
      <c r="AC241" t="s">
        <v>61</v>
      </c>
      <c r="AJ241" t="s">
        <v>69</v>
      </c>
      <c r="AY241" t="s">
        <v>401</v>
      </c>
      <c r="AZ241">
        <v>12004</v>
      </c>
      <c r="BA241" t="s">
        <v>402</v>
      </c>
      <c r="BB241" t="s">
        <v>403</v>
      </c>
      <c r="BC241">
        <v>1985</v>
      </c>
      <c r="BD241" t="s">
        <v>90</v>
      </c>
    </row>
    <row r="242" spans="1:56" x14ac:dyDescent="0.35">
      <c r="A242">
        <v>67721</v>
      </c>
      <c r="B242" t="s">
        <v>400</v>
      </c>
      <c r="D242" t="s">
        <v>57</v>
      </c>
      <c r="E242">
        <v>98</v>
      </c>
      <c r="F242" t="s">
        <v>58</v>
      </c>
      <c r="G242" t="s">
        <v>59</v>
      </c>
      <c r="H242" t="s">
        <v>60</v>
      </c>
      <c r="J242" t="s">
        <v>86</v>
      </c>
      <c r="L242" t="s">
        <v>74</v>
      </c>
      <c r="M242" t="s">
        <v>63</v>
      </c>
      <c r="N242" t="s">
        <v>64</v>
      </c>
      <c r="P242" t="s">
        <v>65</v>
      </c>
      <c r="R242">
        <v>1.39</v>
      </c>
      <c r="T242">
        <v>1.08</v>
      </c>
      <c r="V242">
        <v>1.78</v>
      </c>
      <c r="W242" t="s">
        <v>66</v>
      </c>
      <c r="X242" t="s">
        <v>67</v>
      </c>
      <c r="Y242" t="s">
        <v>67</v>
      </c>
      <c r="Z242" t="s">
        <v>68</v>
      </c>
      <c r="AB242">
        <v>4</v>
      </c>
      <c r="AC242" t="s">
        <v>61</v>
      </c>
      <c r="AJ242" t="s">
        <v>69</v>
      </c>
      <c r="AY242" t="s">
        <v>401</v>
      </c>
      <c r="AZ242">
        <v>12004</v>
      </c>
      <c r="BA242" t="s">
        <v>402</v>
      </c>
      <c r="BB242" t="s">
        <v>403</v>
      </c>
      <c r="BC242">
        <v>1985</v>
      </c>
      <c r="BD242" t="s">
        <v>90</v>
      </c>
    </row>
    <row r="243" spans="1:56" x14ac:dyDescent="0.35">
      <c r="A243">
        <v>67721</v>
      </c>
      <c r="B243" t="s">
        <v>400</v>
      </c>
      <c r="D243" t="s">
        <v>57</v>
      </c>
      <c r="E243" t="s">
        <v>86</v>
      </c>
      <c r="F243" t="s">
        <v>58</v>
      </c>
      <c r="G243" t="s">
        <v>59</v>
      </c>
      <c r="H243" t="s">
        <v>60</v>
      </c>
      <c r="J243" t="s">
        <v>86</v>
      </c>
      <c r="K243" t="s">
        <v>61</v>
      </c>
      <c r="L243" t="s">
        <v>74</v>
      </c>
      <c r="M243" t="s">
        <v>63</v>
      </c>
      <c r="N243" t="s">
        <v>64</v>
      </c>
      <c r="P243" t="s">
        <v>65</v>
      </c>
      <c r="R243">
        <v>1.51</v>
      </c>
      <c r="T243">
        <v>1.43</v>
      </c>
      <c r="V243">
        <v>1.58</v>
      </c>
      <c r="W243" t="s">
        <v>66</v>
      </c>
      <c r="X243" t="s">
        <v>67</v>
      </c>
      <c r="Y243" t="s">
        <v>67</v>
      </c>
      <c r="Z243" t="s">
        <v>68</v>
      </c>
      <c r="AB243">
        <v>4</v>
      </c>
      <c r="AC243" t="s">
        <v>61</v>
      </c>
      <c r="AJ243" t="s">
        <v>69</v>
      </c>
      <c r="AY243" t="s">
        <v>404</v>
      </c>
      <c r="AZ243">
        <v>11227</v>
      </c>
      <c r="BA243" t="s">
        <v>405</v>
      </c>
      <c r="BB243" t="s">
        <v>406</v>
      </c>
      <c r="BC243">
        <v>1983</v>
      </c>
      <c r="BD243" t="s">
        <v>127</v>
      </c>
    </row>
    <row r="244" spans="1:56" x14ac:dyDescent="0.35">
      <c r="A244">
        <v>67721</v>
      </c>
      <c r="B244" t="s">
        <v>400</v>
      </c>
      <c r="D244" t="s">
        <v>57</v>
      </c>
      <c r="E244">
        <v>98</v>
      </c>
      <c r="F244" t="s">
        <v>58</v>
      </c>
      <c r="G244" t="s">
        <v>59</v>
      </c>
      <c r="H244" t="s">
        <v>60</v>
      </c>
      <c r="J244">
        <v>44</v>
      </c>
      <c r="K244" t="s">
        <v>61</v>
      </c>
      <c r="L244" t="s">
        <v>74</v>
      </c>
      <c r="M244" t="s">
        <v>63</v>
      </c>
      <c r="N244" t="s">
        <v>64</v>
      </c>
      <c r="P244" t="s">
        <v>65</v>
      </c>
      <c r="R244">
        <v>1.32</v>
      </c>
      <c r="T244">
        <v>1.1599999999999999</v>
      </c>
      <c r="V244">
        <v>1.5</v>
      </c>
      <c r="W244" t="s">
        <v>66</v>
      </c>
      <c r="X244" t="s">
        <v>67</v>
      </c>
      <c r="Y244" t="s">
        <v>67</v>
      </c>
      <c r="Z244" t="s">
        <v>68</v>
      </c>
      <c r="AB244">
        <v>4</v>
      </c>
      <c r="AC244" t="s">
        <v>61</v>
      </c>
      <c r="AJ244" t="s">
        <v>69</v>
      </c>
      <c r="AY244" t="s">
        <v>141</v>
      </c>
      <c r="AZ244">
        <v>12447</v>
      </c>
      <c r="BA244" t="s">
        <v>142</v>
      </c>
      <c r="BB244" t="s">
        <v>143</v>
      </c>
      <c r="BC244">
        <v>1985</v>
      </c>
      <c r="BD244" t="s">
        <v>73</v>
      </c>
    </row>
    <row r="245" spans="1:56" x14ac:dyDescent="0.35">
      <c r="A245">
        <v>67721</v>
      </c>
      <c r="B245" t="s">
        <v>400</v>
      </c>
      <c r="D245" t="s">
        <v>57</v>
      </c>
      <c r="E245" t="s">
        <v>86</v>
      </c>
      <c r="F245" t="s">
        <v>58</v>
      </c>
      <c r="G245" t="s">
        <v>59</v>
      </c>
      <c r="H245" t="s">
        <v>60</v>
      </c>
      <c r="J245" t="s">
        <v>86</v>
      </c>
      <c r="L245" t="s">
        <v>74</v>
      </c>
      <c r="M245" t="s">
        <v>63</v>
      </c>
      <c r="N245" t="s">
        <v>64</v>
      </c>
      <c r="P245" t="s">
        <v>65</v>
      </c>
      <c r="R245">
        <v>1.23</v>
      </c>
      <c r="T245">
        <v>1.08</v>
      </c>
      <c r="V245">
        <v>1.4</v>
      </c>
      <c r="W245" t="s">
        <v>66</v>
      </c>
      <c r="X245" t="s">
        <v>67</v>
      </c>
      <c r="Y245" t="s">
        <v>67</v>
      </c>
      <c r="Z245" t="s">
        <v>68</v>
      </c>
      <c r="AB245">
        <v>4</v>
      </c>
      <c r="AC245" t="s">
        <v>61</v>
      </c>
      <c r="AJ245" t="s">
        <v>69</v>
      </c>
      <c r="AY245" t="s">
        <v>325</v>
      </c>
      <c r="AZ245">
        <v>10775</v>
      </c>
      <c r="BA245" t="s">
        <v>326</v>
      </c>
      <c r="BB245" t="s">
        <v>327</v>
      </c>
      <c r="BC245">
        <v>1985</v>
      </c>
      <c r="BD245" t="s">
        <v>90</v>
      </c>
    </row>
    <row r="246" spans="1:56" x14ac:dyDescent="0.35">
      <c r="A246">
        <v>67721</v>
      </c>
      <c r="B246" t="s">
        <v>400</v>
      </c>
      <c r="D246" t="s">
        <v>57</v>
      </c>
      <c r="E246">
        <v>98</v>
      </c>
      <c r="F246" t="s">
        <v>58</v>
      </c>
      <c r="G246" t="s">
        <v>59</v>
      </c>
      <c r="H246" t="s">
        <v>60</v>
      </c>
      <c r="J246">
        <v>32</v>
      </c>
      <c r="K246" t="s">
        <v>61</v>
      </c>
      <c r="L246" t="s">
        <v>74</v>
      </c>
      <c r="M246" t="s">
        <v>63</v>
      </c>
      <c r="N246" t="s">
        <v>64</v>
      </c>
      <c r="P246" t="s">
        <v>65</v>
      </c>
      <c r="R246">
        <v>1.53</v>
      </c>
      <c r="T246">
        <v>1.46</v>
      </c>
      <c r="V246">
        <v>1.6</v>
      </c>
      <c r="W246" t="s">
        <v>66</v>
      </c>
      <c r="X246" t="s">
        <v>67</v>
      </c>
      <c r="Y246" t="s">
        <v>67</v>
      </c>
      <c r="Z246" t="s">
        <v>68</v>
      </c>
      <c r="AB246">
        <v>4</v>
      </c>
      <c r="AC246" t="s">
        <v>61</v>
      </c>
      <c r="AJ246" t="s">
        <v>69</v>
      </c>
      <c r="AY246" t="s">
        <v>141</v>
      </c>
      <c r="AZ246">
        <v>12447</v>
      </c>
      <c r="BA246" t="s">
        <v>142</v>
      </c>
      <c r="BB246" t="s">
        <v>143</v>
      </c>
      <c r="BC246">
        <v>1985</v>
      </c>
      <c r="BD246" t="s">
        <v>73</v>
      </c>
    </row>
    <row r="247" spans="1:56" x14ac:dyDescent="0.35">
      <c r="A247">
        <v>67721</v>
      </c>
      <c r="B247" t="s">
        <v>400</v>
      </c>
      <c r="E247" t="s">
        <v>407</v>
      </c>
      <c r="F247" t="s">
        <v>58</v>
      </c>
      <c r="G247" t="s">
        <v>59</v>
      </c>
      <c r="H247" t="s">
        <v>60</v>
      </c>
      <c r="J247" t="s">
        <v>86</v>
      </c>
      <c r="L247" t="s">
        <v>74</v>
      </c>
      <c r="M247" t="s">
        <v>63</v>
      </c>
      <c r="P247" t="s">
        <v>65</v>
      </c>
      <c r="R247">
        <v>1.2452524</v>
      </c>
      <c r="W247" t="s">
        <v>66</v>
      </c>
      <c r="X247" t="s">
        <v>67</v>
      </c>
      <c r="Y247" t="s">
        <v>67</v>
      </c>
      <c r="Z247" t="s">
        <v>68</v>
      </c>
      <c r="AB247">
        <v>4</v>
      </c>
      <c r="AC247" t="s">
        <v>61</v>
      </c>
      <c r="AJ247" t="s">
        <v>69</v>
      </c>
      <c r="AY247" t="s">
        <v>408</v>
      </c>
      <c r="AZ247">
        <v>5876</v>
      </c>
      <c r="BA247" t="s">
        <v>409</v>
      </c>
      <c r="BB247" t="s">
        <v>410</v>
      </c>
      <c r="BC247">
        <v>1988</v>
      </c>
      <c r="BD247" t="s">
        <v>90</v>
      </c>
    </row>
    <row r="248" spans="1:56" x14ac:dyDescent="0.35">
      <c r="A248">
        <v>68111</v>
      </c>
      <c r="B248" t="s">
        <v>411</v>
      </c>
      <c r="D248" t="s">
        <v>85</v>
      </c>
      <c r="E248" t="s">
        <v>86</v>
      </c>
      <c r="F248" t="s">
        <v>58</v>
      </c>
      <c r="G248" t="s">
        <v>59</v>
      </c>
      <c r="H248" t="s">
        <v>60</v>
      </c>
      <c r="J248" t="s">
        <v>86</v>
      </c>
      <c r="L248" t="s">
        <v>62</v>
      </c>
      <c r="M248" t="s">
        <v>63</v>
      </c>
      <c r="N248" t="s">
        <v>64</v>
      </c>
      <c r="P248" t="s">
        <v>100</v>
      </c>
      <c r="R248">
        <v>30</v>
      </c>
      <c r="W248" t="s">
        <v>66</v>
      </c>
      <c r="X248" t="s">
        <v>67</v>
      </c>
      <c r="Y248" t="s">
        <v>67</v>
      </c>
      <c r="Z248" t="s">
        <v>68</v>
      </c>
      <c r="AB248">
        <v>4</v>
      </c>
      <c r="AC248" t="s">
        <v>61</v>
      </c>
      <c r="AJ248" t="s">
        <v>69</v>
      </c>
      <c r="AY248" t="s">
        <v>412</v>
      </c>
      <c r="AZ248">
        <v>901</v>
      </c>
      <c r="BA248" t="s">
        <v>413</v>
      </c>
      <c r="BB248" t="s">
        <v>414</v>
      </c>
      <c r="BC248">
        <v>1969</v>
      </c>
      <c r="BD248" t="s">
        <v>90</v>
      </c>
    </row>
    <row r="249" spans="1:56" x14ac:dyDescent="0.35">
      <c r="A249">
        <v>68122</v>
      </c>
      <c r="B249" t="s">
        <v>415</v>
      </c>
      <c r="D249" t="s">
        <v>85</v>
      </c>
      <c r="E249" t="s">
        <v>86</v>
      </c>
      <c r="F249" t="s">
        <v>58</v>
      </c>
      <c r="G249" t="s">
        <v>59</v>
      </c>
      <c r="H249" t="s">
        <v>60</v>
      </c>
      <c r="J249" t="s">
        <v>86</v>
      </c>
      <c r="L249" t="s">
        <v>62</v>
      </c>
      <c r="M249" t="s">
        <v>63</v>
      </c>
      <c r="N249" t="s">
        <v>64</v>
      </c>
      <c r="P249" t="s">
        <v>100</v>
      </c>
      <c r="R249">
        <v>10500</v>
      </c>
      <c r="T249">
        <v>9300</v>
      </c>
      <c r="V249">
        <v>11900</v>
      </c>
      <c r="W249" t="s">
        <v>66</v>
      </c>
      <c r="X249" t="s">
        <v>67</v>
      </c>
      <c r="Y249" t="s">
        <v>67</v>
      </c>
      <c r="Z249" t="s">
        <v>68</v>
      </c>
      <c r="AB249">
        <v>4</v>
      </c>
      <c r="AC249" t="s">
        <v>61</v>
      </c>
      <c r="AJ249" t="s">
        <v>69</v>
      </c>
      <c r="AY249" t="s">
        <v>376</v>
      </c>
      <c r="AZ249">
        <v>2470</v>
      </c>
      <c r="BA249" t="s">
        <v>377</v>
      </c>
      <c r="BB249" t="s">
        <v>378</v>
      </c>
      <c r="BC249">
        <v>1978</v>
      </c>
      <c r="BD249" t="s">
        <v>90</v>
      </c>
    </row>
    <row r="250" spans="1:56" x14ac:dyDescent="0.35">
      <c r="A250">
        <v>68122</v>
      </c>
      <c r="B250" t="s">
        <v>415</v>
      </c>
      <c r="D250" t="s">
        <v>57</v>
      </c>
      <c r="E250" t="s">
        <v>86</v>
      </c>
      <c r="F250" t="s">
        <v>58</v>
      </c>
      <c r="G250" t="s">
        <v>59</v>
      </c>
      <c r="H250" t="s">
        <v>60</v>
      </c>
      <c r="J250" t="s">
        <v>86</v>
      </c>
      <c r="K250" t="s">
        <v>61</v>
      </c>
      <c r="L250" t="s">
        <v>74</v>
      </c>
      <c r="M250" t="s">
        <v>63</v>
      </c>
      <c r="N250" t="s">
        <v>64</v>
      </c>
      <c r="P250" t="s">
        <v>65</v>
      </c>
      <c r="R250">
        <v>10600</v>
      </c>
      <c r="T250">
        <v>10400</v>
      </c>
      <c r="V250">
        <v>10800</v>
      </c>
      <c r="W250" t="s">
        <v>66</v>
      </c>
      <c r="X250" t="s">
        <v>67</v>
      </c>
      <c r="Y250" t="s">
        <v>67</v>
      </c>
      <c r="Z250" t="s">
        <v>68</v>
      </c>
      <c r="AB250">
        <v>4</v>
      </c>
      <c r="AC250" t="s">
        <v>61</v>
      </c>
      <c r="AJ250" t="s">
        <v>69</v>
      </c>
      <c r="AY250" t="s">
        <v>360</v>
      </c>
      <c r="AZ250">
        <v>11988</v>
      </c>
      <c r="BA250" t="s">
        <v>361</v>
      </c>
      <c r="BB250" t="s">
        <v>362</v>
      </c>
      <c r="BC250">
        <v>1986</v>
      </c>
      <c r="BD250" t="s">
        <v>363</v>
      </c>
    </row>
    <row r="251" spans="1:56" x14ac:dyDescent="0.35">
      <c r="A251">
        <v>68122</v>
      </c>
      <c r="B251" t="s">
        <v>415</v>
      </c>
      <c r="D251" t="s">
        <v>57</v>
      </c>
      <c r="E251" t="s">
        <v>86</v>
      </c>
      <c r="F251" t="s">
        <v>58</v>
      </c>
      <c r="G251" t="s">
        <v>59</v>
      </c>
      <c r="H251" t="s">
        <v>60</v>
      </c>
      <c r="J251" t="s">
        <v>86</v>
      </c>
      <c r="K251" t="s">
        <v>320</v>
      </c>
      <c r="L251" t="s">
        <v>74</v>
      </c>
      <c r="M251" t="s">
        <v>63</v>
      </c>
      <c r="N251" t="s">
        <v>64</v>
      </c>
      <c r="P251" t="s">
        <v>65</v>
      </c>
      <c r="R251">
        <v>10410</v>
      </c>
      <c r="T251">
        <v>5714</v>
      </c>
      <c r="V251">
        <v>18967</v>
      </c>
      <c r="W251" t="s">
        <v>66</v>
      </c>
      <c r="X251" t="s">
        <v>67</v>
      </c>
      <c r="Y251" t="s">
        <v>67</v>
      </c>
      <c r="Z251" t="s">
        <v>68</v>
      </c>
      <c r="AB251">
        <v>4</v>
      </c>
      <c r="AC251" t="s">
        <v>61</v>
      </c>
      <c r="AJ251" t="s">
        <v>69</v>
      </c>
      <c r="AY251" t="s">
        <v>376</v>
      </c>
      <c r="AZ251">
        <v>2470</v>
      </c>
      <c r="BA251" t="s">
        <v>377</v>
      </c>
      <c r="BB251" t="s">
        <v>378</v>
      </c>
      <c r="BC251">
        <v>1978</v>
      </c>
      <c r="BD251" t="s">
        <v>379</v>
      </c>
    </row>
    <row r="252" spans="1:56" x14ac:dyDescent="0.35">
      <c r="A252">
        <v>68122</v>
      </c>
      <c r="B252" t="s">
        <v>415</v>
      </c>
      <c r="D252" t="s">
        <v>57</v>
      </c>
      <c r="E252">
        <v>98</v>
      </c>
      <c r="F252" t="s">
        <v>58</v>
      </c>
      <c r="G252" t="s">
        <v>59</v>
      </c>
      <c r="H252" t="s">
        <v>60</v>
      </c>
      <c r="J252" t="s">
        <v>86</v>
      </c>
      <c r="K252" t="s">
        <v>61</v>
      </c>
      <c r="L252" t="s">
        <v>74</v>
      </c>
      <c r="M252" t="s">
        <v>63</v>
      </c>
      <c r="N252" t="s">
        <v>64</v>
      </c>
      <c r="O252">
        <v>6</v>
      </c>
      <c r="P252" t="s">
        <v>65</v>
      </c>
      <c r="R252">
        <v>10700</v>
      </c>
      <c r="T252">
        <v>10500</v>
      </c>
      <c r="V252">
        <v>10900</v>
      </c>
      <c r="W252" t="s">
        <v>66</v>
      </c>
      <c r="X252" t="s">
        <v>67</v>
      </c>
      <c r="Y252" t="s">
        <v>67</v>
      </c>
      <c r="Z252" t="s">
        <v>68</v>
      </c>
      <c r="AB252">
        <v>4</v>
      </c>
      <c r="AC252" t="s">
        <v>61</v>
      </c>
      <c r="AJ252" t="s">
        <v>69</v>
      </c>
      <c r="AY252" t="s">
        <v>367</v>
      </c>
      <c r="AZ252">
        <v>10579</v>
      </c>
      <c r="BA252" t="s">
        <v>368</v>
      </c>
      <c r="BB252" t="s">
        <v>369</v>
      </c>
      <c r="BC252">
        <v>1983</v>
      </c>
      <c r="BD252" t="s">
        <v>370</v>
      </c>
    </row>
    <row r="253" spans="1:56" x14ac:dyDescent="0.35">
      <c r="A253">
        <v>70304</v>
      </c>
      <c r="B253" t="s">
        <v>416</v>
      </c>
      <c r="D253" t="s">
        <v>57</v>
      </c>
      <c r="E253">
        <v>99</v>
      </c>
      <c r="F253" t="s">
        <v>58</v>
      </c>
      <c r="G253" t="s">
        <v>59</v>
      </c>
      <c r="H253" t="s">
        <v>60</v>
      </c>
      <c r="J253">
        <v>30</v>
      </c>
      <c r="K253" t="s">
        <v>61</v>
      </c>
      <c r="L253" t="s">
        <v>74</v>
      </c>
      <c r="M253" t="s">
        <v>63</v>
      </c>
      <c r="N253" t="s">
        <v>64</v>
      </c>
      <c r="P253" t="s">
        <v>65</v>
      </c>
      <c r="R253">
        <v>2.1000000000000001E-2</v>
      </c>
      <c r="T253">
        <v>1.9E-2</v>
      </c>
      <c r="V253">
        <v>2.3E-2</v>
      </c>
      <c r="W253" t="s">
        <v>66</v>
      </c>
      <c r="X253" t="s">
        <v>67</v>
      </c>
      <c r="Y253" t="s">
        <v>67</v>
      </c>
      <c r="Z253" t="s">
        <v>68</v>
      </c>
      <c r="AB253">
        <v>4</v>
      </c>
      <c r="AC253" t="s">
        <v>61</v>
      </c>
      <c r="AJ253" t="s">
        <v>69</v>
      </c>
      <c r="AY253" t="s">
        <v>286</v>
      </c>
      <c r="AZ253">
        <v>12448</v>
      </c>
      <c r="BA253" t="s">
        <v>287</v>
      </c>
      <c r="BB253" t="s">
        <v>288</v>
      </c>
      <c r="BC253">
        <v>1984</v>
      </c>
      <c r="BD253" t="s">
        <v>73</v>
      </c>
    </row>
    <row r="254" spans="1:56" x14ac:dyDescent="0.35">
      <c r="A254">
        <v>70304</v>
      </c>
      <c r="B254" t="s">
        <v>416</v>
      </c>
      <c r="D254" t="s">
        <v>57</v>
      </c>
      <c r="E254">
        <v>99</v>
      </c>
      <c r="F254" t="s">
        <v>58</v>
      </c>
      <c r="G254" t="s">
        <v>59</v>
      </c>
      <c r="H254" t="s">
        <v>60</v>
      </c>
      <c r="J254" t="s">
        <v>86</v>
      </c>
      <c r="K254" t="s">
        <v>61</v>
      </c>
      <c r="L254" t="s">
        <v>74</v>
      </c>
      <c r="M254" t="s">
        <v>63</v>
      </c>
      <c r="N254" t="s">
        <v>64</v>
      </c>
      <c r="O254">
        <v>6</v>
      </c>
      <c r="P254" t="s">
        <v>65</v>
      </c>
      <c r="R254">
        <v>2.1000000000000001E-2</v>
      </c>
      <c r="T254">
        <v>1.9E-2</v>
      </c>
      <c r="V254">
        <v>2.3E-2</v>
      </c>
      <c r="W254" t="s">
        <v>66</v>
      </c>
      <c r="X254" t="s">
        <v>67</v>
      </c>
      <c r="Y254" t="s">
        <v>67</v>
      </c>
      <c r="Z254" t="s">
        <v>68</v>
      </c>
      <c r="AB254">
        <v>4</v>
      </c>
      <c r="AC254" t="s">
        <v>61</v>
      </c>
      <c r="AJ254" t="s">
        <v>69</v>
      </c>
      <c r="AY254" t="s">
        <v>120</v>
      </c>
      <c r="AZ254">
        <v>14097</v>
      </c>
      <c r="BA254" t="s">
        <v>121</v>
      </c>
      <c r="BB254" t="s">
        <v>122</v>
      </c>
      <c r="BC254">
        <v>1989</v>
      </c>
      <c r="BD254" t="s">
        <v>123</v>
      </c>
    </row>
    <row r="255" spans="1:56" x14ac:dyDescent="0.35">
      <c r="A255">
        <v>70382</v>
      </c>
      <c r="B255" t="s">
        <v>417</v>
      </c>
      <c r="E255">
        <v>100</v>
      </c>
      <c r="F255" t="s">
        <v>58</v>
      </c>
      <c r="G255" t="s">
        <v>59</v>
      </c>
      <c r="H255" t="s">
        <v>60</v>
      </c>
      <c r="J255" t="s">
        <v>86</v>
      </c>
      <c r="L255" t="s">
        <v>74</v>
      </c>
      <c r="M255" t="s">
        <v>63</v>
      </c>
      <c r="N255" t="s">
        <v>64</v>
      </c>
      <c r="P255" t="s">
        <v>65</v>
      </c>
      <c r="R255">
        <v>6.2E-2</v>
      </c>
      <c r="T255">
        <v>5.0500000000000003E-2</v>
      </c>
      <c r="V255">
        <v>7.6100000000000001E-2</v>
      </c>
      <c r="W255" t="s">
        <v>66</v>
      </c>
      <c r="X255" t="s">
        <v>67</v>
      </c>
      <c r="Y255" t="s">
        <v>67</v>
      </c>
      <c r="Z255" t="s">
        <v>68</v>
      </c>
      <c r="AB255">
        <v>4</v>
      </c>
      <c r="AC255" t="s">
        <v>61</v>
      </c>
      <c r="AJ255" t="s">
        <v>69</v>
      </c>
      <c r="AY255" t="s">
        <v>96</v>
      </c>
      <c r="AZ255">
        <v>6797</v>
      </c>
      <c r="BA255" t="s">
        <v>97</v>
      </c>
      <c r="BB255" t="s">
        <v>98</v>
      </c>
      <c r="BC255">
        <v>1986</v>
      </c>
      <c r="BD255" t="s">
        <v>90</v>
      </c>
    </row>
    <row r="256" spans="1:56" x14ac:dyDescent="0.35">
      <c r="A256">
        <v>70699</v>
      </c>
      <c r="B256" t="s">
        <v>418</v>
      </c>
      <c r="D256" t="s">
        <v>57</v>
      </c>
      <c r="E256">
        <v>99</v>
      </c>
      <c r="F256" t="s">
        <v>58</v>
      </c>
      <c r="G256" t="s">
        <v>59</v>
      </c>
      <c r="H256" t="s">
        <v>60</v>
      </c>
      <c r="J256">
        <v>32</v>
      </c>
      <c r="K256" t="s">
        <v>61</v>
      </c>
      <c r="L256" t="s">
        <v>74</v>
      </c>
      <c r="M256" t="s">
        <v>63</v>
      </c>
      <c r="N256" t="s">
        <v>64</v>
      </c>
      <c r="P256" t="s">
        <v>65</v>
      </c>
      <c r="R256">
        <v>146</v>
      </c>
      <c r="T256">
        <v>137</v>
      </c>
      <c r="V256">
        <v>156</v>
      </c>
      <c r="W256" t="s">
        <v>66</v>
      </c>
      <c r="X256" t="s">
        <v>67</v>
      </c>
      <c r="Y256" t="s">
        <v>67</v>
      </c>
      <c r="Z256" t="s">
        <v>68</v>
      </c>
      <c r="AB256">
        <v>4</v>
      </c>
      <c r="AC256" t="s">
        <v>61</v>
      </c>
      <c r="AJ256" t="s">
        <v>69</v>
      </c>
      <c r="AY256" t="s">
        <v>75</v>
      </c>
      <c r="AZ256">
        <v>3217</v>
      </c>
      <c r="BA256" t="s">
        <v>76</v>
      </c>
      <c r="BB256" t="s">
        <v>77</v>
      </c>
      <c r="BC256">
        <v>1990</v>
      </c>
      <c r="BD256" t="s">
        <v>73</v>
      </c>
    </row>
    <row r="257" spans="1:56" x14ac:dyDescent="0.35">
      <c r="A257">
        <v>71238</v>
      </c>
      <c r="B257" t="s">
        <v>419</v>
      </c>
      <c r="D257" t="s">
        <v>57</v>
      </c>
      <c r="E257" t="s">
        <v>86</v>
      </c>
      <c r="F257" t="s">
        <v>58</v>
      </c>
      <c r="G257" t="s">
        <v>59</v>
      </c>
      <c r="H257" t="s">
        <v>60</v>
      </c>
      <c r="J257">
        <v>30</v>
      </c>
      <c r="K257" t="s">
        <v>61</v>
      </c>
      <c r="L257" t="s">
        <v>74</v>
      </c>
      <c r="M257" t="s">
        <v>63</v>
      </c>
      <c r="N257" t="s">
        <v>64</v>
      </c>
      <c r="P257" t="s">
        <v>65</v>
      </c>
      <c r="R257">
        <v>4480</v>
      </c>
      <c r="T257">
        <v>4100</v>
      </c>
      <c r="V257">
        <v>4880</v>
      </c>
      <c r="W257" t="s">
        <v>66</v>
      </c>
      <c r="X257" t="s">
        <v>67</v>
      </c>
      <c r="Y257" t="s">
        <v>67</v>
      </c>
      <c r="Z257" t="s">
        <v>68</v>
      </c>
      <c r="AB257">
        <v>4</v>
      </c>
      <c r="AC257" t="s">
        <v>61</v>
      </c>
      <c r="AJ257" t="s">
        <v>69</v>
      </c>
      <c r="AY257" t="s">
        <v>286</v>
      </c>
      <c r="AZ257">
        <v>12448</v>
      </c>
      <c r="BA257" t="s">
        <v>287</v>
      </c>
      <c r="BB257" t="s">
        <v>288</v>
      </c>
      <c r="BC257">
        <v>1984</v>
      </c>
      <c r="BD257" t="s">
        <v>73</v>
      </c>
    </row>
    <row r="258" spans="1:56" x14ac:dyDescent="0.35">
      <c r="A258">
        <v>71238</v>
      </c>
      <c r="B258" t="s">
        <v>419</v>
      </c>
      <c r="D258" t="s">
        <v>57</v>
      </c>
      <c r="E258" t="s">
        <v>86</v>
      </c>
      <c r="F258" t="s">
        <v>58</v>
      </c>
      <c r="G258" t="s">
        <v>59</v>
      </c>
      <c r="H258" t="s">
        <v>60</v>
      </c>
      <c r="J258">
        <v>29</v>
      </c>
      <c r="K258" t="s">
        <v>61</v>
      </c>
      <c r="L258" t="s">
        <v>74</v>
      </c>
      <c r="M258" t="s">
        <v>63</v>
      </c>
      <c r="N258" t="s">
        <v>64</v>
      </c>
      <c r="P258" t="s">
        <v>65</v>
      </c>
      <c r="R258">
        <v>4630</v>
      </c>
      <c r="T258">
        <v>4300</v>
      </c>
      <c r="V258">
        <v>5000</v>
      </c>
      <c r="W258" t="s">
        <v>66</v>
      </c>
      <c r="X258" t="s">
        <v>67</v>
      </c>
      <c r="Y258" t="s">
        <v>67</v>
      </c>
      <c r="Z258" t="s">
        <v>68</v>
      </c>
      <c r="AB258">
        <v>4</v>
      </c>
      <c r="AC258" t="s">
        <v>61</v>
      </c>
      <c r="AJ258" t="s">
        <v>69</v>
      </c>
      <c r="AY258" t="s">
        <v>286</v>
      </c>
      <c r="AZ258">
        <v>12448</v>
      </c>
      <c r="BA258" t="s">
        <v>287</v>
      </c>
      <c r="BB258" t="s">
        <v>288</v>
      </c>
      <c r="BC258">
        <v>1984</v>
      </c>
      <c r="BD258" t="s">
        <v>73</v>
      </c>
    </row>
    <row r="259" spans="1:56" x14ac:dyDescent="0.35">
      <c r="A259">
        <v>71363</v>
      </c>
      <c r="B259" t="s">
        <v>420</v>
      </c>
      <c r="D259" t="s">
        <v>85</v>
      </c>
      <c r="E259" t="s">
        <v>86</v>
      </c>
      <c r="F259" t="s">
        <v>58</v>
      </c>
      <c r="G259" t="s">
        <v>59</v>
      </c>
      <c r="H259" t="s">
        <v>60</v>
      </c>
      <c r="I259" t="s">
        <v>129</v>
      </c>
      <c r="J259" t="s">
        <v>86</v>
      </c>
      <c r="K259" t="s">
        <v>196</v>
      </c>
      <c r="L259" t="s">
        <v>62</v>
      </c>
      <c r="M259" t="s">
        <v>63</v>
      </c>
      <c r="N259" t="s">
        <v>64</v>
      </c>
      <c r="P259" t="s">
        <v>100</v>
      </c>
      <c r="R259">
        <v>1940</v>
      </c>
      <c r="W259" t="s">
        <v>66</v>
      </c>
      <c r="X259" t="s">
        <v>67</v>
      </c>
      <c r="Y259" t="s">
        <v>67</v>
      </c>
      <c r="Z259" t="s">
        <v>68</v>
      </c>
      <c r="AB259">
        <v>4</v>
      </c>
      <c r="AC259" t="s">
        <v>61</v>
      </c>
      <c r="AJ259" t="s">
        <v>69</v>
      </c>
      <c r="AY259" t="s">
        <v>338</v>
      </c>
      <c r="AZ259">
        <v>719</v>
      </c>
      <c r="BA259" t="s">
        <v>339</v>
      </c>
      <c r="BB259" t="s">
        <v>340</v>
      </c>
      <c r="BC259">
        <v>1976</v>
      </c>
      <c r="BD259" t="s">
        <v>341</v>
      </c>
    </row>
    <row r="260" spans="1:56" x14ac:dyDescent="0.35">
      <c r="A260">
        <v>71363</v>
      </c>
      <c r="B260" t="s">
        <v>420</v>
      </c>
      <c r="D260" t="s">
        <v>85</v>
      </c>
      <c r="E260" t="s">
        <v>86</v>
      </c>
      <c r="F260" t="s">
        <v>58</v>
      </c>
      <c r="G260" t="s">
        <v>59</v>
      </c>
      <c r="H260" t="s">
        <v>60</v>
      </c>
      <c r="I260" t="s">
        <v>129</v>
      </c>
      <c r="J260" t="s">
        <v>86</v>
      </c>
      <c r="K260" t="s">
        <v>196</v>
      </c>
      <c r="L260" t="s">
        <v>62</v>
      </c>
      <c r="M260" t="s">
        <v>63</v>
      </c>
      <c r="N260" t="s">
        <v>64</v>
      </c>
      <c r="P260" t="s">
        <v>100</v>
      </c>
      <c r="R260">
        <v>1910</v>
      </c>
      <c r="W260" t="s">
        <v>66</v>
      </c>
      <c r="X260" t="s">
        <v>67</v>
      </c>
      <c r="Y260" t="s">
        <v>67</v>
      </c>
      <c r="Z260" t="s">
        <v>68</v>
      </c>
      <c r="AB260">
        <v>4</v>
      </c>
      <c r="AC260" t="s">
        <v>61</v>
      </c>
      <c r="AJ260" t="s">
        <v>69</v>
      </c>
      <c r="AY260" t="s">
        <v>338</v>
      </c>
      <c r="AZ260">
        <v>719</v>
      </c>
      <c r="BA260" t="s">
        <v>339</v>
      </c>
      <c r="BB260" t="s">
        <v>340</v>
      </c>
      <c r="BC260">
        <v>1976</v>
      </c>
      <c r="BD260" t="s">
        <v>341</v>
      </c>
    </row>
    <row r="261" spans="1:56" x14ac:dyDescent="0.35">
      <c r="A261">
        <v>71363</v>
      </c>
      <c r="B261" t="s">
        <v>420</v>
      </c>
      <c r="D261" t="s">
        <v>57</v>
      </c>
      <c r="E261">
        <v>99</v>
      </c>
      <c r="F261" t="s">
        <v>58</v>
      </c>
      <c r="G261" t="s">
        <v>59</v>
      </c>
      <c r="H261" t="s">
        <v>60</v>
      </c>
      <c r="J261">
        <v>33</v>
      </c>
      <c r="K261" t="s">
        <v>61</v>
      </c>
      <c r="L261" t="s">
        <v>74</v>
      </c>
      <c r="M261" t="s">
        <v>63</v>
      </c>
      <c r="N261" t="s">
        <v>64</v>
      </c>
      <c r="P261" t="s">
        <v>65</v>
      </c>
      <c r="R261">
        <v>1730</v>
      </c>
      <c r="T261">
        <v>1630</v>
      </c>
      <c r="V261">
        <v>1840</v>
      </c>
      <c r="W261" t="s">
        <v>66</v>
      </c>
      <c r="X261" t="s">
        <v>67</v>
      </c>
      <c r="Y261" t="s">
        <v>67</v>
      </c>
      <c r="Z261" t="s">
        <v>68</v>
      </c>
      <c r="AB261">
        <v>4</v>
      </c>
      <c r="AC261" t="s">
        <v>61</v>
      </c>
      <c r="AJ261" t="s">
        <v>69</v>
      </c>
      <c r="AY261" t="s">
        <v>286</v>
      </c>
      <c r="AZ261">
        <v>12448</v>
      </c>
      <c r="BA261" t="s">
        <v>287</v>
      </c>
      <c r="BB261" t="s">
        <v>288</v>
      </c>
      <c r="BC261">
        <v>1984</v>
      </c>
      <c r="BD261" t="s">
        <v>73</v>
      </c>
    </row>
    <row r="262" spans="1:56" x14ac:dyDescent="0.35">
      <c r="A262">
        <v>71410</v>
      </c>
      <c r="B262" t="s">
        <v>421</v>
      </c>
      <c r="E262" t="s">
        <v>86</v>
      </c>
      <c r="F262" t="s">
        <v>58</v>
      </c>
      <c r="G262" t="s">
        <v>59</v>
      </c>
      <c r="H262" t="s">
        <v>60</v>
      </c>
      <c r="I262" t="s">
        <v>177</v>
      </c>
      <c r="J262" t="s">
        <v>289</v>
      </c>
      <c r="K262" t="s">
        <v>184</v>
      </c>
      <c r="L262" t="s">
        <v>74</v>
      </c>
      <c r="M262" t="s">
        <v>63</v>
      </c>
      <c r="N262" t="s">
        <v>64</v>
      </c>
      <c r="P262" t="s">
        <v>100</v>
      </c>
      <c r="R262">
        <v>606</v>
      </c>
      <c r="T262">
        <v>589</v>
      </c>
      <c r="V262">
        <v>624</v>
      </c>
      <c r="W262" t="s">
        <v>66</v>
      </c>
      <c r="X262" t="s">
        <v>67</v>
      </c>
      <c r="Y262" t="s">
        <v>67</v>
      </c>
      <c r="Z262" t="s">
        <v>68</v>
      </c>
      <c r="AB262">
        <v>4</v>
      </c>
      <c r="AC262" t="s">
        <v>61</v>
      </c>
      <c r="AJ262" t="s">
        <v>69</v>
      </c>
      <c r="AY262" t="s">
        <v>422</v>
      </c>
      <c r="AZ262">
        <v>14128</v>
      </c>
      <c r="BA262" t="s">
        <v>423</v>
      </c>
      <c r="BB262" t="s">
        <v>424</v>
      </c>
      <c r="BC262">
        <v>1985</v>
      </c>
      <c r="BD262" t="s">
        <v>185</v>
      </c>
    </row>
    <row r="263" spans="1:56" x14ac:dyDescent="0.35">
      <c r="A263">
        <v>71410</v>
      </c>
      <c r="B263" t="s">
        <v>421</v>
      </c>
      <c r="D263" t="s">
        <v>57</v>
      </c>
      <c r="E263">
        <v>99</v>
      </c>
      <c r="F263" t="s">
        <v>58</v>
      </c>
      <c r="G263" t="s">
        <v>59</v>
      </c>
      <c r="H263" t="s">
        <v>60</v>
      </c>
      <c r="J263">
        <v>28</v>
      </c>
      <c r="K263" t="s">
        <v>61</v>
      </c>
      <c r="L263" t="s">
        <v>74</v>
      </c>
      <c r="M263" t="s">
        <v>63</v>
      </c>
      <c r="N263" t="s">
        <v>64</v>
      </c>
      <c r="P263" t="s">
        <v>65</v>
      </c>
      <c r="R263">
        <v>472</v>
      </c>
      <c r="T263">
        <v>437</v>
      </c>
      <c r="V263">
        <v>511</v>
      </c>
      <c r="W263" t="s">
        <v>66</v>
      </c>
      <c r="X263" t="s">
        <v>67</v>
      </c>
      <c r="Y263" t="s">
        <v>67</v>
      </c>
      <c r="Z263" t="s">
        <v>68</v>
      </c>
      <c r="AB263">
        <v>4</v>
      </c>
      <c r="AC263" t="s">
        <v>61</v>
      </c>
      <c r="AJ263" t="s">
        <v>69</v>
      </c>
      <c r="AY263" t="s">
        <v>263</v>
      </c>
      <c r="AZ263">
        <v>12858</v>
      </c>
      <c r="BA263" t="s">
        <v>264</v>
      </c>
      <c r="BB263" t="s">
        <v>265</v>
      </c>
      <c r="BC263">
        <v>1986</v>
      </c>
      <c r="BD263" t="s">
        <v>73</v>
      </c>
    </row>
    <row r="264" spans="1:56" x14ac:dyDescent="0.35">
      <c r="A264">
        <v>71432</v>
      </c>
      <c r="B264" t="s">
        <v>425</v>
      </c>
      <c r="D264" t="s">
        <v>85</v>
      </c>
      <c r="E264" t="s">
        <v>86</v>
      </c>
      <c r="F264" t="s">
        <v>58</v>
      </c>
      <c r="G264" t="s">
        <v>59</v>
      </c>
      <c r="H264" t="s">
        <v>60</v>
      </c>
      <c r="J264" t="s">
        <v>86</v>
      </c>
      <c r="L264" t="s">
        <v>62</v>
      </c>
      <c r="M264" t="s">
        <v>63</v>
      </c>
      <c r="N264" t="s">
        <v>64</v>
      </c>
      <c r="P264" t="s">
        <v>100</v>
      </c>
      <c r="R264">
        <v>32</v>
      </c>
      <c r="T264">
        <v>22.33</v>
      </c>
      <c r="V264">
        <v>41.16</v>
      </c>
      <c r="W264" t="s">
        <v>66</v>
      </c>
      <c r="X264" t="s">
        <v>67</v>
      </c>
      <c r="Y264" t="s">
        <v>67</v>
      </c>
      <c r="Z264" t="s">
        <v>68</v>
      </c>
      <c r="AB264">
        <v>4</v>
      </c>
      <c r="AC264" t="s">
        <v>61</v>
      </c>
      <c r="AJ264" t="s">
        <v>69</v>
      </c>
      <c r="AY264" t="s">
        <v>168</v>
      </c>
      <c r="AZ264">
        <v>728</v>
      </c>
      <c r="BA264" t="s">
        <v>426</v>
      </c>
      <c r="BB264" t="s">
        <v>427</v>
      </c>
      <c r="BC264">
        <v>1966</v>
      </c>
      <c r="BD264" t="s">
        <v>90</v>
      </c>
    </row>
    <row r="265" spans="1:56" x14ac:dyDescent="0.35">
      <c r="A265">
        <v>71432</v>
      </c>
      <c r="B265" t="s">
        <v>425</v>
      </c>
      <c r="D265" t="s">
        <v>57</v>
      </c>
      <c r="E265" t="s">
        <v>301</v>
      </c>
      <c r="F265" t="s">
        <v>58</v>
      </c>
      <c r="G265" t="s">
        <v>59</v>
      </c>
      <c r="H265" t="s">
        <v>60</v>
      </c>
      <c r="I265" t="s">
        <v>129</v>
      </c>
      <c r="J265" t="s">
        <v>86</v>
      </c>
      <c r="K265" t="s">
        <v>61</v>
      </c>
      <c r="L265" t="s">
        <v>74</v>
      </c>
      <c r="M265" t="s">
        <v>63</v>
      </c>
      <c r="N265" t="s">
        <v>64</v>
      </c>
      <c r="P265" t="s">
        <v>65</v>
      </c>
      <c r="R265">
        <v>24.6</v>
      </c>
      <c r="T265">
        <v>21.4</v>
      </c>
      <c r="V265">
        <v>28.1</v>
      </c>
      <c r="W265" t="s">
        <v>66</v>
      </c>
      <c r="X265" t="s">
        <v>67</v>
      </c>
      <c r="Y265" t="s">
        <v>290</v>
      </c>
      <c r="Z265" t="s">
        <v>68</v>
      </c>
      <c r="AB265">
        <v>4</v>
      </c>
      <c r="AC265" t="s">
        <v>61</v>
      </c>
      <c r="AJ265" t="s">
        <v>69</v>
      </c>
      <c r="AY265" t="s">
        <v>291</v>
      </c>
      <c r="AZ265">
        <v>3910</v>
      </c>
      <c r="BA265" t="s">
        <v>292</v>
      </c>
      <c r="BB265" t="s">
        <v>293</v>
      </c>
      <c r="BC265">
        <v>1992</v>
      </c>
      <c r="BD265" t="s">
        <v>294</v>
      </c>
    </row>
    <row r="266" spans="1:56" x14ac:dyDescent="0.35">
      <c r="A266">
        <v>71432</v>
      </c>
      <c r="B266" t="s">
        <v>425</v>
      </c>
      <c r="D266" t="s">
        <v>57</v>
      </c>
      <c r="E266" t="s">
        <v>301</v>
      </c>
      <c r="F266" t="s">
        <v>58</v>
      </c>
      <c r="G266" t="s">
        <v>59</v>
      </c>
      <c r="H266" t="s">
        <v>60</v>
      </c>
      <c r="I266" t="s">
        <v>188</v>
      </c>
      <c r="J266" t="s">
        <v>289</v>
      </c>
      <c r="K266" t="s">
        <v>184</v>
      </c>
      <c r="L266" t="s">
        <v>74</v>
      </c>
      <c r="M266" t="s">
        <v>63</v>
      </c>
      <c r="N266" t="s">
        <v>64</v>
      </c>
      <c r="P266" t="s">
        <v>65</v>
      </c>
      <c r="R266">
        <v>15.59</v>
      </c>
      <c r="T266">
        <v>14.04</v>
      </c>
      <c r="V266">
        <v>17.3</v>
      </c>
      <c r="W266" t="s">
        <v>66</v>
      </c>
      <c r="X266" t="s">
        <v>67</v>
      </c>
      <c r="Y266" t="s">
        <v>290</v>
      </c>
      <c r="Z266" t="s">
        <v>68</v>
      </c>
      <c r="AB266">
        <v>4</v>
      </c>
      <c r="AC266" t="s">
        <v>61</v>
      </c>
      <c r="AJ266" t="s">
        <v>69</v>
      </c>
      <c r="AY266" t="s">
        <v>291</v>
      </c>
      <c r="AZ266">
        <v>3910</v>
      </c>
      <c r="BA266" t="s">
        <v>292</v>
      </c>
      <c r="BB266" t="s">
        <v>293</v>
      </c>
      <c r="BC266">
        <v>1992</v>
      </c>
      <c r="BD266" t="s">
        <v>185</v>
      </c>
    </row>
    <row r="267" spans="1:56" x14ac:dyDescent="0.35">
      <c r="A267">
        <v>71432</v>
      </c>
      <c r="B267" t="s">
        <v>425</v>
      </c>
      <c r="D267" t="s">
        <v>57</v>
      </c>
      <c r="E267" t="s">
        <v>428</v>
      </c>
      <c r="F267" t="s">
        <v>58</v>
      </c>
      <c r="G267" t="s">
        <v>59</v>
      </c>
      <c r="H267" t="s">
        <v>60</v>
      </c>
      <c r="J267">
        <v>30</v>
      </c>
      <c r="K267" t="s">
        <v>61</v>
      </c>
      <c r="L267" t="s">
        <v>74</v>
      </c>
      <c r="M267" t="s">
        <v>63</v>
      </c>
      <c r="N267" t="s">
        <v>64</v>
      </c>
      <c r="P267" t="s">
        <v>65</v>
      </c>
      <c r="R267">
        <v>12.6</v>
      </c>
      <c r="T267">
        <v>10.7</v>
      </c>
      <c r="V267">
        <v>14.7</v>
      </c>
      <c r="W267" t="s">
        <v>66</v>
      </c>
      <c r="X267" t="s">
        <v>67</v>
      </c>
      <c r="Y267" t="s">
        <v>67</v>
      </c>
      <c r="Z267" t="s">
        <v>68</v>
      </c>
      <c r="AB267">
        <v>4</v>
      </c>
      <c r="AC267" t="s">
        <v>61</v>
      </c>
      <c r="AJ267" t="s">
        <v>69</v>
      </c>
      <c r="AY267" t="s">
        <v>75</v>
      </c>
      <c r="AZ267">
        <v>3217</v>
      </c>
      <c r="BA267" t="s">
        <v>76</v>
      </c>
      <c r="BB267" t="s">
        <v>77</v>
      </c>
      <c r="BC267">
        <v>1990</v>
      </c>
      <c r="BD267" t="s">
        <v>73</v>
      </c>
    </row>
    <row r="268" spans="1:56" x14ac:dyDescent="0.35">
      <c r="A268">
        <v>71432</v>
      </c>
      <c r="B268" t="s">
        <v>425</v>
      </c>
      <c r="D268" t="s">
        <v>57</v>
      </c>
      <c r="E268">
        <v>99.9</v>
      </c>
      <c r="F268" t="s">
        <v>58</v>
      </c>
      <c r="G268" t="s">
        <v>59</v>
      </c>
      <c r="H268" t="s">
        <v>60</v>
      </c>
      <c r="J268">
        <v>30</v>
      </c>
      <c r="K268" t="s">
        <v>61</v>
      </c>
      <c r="L268" t="s">
        <v>74</v>
      </c>
      <c r="M268" t="s">
        <v>63</v>
      </c>
      <c r="N268" t="s">
        <v>64</v>
      </c>
      <c r="P268" t="s">
        <v>65</v>
      </c>
      <c r="R268">
        <v>12.5</v>
      </c>
      <c r="T268">
        <v>10.7</v>
      </c>
      <c r="V268">
        <v>14.7</v>
      </c>
      <c r="W268" t="s">
        <v>66</v>
      </c>
      <c r="X268" t="s">
        <v>67</v>
      </c>
      <c r="Y268" t="s">
        <v>67</v>
      </c>
      <c r="Z268" t="s">
        <v>68</v>
      </c>
      <c r="AB268">
        <v>4</v>
      </c>
      <c r="AC268" t="s">
        <v>61</v>
      </c>
      <c r="AJ268" t="s">
        <v>69</v>
      </c>
      <c r="AY268" t="s">
        <v>70</v>
      </c>
      <c r="AZ268">
        <v>14339</v>
      </c>
      <c r="BA268" t="s">
        <v>71</v>
      </c>
      <c r="BB268" t="s">
        <v>72</v>
      </c>
      <c r="BC268">
        <v>1987</v>
      </c>
      <c r="BD268" t="s">
        <v>73</v>
      </c>
    </row>
    <row r="269" spans="1:56" x14ac:dyDescent="0.35">
      <c r="A269">
        <v>71432</v>
      </c>
      <c r="B269" t="s">
        <v>425</v>
      </c>
      <c r="D269" t="s">
        <v>57</v>
      </c>
      <c r="E269">
        <v>99.9</v>
      </c>
      <c r="F269" t="s">
        <v>58</v>
      </c>
      <c r="G269" t="s">
        <v>59</v>
      </c>
      <c r="H269" t="s">
        <v>60</v>
      </c>
      <c r="J269">
        <v>30</v>
      </c>
      <c r="K269" t="s">
        <v>61</v>
      </c>
      <c r="L269" t="s">
        <v>62</v>
      </c>
      <c r="M269" t="s">
        <v>63</v>
      </c>
      <c r="N269" t="s">
        <v>64</v>
      </c>
      <c r="P269" t="s">
        <v>65</v>
      </c>
      <c r="R269">
        <v>35.700000000000003</v>
      </c>
      <c r="T269">
        <v>28.9</v>
      </c>
      <c r="V269">
        <v>44.2</v>
      </c>
      <c r="W269" t="s">
        <v>66</v>
      </c>
      <c r="X269" t="s">
        <v>67</v>
      </c>
      <c r="Y269" t="s">
        <v>67</v>
      </c>
      <c r="Z269" t="s">
        <v>68</v>
      </c>
      <c r="AB269">
        <v>4</v>
      </c>
      <c r="AC269" t="s">
        <v>61</v>
      </c>
      <c r="AJ269" t="s">
        <v>69</v>
      </c>
      <c r="AY269" t="s">
        <v>70</v>
      </c>
      <c r="AZ269">
        <v>14339</v>
      </c>
      <c r="BA269" t="s">
        <v>71</v>
      </c>
      <c r="BB269" t="s">
        <v>72</v>
      </c>
      <c r="BC269">
        <v>1987</v>
      </c>
      <c r="BD269" t="s">
        <v>73</v>
      </c>
    </row>
    <row r="270" spans="1:56" x14ac:dyDescent="0.35">
      <c r="A270">
        <v>71432</v>
      </c>
      <c r="B270" t="s">
        <v>425</v>
      </c>
      <c r="D270" t="s">
        <v>57</v>
      </c>
      <c r="E270" t="s">
        <v>79</v>
      </c>
      <c r="F270" t="s">
        <v>58</v>
      </c>
      <c r="G270" t="s">
        <v>59</v>
      </c>
      <c r="H270" t="s">
        <v>60</v>
      </c>
      <c r="J270" t="s">
        <v>86</v>
      </c>
      <c r="K270" t="s">
        <v>61</v>
      </c>
      <c r="L270" t="s">
        <v>74</v>
      </c>
      <c r="M270" t="s">
        <v>63</v>
      </c>
      <c r="N270" t="s">
        <v>64</v>
      </c>
      <c r="P270" t="s">
        <v>65</v>
      </c>
      <c r="R270">
        <v>24.6</v>
      </c>
      <c r="T270">
        <v>21.4</v>
      </c>
      <c r="V270">
        <v>28.1</v>
      </c>
      <c r="W270" t="s">
        <v>66</v>
      </c>
      <c r="X270" t="s">
        <v>67</v>
      </c>
      <c r="Y270" t="s">
        <v>67</v>
      </c>
      <c r="Z270" t="s">
        <v>68</v>
      </c>
      <c r="AB270">
        <v>4</v>
      </c>
      <c r="AC270" t="s">
        <v>61</v>
      </c>
      <c r="AJ270" t="s">
        <v>69</v>
      </c>
      <c r="AY270" t="s">
        <v>75</v>
      </c>
      <c r="AZ270">
        <v>3217</v>
      </c>
      <c r="BA270" t="s">
        <v>76</v>
      </c>
      <c r="BB270" t="s">
        <v>77</v>
      </c>
      <c r="BC270">
        <v>1990</v>
      </c>
      <c r="BD270" t="s">
        <v>148</v>
      </c>
    </row>
    <row r="271" spans="1:56" x14ac:dyDescent="0.35">
      <c r="A271">
        <v>71432</v>
      </c>
      <c r="B271" t="s">
        <v>425</v>
      </c>
      <c r="D271" t="s">
        <v>85</v>
      </c>
      <c r="E271" t="s">
        <v>86</v>
      </c>
      <c r="F271" t="s">
        <v>58</v>
      </c>
      <c r="G271" t="s">
        <v>59</v>
      </c>
      <c r="H271" t="s">
        <v>60</v>
      </c>
      <c r="J271" t="s">
        <v>86</v>
      </c>
      <c r="L271" t="s">
        <v>62</v>
      </c>
      <c r="M271" t="s">
        <v>63</v>
      </c>
      <c r="N271" t="s">
        <v>64</v>
      </c>
      <c r="P271" t="s">
        <v>100</v>
      </c>
      <c r="R271">
        <v>33.47</v>
      </c>
      <c r="T271">
        <v>25.19</v>
      </c>
      <c r="V271">
        <v>41.66</v>
      </c>
      <c r="W271" t="s">
        <v>66</v>
      </c>
      <c r="X271" t="s">
        <v>67</v>
      </c>
      <c r="Y271" t="s">
        <v>67</v>
      </c>
      <c r="Z271" t="s">
        <v>68</v>
      </c>
      <c r="AB271">
        <v>4</v>
      </c>
      <c r="AC271" t="s">
        <v>61</v>
      </c>
      <c r="AJ271" t="s">
        <v>69</v>
      </c>
      <c r="AY271" t="s">
        <v>168</v>
      </c>
      <c r="AZ271">
        <v>728</v>
      </c>
      <c r="BA271" t="s">
        <v>426</v>
      </c>
      <c r="BB271" t="s">
        <v>427</v>
      </c>
      <c r="BC271">
        <v>1966</v>
      </c>
      <c r="BD271" t="s">
        <v>90</v>
      </c>
    </row>
    <row r="272" spans="1:56" x14ac:dyDescent="0.35">
      <c r="A272">
        <v>71556</v>
      </c>
      <c r="B272" t="s">
        <v>429</v>
      </c>
      <c r="D272" t="s">
        <v>57</v>
      </c>
      <c r="E272">
        <v>99</v>
      </c>
      <c r="F272" t="s">
        <v>58</v>
      </c>
      <c r="G272" t="s">
        <v>59</v>
      </c>
      <c r="H272" t="s">
        <v>60</v>
      </c>
      <c r="J272">
        <v>31</v>
      </c>
      <c r="K272" t="s">
        <v>61</v>
      </c>
      <c r="L272" t="s">
        <v>74</v>
      </c>
      <c r="M272" t="s">
        <v>63</v>
      </c>
      <c r="N272" t="s">
        <v>64</v>
      </c>
      <c r="O272">
        <v>6</v>
      </c>
      <c r="P272" t="s">
        <v>65</v>
      </c>
      <c r="R272">
        <v>52.9</v>
      </c>
      <c r="W272" t="s">
        <v>66</v>
      </c>
      <c r="X272" t="s">
        <v>67</v>
      </c>
      <c r="Y272" t="s">
        <v>67</v>
      </c>
      <c r="Z272" t="s">
        <v>68</v>
      </c>
      <c r="AB272">
        <v>4</v>
      </c>
      <c r="AC272" t="s">
        <v>61</v>
      </c>
      <c r="AJ272" t="s">
        <v>69</v>
      </c>
      <c r="AY272" t="s">
        <v>263</v>
      </c>
      <c r="AZ272">
        <v>12858</v>
      </c>
      <c r="BA272" t="s">
        <v>264</v>
      </c>
      <c r="BB272" t="s">
        <v>265</v>
      </c>
      <c r="BC272">
        <v>1986</v>
      </c>
      <c r="BD272" t="s">
        <v>73</v>
      </c>
    </row>
    <row r="273" spans="1:56" x14ac:dyDescent="0.35">
      <c r="A273">
        <v>71556</v>
      </c>
      <c r="B273" t="s">
        <v>429</v>
      </c>
      <c r="D273" t="s">
        <v>57</v>
      </c>
      <c r="E273" t="s">
        <v>86</v>
      </c>
      <c r="F273" t="s">
        <v>58</v>
      </c>
      <c r="G273" t="s">
        <v>59</v>
      </c>
      <c r="H273" t="s">
        <v>60</v>
      </c>
      <c r="I273" t="s">
        <v>211</v>
      </c>
      <c r="J273" t="s">
        <v>86</v>
      </c>
      <c r="L273" t="s">
        <v>74</v>
      </c>
      <c r="M273" t="s">
        <v>63</v>
      </c>
      <c r="N273" t="s">
        <v>64</v>
      </c>
      <c r="P273" t="s">
        <v>65</v>
      </c>
      <c r="R273">
        <v>52.8</v>
      </c>
      <c r="T273">
        <v>43.7</v>
      </c>
      <c r="V273">
        <v>77.7</v>
      </c>
      <c r="W273" t="s">
        <v>66</v>
      </c>
      <c r="X273" t="s">
        <v>67</v>
      </c>
      <c r="Y273" t="s">
        <v>67</v>
      </c>
      <c r="Z273" t="s">
        <v>68</v>
      </c>
      <c r="AB273">
        <v>4</v>
      </c>
      <c r="AC273" t="s">
        <v>61</v>
      </c>
      <c r="AJ273" t="s">
        <v>69</v>
      </c>
      <c r="AY273" t="s">
        <v>430</v>
      </c>
      <c r="AZ273">
        <v>973</v>
      </c>
      <c r="BA273" t="s">
        <v>431</v>
      </c>
      <c r="BB273" t="s">
        <v>432</v>
      </c>
      <c r="BC273">
        <v>1978</v>
      </c>
      <c r="BD273" t="s">
        <v>90</v>
      </c>
    </row>
    <row r="274" spans="1:56" x14ac:dyDescent="0.35">
      <c r="A274">
        <v>71556</v>
      </c>
      <c r="B274" t="s">
        <v>429</v>
      </c>
      <c r="D274" t="s">
        <v>57</v>
      </c>
      <c r="E274">
        <v>99</v>
      </c>
      <c r="F274" t="s">
        <v>58</v>
      </c>
      <c r="G274" t="s">
        <v>59</v>
      </c>
      <c r="H274" t="s">
        <v>60</v>
      </c>
      <c r="J274">
        <v>31</v>
      </c>
      <c r="K274" t="s">
        <v>61</v>
      </c>
      <c r="L274" t="s">
        <v>74</v>
      </c>
      <c r="M274" t="s">
        <v>63</v>
      </c>
      <c r="N274" t="s">
        <v>64</v>
      </c>
      <c r="O274">
        <v>6</v>
      </c>
      <c r="P274" t="s">
        <v>65</v>
      </c>
      <c r="R274">
        <v>42.3</v>
      </c>
      <c r="T274">
        <v>35.200000000000003</v>
      </c>
      <c r="V274">
        <v>50.7</v>
      </c>
      <c r="W274" t="s">
        <v>66</v>
      </c>
      <c r="X274" t="s">
        <v>67</v>
      </c>
      <c r="Y274" t="s">
        <v>67</v>
      </c>
      <c r="Z274" t="s">
        <v>68</v>
      </c>
      <c r="AB274">
        <v>4</v>
      </c>
      <c r="AC274" t="s">
        <v>61</v>
      </c>
      <c r="AJ274" t="s">
        <v>69</v>
      </c>
      <c r="AY274" t="s">
        <v>263</v>
      </c>
      <c r="AZ274">
        <v>12858</v>
      </c>
      <c r="BA274" t="s">
        <v>264</v>
      </c>
      <c r="BB274" t="s">
        <v>265</v>
      </c>
      <c r="BC274">
        <v>1986</v>
      </c>
      <c r="BD274" t="s">
        <v>73</v>
      </c>
    </row>
    <row r="275" spans="1:56" x14ac:dyDescent="0.35">
      <c r="A275">
        <v>71556</v>
      </c>
      <c r="B275" t="s">
        <v>429</v>
      </c>
      <c r="D275" t="s">
        <v>57</v>
      </c>
      <c r="E275" t="s">
        <v>86</v>
      </c>
      <c r="F275" t="s">
        <v>58</v>
      </c>
      <c r="G275" t="s">
        <v>59</v>
      </c>
      <c r="H275" t="s">
        <v>60</v>
      </c>
      <c r="I275" t="s">
        <v>211</v>
      </c>
      <c r="J275" t="s">
        <v>86</v>
      </c>
      <c r="L275" t="s">
        <v>74</v>
      </c>
      <c r="M275" t="s">
        <v>63</v>
      </c>
      <c r="N275" t="s">
        <v>64</v>
      </c>
      <c r="P275" t="s">
        <v>65</v>
      </c>
      <c r="R275">
        <v>56</v>
      </c>
      <c r="T275">
        <v>39</v>
      </c>
      <c r="V275">
        <v>125.1</v>
      </c>
      <c r="W275" t="s">
        <v>66</v>
      </c>
      <c r="X275" t="s">
        <v>67</v>
      </c>
      <c r="Y275" t="s">
        <v>67</v>
      </c>
      <c r="Z275" t="s">
        <v>68</v>
      </c>
      <c r="AB275">
        <v>4</v>
      </c>
      <c r="AC275" t="s">
        <v>61</v>
      </c>
      <c r="AJ275" t="s">
        <v>69</v>
      </c>
      <c r="AY275" t="s">
        <v>382</v>
      </c>
      <c r="AZ275">
        <v>177338</v>
      </c>
      <c r="BA275" t="s">
        <v>433</v>
      </c>
      <c r="BB275" t="s">
        <v>434</v>
      </c>
      <c r="BC275">
        <v>1976</v>
      </c>
      <c r="BD275" t="s">
        <v>90</v>
      </c>
    </row>
    <row r="276" spans="1:56" x14ac:dyDescent="0.35">
      <c r="A276">
        <v>71556</v>
      </c>
      <c r="B276" t="s">
        <v>429</v>
      </c>
      <c r="D276" t="s">
        <v>85</v>
      </c>
      <c r="E276" t="s">
        <v>86</v>
      </c>
      <c r="F276" t="s">
        <v>58</v>
      </c>
      <c r="G276" t="s">
        <v>59</v>
      </c>
      <c r="H276" t="s">
        <v>60</v>
      </c>
      <c r="I276" t="s">
        <v>211</v>
      </c>
      <c r="J276" t="s">
        <v>86</v>
      </c>
      <c r="L276" t="s">
        <v>62</v>
      </c>
      <c r="M276" t="s">
        <v>63</v>
      </c>
      <c r="N276" t="s">
        <v>64</v>
      </c>
      <c r="P276" t="s">
        <v>100</v>
      </c>
      <c r="R276">
        <v>70</v>
      </c>
      <c r="T276">
        <v>58</v>
      </c>
      <c r="V276">
        <v>83</v>
      </c>
      <c r="W276" t="s">
        <v>66</v>
      </c>
      <c r="X276" t="s">
        <v>67</v>
      </c>
      <c r="Y276" t="s">
        <v>67</v>
      </c>
      <c r="Z276" t="s">
        <v>68</v>
      </c>
      <c r="AB276">
        <v>4</v>
      </c>
      <c r="AC276" t="s">
        <v>61</v>
      </c>
      <c r="AJ276" t="s">
        <v>69</v>
      </c>
      <c r="AY276" t="s">
        <v>382</v>
      </c>
      <c r="AZ276">
        <v>177338</v>
      </c>
      <c r="BA276" t="s">
        <v>433</v>
      </c>
      <c r="BB276" t="s">
        <v>434</v>
      </c>
      <c r="BC276">
        <v>1976</v>
      </c>
      <c r="BD276" t="s">
        <v>90</v>
      </c>
    </row>
    <row r="277" spans="1:56" x14ac:dyDescent="0.35">
      <c r="A277">
        <v>71556</v>
      </c>
      <c r="B277" t="s">
        <v>429</v>
      </c>
      <c r="D277" t="s">
        <v>85</v>
      </c>
      <c r="E277" t="s">
        <v>86</v>
      </c>
      <c r="F277" t="s">
        <v>58</v>
      </c>
      <c r="G277" t="s">
        <v>59</v>
      </c>
      <c r="H277" t="s">
        <v>60</v>
      </c>
      <c r="I277" t="s">
        <v>211</v>
      </c>
      <c r="J277" t="s">
        <v>86</v>
      </c>
      <c r="L277" t="s">
        <v>62</v>
      </c>
      <c r="M277" t="s">
        <v>63</v>
      </c>
      <c r="N277" t="s">
        <v>64</v>
      </c>
      <c r="P277" t="s">
        <v>100</v>
      </c>
      <c r="R277">
        <v>105</v>
      </c>
      <c r="T277">
        <v>91</v>
      </c>
      <c r="V277">
        <v>126</v>
      </c>
      <c r="W277" t="s">
        <v>66</v>
      </c>
      <c r="X277" t="s">
        <v>67</v>
      </c>
      <c r="Y277" t="s">
        <v>67</v>
      </c>
      <c r="Z277" t="s">
        <v>68</v>
      </c>
      <c r="AB277">
        <v>4</v>
      </c>
      <c r="AC277" t="s">
        <v>61</v>
      </c>
      <c r="AJ277" t="s">
        <v>69</v>
      </c>
      <c r="AY277" t="s">
        <v>430</v>
      </c>
      <c r="AZ277">
        <v>973</v>
      </c>
      <c r="BA277" t="s">
        <v>431</v>
      </c>
      <c r="BB277" t="s">
        <v>432</v>
      </c>
      <c r="BC277">
        <v>1978</v>
      </c>
      <c r="BD277" t="s">
        <v>90</v>
      </c>
    </row>
    <row r="278" spans="1:56" x14ac:dyDescent="0.35">
      <c r="A278">
        <v>71556</v>
      </c>
      <c r="B278" t="s">
        <v>429</v>
      </c>
      <c r="D278" t="s">
        <v>85</v>
      </c>
      <c r="E278" t="s">
        <v>86</v>
      </c>
      <c r="F278" t="s">
        <v>58</v>
      </c>
      <c r="G278" t="s">
        <v>59</v>
      </c>
      <c r="H278" t="s">
        <v>60</v>
      </c>
      <c r="J278" t="s">
        <v>86</v>
      </c>
      <c r="L278" t="s">
        <v>62</v>
      </c>
      <c r="M278" t="s">
        <v>63</v>
      </c>
      <c r="N278" t="s">
        <v>64</v>
      </c>
      <c r="O278">
        <v>7</v>
      </c>
      <c r="P278" t="s">
        <v>100</v>
      </c>
      <c r="S278" t="s">
        <v>153</v>
      </c>
      <c r="T278">
        <v>100</v>
      </c>
      <c r="U278" t="s">
        <v>435</v>
      </c>
      <c r="V278">
        <v>240</v>
      </c>
      <c r="W278" t="s">
        <v>66</v>
      </c>
      <c r="X278" t="s">
        <v>67</v>
      </c>
      <c r="Y278" t="s">
        <v>67</v>
      </c>
      <c r="Z278" t="s">
        <v>68</v>
      </c>
      <c r="AB278">
        <v>4</v>
      </c>
      <c r="AC278" t="s">
        <v>61</v>
      </c>
      <c r="AJ278" t="s">
        <v>69</v>
      </c>
      <c r="AY278" t="s">
        <v>436</v>
      </c>
      <c r="AZ278">
        <v>180478</v>
      </c>
      <c r="BA278" t="s">
        <v>437</v>
      </c>
      <c r="BB278" t="s">
        <v>438</v>
      </c>
      <c r="BC278">
        <v>1982</v>
      </c>
      <c r="BD278" t="s">
        <v>90</v>
      </c>
    </row>
    <row r="279" spans="1:56" x14ac:dyDescent="0.35">
      <c r="A279">
        <v>71738</v>
      </c>
      <c r="B279" t="s">
        <v>439</v>
      </c>
      <c r="D279" t="s">
        <v>57</v>
      </c>
      <c r="E279">
        <v>91</v>
      </c>
      <c r="F279" t="s">
        <v>58</v>
      </c>
      <c r="G279" t="s">
        <v>59</v>
      </c>
      <c r="H279" t="s">
        <v>60</v>
      </c>
      <c r="J279">
        <v>32</v>
      </c>
      <c r="K279" t="s">
        <v>61</v>
      </c>
      <c r="L279" t="s">
        <v>74</v>
      </c>
      <c r="M279" t="s">
        <v>63</v>
      </c>
      <c r="N279" t="s">
        <v>64</v>
      </c>
      <c r="P279" t="s">
        <v>65</v>
      </c>
      <c r="R279">
        <v>26.2</v>
      </c>
      <c r="W279" t="s">
        <v>66</v>
      </c>
      <c r="X279" t="s">
        <v>67</v>
      </c>
      <c r="Y279" t="s">
        <v>67</v>
      </c>
      <c r="Z279" t="s">
        <v>68</v>
      </c>
      <c r="AB279">
        <v>4</v>
      </c>
      <c r="AC279" t="s">
        <v>61</v>
      </c>
      <c r="AJ279" t="s">
        <v>69</v>
      </c>
      <c r="AY279" t="s">
        <v>80</v>
      </c>
      <c r="AZ279">
        <v>12859</v>
      </c>
      <c r="BA279" t="s">
        <v>81</v>
      </c>
      <c r="BB279" t="s">
        <v>82</v>
      </c>
      <c r="BC279">
        <v>1988</v>
      </c>
      <c r="BD279" t="s">
        <v>73</v>
      </c>
    </row>
    <row r="280" spans="1:56" x14ac:dyDescent="0.35">
      <c r="A280">
        <v>72208</v>
      </c>
      <c r="B280" t="s">
        <v>440</v>
      </c>
      <c r="D280" t="s">
        <v>85</v>
      </c>
      <c r="E280">
        <v>75</v>
      </c>
      <c r="F280" t="s">
        <v>58</v>
      </c>
      <c r="G280" t="s">
        <v>59</v>
      </c>
      <c r="H280" t="s">
        <v>60</v>
      </c>
      <c r="J280" t="s">
        <v>86</v>
      </c>
      <c r="L280" t="s">
        <v>62</v>
      </c>
      <c r="M280" t="s">
        <v>63</v>
      </c>
      <c r="N280" t="s">
        <v>64</v>
      </c>
      <c r="P280" t="s">
        <v>65</v>
      </c>
      <c r="R280">
        <v>1.9E-3</v>
      </c>
      <c r="W280" t="s">
        <v>66</v>
      </c>
      <c r="X280" t="s">
        <v>67</v>
      </c>
      <c r="Y280" t="s">
        <v>67</v>
      </c>
      <c r="Z280" t="s">
        <v>68</v>
      </c>
      <c r="AB280">
        <v>4</v>
      </c>
      <c r="AC280" t="s">
        <v>61</v>
      </c>
      <c r="AJ280" t="s">
        <v>69</v>
      </c>
      <c r="AQ280" t="s">
        <v>69</v>
      </c>
      <c r="AY280" t="s">
        <v>87</v>
      </c>
      <c r="AZ280">
        <v>878</v>
      </c>
      <c r="BA280" t="s">
        <v>88</v>
      </c>
      <c r="BB280" t="s">
        <v>89</v>
      </c>
      <c r="BC280">
        <v>1959</v>
      </c>
      <c r="BD280" t="s">
        <v>441</v>
      </c>
    </row>
    <row r="281" spans="1:56" x14ac:dyDescent="0.35">
      <c r="A281">
        <v>72208</v>
      </c>
      <c r="B281" t="s">
        <v>440</v>
      </c>
      <c r="C281" t="s">
        <v>91</v>
      </c>
      <c r="D281" t="s">
        <v>57</v>
      </c>
      <c r="E281">
        <v>98</v>
      </c>
      <c r="F281" t="s">
        <v>58</v>
      </c>
      <c r="G281" t="s">
        <v>59</v>
      </c>
      <c r="H281" t="s">
        <v>60</v>
      </c>
      <c r="I281" t="s">
        <v>188</v>
      </c>
      <c r="J281" t="s">
        <v>289</v>
      </c>
      <c r="K281" t="s">
        <v>184</v>
      </c>
      <c r="L281" t="s">
        <v>62</v>
      </c>
      <c r="M281" t="s">
        <v>63</v>
      </c>
      <c r="N281" t="s">
        <v>64</v>
      </c>
      <c r="P281" t="s">
        <v>65</v>
      </c>
      <c r="R281">
        <v>6.9999999999999999E-4</v>
      </c>
      <c r="T281">
        <v>5.0000000000000001E-4</v>
      </c>
      <c r="V281">
        <v>1E-3</v>
      </c>
      <c r="W281" t="s">
        <v>66</v>
      </c>
      <c r="X281" t="s">
        <v>67</v>
      </c>
      <c r="Y281" t="s">
        <v>67</v>
      </c>
      <c r="Z281" t="s">
        <v>68</v>
      </c>
      <c r="AB281">
        <v>4</v>
      </c>
      <c r="AC281" t="s">
        <v>61</v>
      </c>
      <c r="AJ281" t="s">
        <v>69</v>
      </c>
      <c r="AY281" t="s">
        <v>442</v>
      </c>
      <c r="AZ281">
        <v>12885</v>
      </c>
      <c r="BA281" t="s">
        <v>443</v>
      </c>
      <c r="BB281" t="s">
        <v>444</v>
      </c>
      <c r="BC281">
        <v>1988</v>
      </c>
      <c r="BD281" t="s">
        <v>185</v>
      </c>
    </row>
    <row r="282" spans="1:56" x14ac:dyDescent="0.35">
      <c r="A282">
        <v>72208</v>
      </c>
      <c r="B282" t="s">
        <v>440</v>
      </c>
      <c r="D282" t="s">
        <v>57</v>
      </c>
      <c r="E282" t="s">
        <v>86</v>
      </c>
      <c r="F282" t="s">
        <v>58</v>
      </c>
      <c r="G282" t="s">
        <v>59</v>
      </c>
      <c r="H282" t="s">
        <v>60</v>
      </c>
      <c r="J282" t="s">
        <v>86</v>
      </c>
      <c r="L282" t="s">
        <v>74</v>
      </c>
      <c r="M282" t="s">
        <v>63</v>
      </c>
      <c r="N282" t="s">
        <v>64</v>
      </c>
      <c r="P282" t="s">
        <v>65</v>
      </c>
      <c r="R282">
        <v>4.6999999999999999E-4</v>
      </c>
      <c r="W282" t="s">
        <v>66</v>
      </c>
      <c r="X282" t="s">
        <v>67</v>
      </c>
      <c r="Y282" t="s">
        <v>67</v>
      </c>
      <c r="Z282" t="s">
        <v>68</v>
      </c>
      <c r="AB282">
        <v>4</v>
      </c>
      <c r="AC282" t="s">
        <v>61</v>
      </c>
      <c r="AJ282" t="s">
        <v>69</v>
      </c>
      <c r="AY282" t="s">
        <v>445</v>
      </c>
      <c r="AZ282">
        <v>2099</v>
      </c>
      <c r="BA282" t="s">
        <v>446</v>
      </c>
      <c r="BB282" t="s">
        <v>447</v>
      </c>
      <c r="BC282">
        <v>1966</v>
      </c>
      <c r="BD282" t="s">
        <v>90</v>
      </c>
    </row>
    <row r="283" spans="1:56" x14ac:dyDescent="0.35">
      <c r="A283">
        <v>72208</v>
      </c>
      <c r="B283" t="s">
        <v>440</v>
      </c>
      <c r="E283">
        <v>99</v>
      </c>
      <c r="F283" t="s">
        <v>58</v>
      </c>
      <c r="G283" t="s">
        <v>59</v>
      </c>
      <c r="H283" t="s">
        <v>60</v>
      </c>
      <c r="J283" t="s">
        <v>86</v>
      </c>
      <c r="L283" t="s">
        <v>62</v>
      </c>
      <c r="M283" t="s">
        <v>63</v>
      </c>
      <c r="N283" t="s">
        <v>64</v>
      </c>
      <c r="P283" t="s">
        <v>65</v>
      </c>
      <c r="R283">
        <v>1.8E-3</v>
      </c>
      <c r="T283">
        <v>1E-3</v>
      </c>
      <c r="V283">
        <v>3.0000000000000001E-3</v>
      </c>
      <c r="W283" t="s">
        <v>66</v>
      </c>
      <c r="X283" t="s">
        <v>67</v>
      </c>
      <c r="Y283" t="s">
        <v>67</v>
      </c>
      <c r="Z283" t="s">
        <v>68</v>
      </c>
      <c r="AB283">
        <v>4</v>
      </c>
      <c r="AC283" t="s">
        <v>61</v>
      </c>
      <c r="AJ283" t="s">
        <v>69</v>
      </c>
      <c r="AY283" t="s">
        <v>96</v>
      </c>
      <c r="AZ283">
        <v>6797</v>
      </c>
      <c r="BA283" t="s">
        <v>97</v>
      </c>
      <c r="BB283" t="s">
        <v>98</v>
      </c>
      <c r="BC283">
        <v>1986</v>
      </c>
      <c r="BD283" t="s">
        <v>90</v>
      </c>
    </row>
    <row r="284" spans="1:56" x14ac:dyDescent="0.35">
      <c r="A284">
        <v>72208</v>
      </c>
      <c r="B284" t="s">
        <v>440</v>
      </c>
      <c r="C284" t="s">
        <v>91</v>
      </c>
      <c r="D284" t="s">
        <v>85</v>
      </c>
      <c r="E284">
        <v>91</v>
      </c>
      <c r="F284" t="s">
        <v>58</v>
      </c>
      <c r="G284" t="s">
        <v>59</v>
      </c>
      <c r="H284" t="s">
        <v>60</v>
      </c>
      <c r="J284" t="s">
        <v>86</v>
      </c>
      <c r="L284" t="s">
        <v>62</v>
      </c>
      <c r="M284" t="s">
        <v>63</v>
      </c>
      <c r="N284" t="s">
        <v>64</v>
      </c>
      <c r="P284" t="s">
        <v>65</v>
      </c>
      <c r="R284">
        <v>1.2999999999999999E-3</v>
      </c>
      <c r="W284" t="s">
        <v>66</v>
      </c>
      <c r="X284" t="s">
        <v>67</v>
      </c>
      <c r="Y284" t="s">
        <v>67</v>
      </c>
      <c r="Z284" t="s">
        <v>68</v>
      </c>
      <c r="AB284">
        <v>4</v>
      </c>
      <c r="AC284" t="s">
        <v>61</v>
      </c>
      <c r="AJ284" t="s">
        <v>69</v>
      </c>
      <c r="AQ284" t="s">
        <v>69</v>
      </c>
      <c r="AY284" t="s">
        <v>87</v>
      </c>
      <c r="AZ284">
        <v>878</v>
      </c>
      <c r="BA284" t="s">
        <v>88</v>
      </c>
      <c r="BB284" t="s">
        <v>89</v>
      </c>
      <c r="BC284">
        <v>1959</v>
      </c>
      <c r="BD284" t="s">
        <v>448</v>
      </c>
    </row>
    <row r="285" spans="1:56" x14ac:dyDescent="0.35">
      <c r="A285">
        <v>72208</v>
      </c>
      <c r="B285" t="s">
        <v>440</v>
      </c>
      <c r="E285">
        <v>99</v>
      </c>
      <c r="F285" t="s">
        <v>58</v>
      </c>
      <c r="G285" t="s">
        <v>59</v>
      </c>
      <c r="H285" t="s">
        <v>60</v>
      </c>
      <c r="J285" t="s">
        <v>86</v>
      </c>
      <c r="L285" t="s">
        <v>74</v>
      </c>
      <c r="M285" t="s">
        <v>63</v>
      </c>
      <c r="N285" t="s">
        <v>64</v>
      </c>
      <c r="P285" t="s">
        <v>65</v>
      </c>
      <c r="R285">
        <v>2.4000000000000001E-4</v>
      </c>
      <c r="T285">
        <v>1.6000000000000001E-4</v>
      </c>
      <c r="V285">
        <v>3.6000000000000002E-4</v>
      </c>
      <c r="W285" t="s">
        <v>66</v>
      </c>
      <c r="X285" t="s">
        <v>67</v>
      </c>
      <c r="Y285" t="s">
        <v>67</v>
      </c>
      <c r="Z285" t="s">
        <v>68</v>
      </c>
      <c r="AB285">
        <v>4</v>
      </c>
      <c r="AC285" t="s">
        <v>61</v>
      </c>
      <c r="AJ285" t="s">
        <v>69</v>
      </c>
      <c r="AY285" t="s">
        <v>96</v>
      </c>
      <c r="AZ285">
        <v>6797</v>
      </c>
      <c r="BA285" t="s">
        <v>97</v>
      </c>
      <c r="BB285" t="s">
        <v>98</v>
      </c>
      <c r="BC285">
        <v>1986</v>
      </c>
      <c r="BD285" t="s">
        <v>90</v>
      </c>
    </row>
    <row r="286" spans="1:56" x14ac:dyDescent="0.35">
      <c r="A286">
        <v>72208</v>
      </c>
      <c r="B286" t="s">
        <v>440</v>
      </c>
      <c r="D286" t="s">
        <v>57</v>
      </c>
      <c r="E286">
        <v>99.6</v>
      </c>
      <c r="F286" t="s">
        <v>58</v>
      </c>
      <c r="G286" t="s">
        <v>59</v>
      </c>
      <c r="H286" t="s">
        <v>60</v>
      </c>
      <c r="J286" t="s">
        <v>86</v>
      </c>
      <c r="L286" t="s">
        <v>74</v>
      </c>
      <c r="M286" t="s">
        <v>63</v>
      </c>
      <c r="N286" t="s">
        <v>64</v>
      </c>
      <c r="P286" t="s">
        <v>65</v>
      </c>
      <c r="R286">
        <v>6.4000000000000005E-4</v>
      </c>
      <c r="T286">
        <v>5.9000000000000003E-4</v>
      </c>
      <c r="V286">
        <v>6.8999999999999997E-4</v>
      </c>
      <c r="W286" t="s">
        <v>66</v>
      </c>
      <c r="X286" t="s">
        <v>67</v>
      </c>
      <c r="Y286" t="s">
        <v>67</v>
      </c>
      <c r="Z286" t="s">
        <v>68</v>
      </c>
      <c r="AB286">
        <v>4</v>
      </c>
      <c r="AC286" t="s">
        <v>61</v>
      </c>
      <c r="AJ286" t="s">
        <v>69</v>
      </c>
      <c r="AY286" t="s">
        <v>401</v>
      </c>
      <c r="AZ286">
        <v>12004</v>
      </c>
      <c r="BA286" t="s">
        <v>402</v>
      </c>
      <c r="BB286" t="s">
        <v>403</v>
      </c>
      <c r="BC286">
        <v>1985</v>
      </c>
      <c r="BD286" t="s">
        <v>90</v>
      </c>
    </row>
    <row r="287" spans="1:56" x14ac:dyDescent="0.35">
      <c r="A287">
        <v>72208</v>
      </c>
      <c r="B287" t="s">
        <v>440</v>
      </c>
      <c r="D287" t="s">
        <v>85</v>
      </c>
      <c r="E287">
        <v>19.5</v>
      </c>
      <c r="F287" t="s">
        <v>58</v>
      </c>
      <c r="G287" t="s">
        <v>59</v>
      </c>
      <c r="H287" t="s">
        <v>60</v>
      </c>
      <c r="J287" t="s">
        <v>86</v>
      </c>
      <c r="L287" t="s">
        <v>62</v>
      </c>
      <c r="M287" t="s">
        <v>63</v>
      </c>
      <c r="N287" t="s">
        <v>64</v>
      </c>
      <c r="P287" t="s">
        <v>65</v>
      </c>
      <c r="R287">
        <v>5.5999999999999995E-4</v>
      </c>
      <c r="W287" t="s">
        <v>66</v>
      </c>
      <c r="X287" t="s">
        <v>67</v>
      </c>
      <c r="Y287" t="s">
        <v>67</v>
      </c>
      <c r="Z287" t="s">
        <v>68</v>
      </c>
      <c r="AB287">
        <v>4</v>
      </c>
      <c r="AC287" t="s">
        <v>61</v>
      </c>
      <c r="AJ287" t="s">
        <v>69</v>
      </c>
      <c r="AQ287" t="s">
        <v>69</v>
      </c>
      <c r="AY287" t="s">
        <v>87</v>
      </c>
      <c r="AZ287">
        <v>878</v>
      </c>
      <c r="BA287" t="s">
        <v>88</v>
      </c>
      <c r="BB287" t="s">
        <v>89</v>
      </c>
      <c r="BC287">
        <v>1959</v>
      </c>
      <c r="BD287" t="s">
        <v>449</v>
      </c>
    </row>
    <row r="288" spans="1:56" x14ac:dyDescent="0.35">
      <c r="A288">
        <v>72208</v>
      </c>
      <c r="B288" t="s">
        <v>440</v>
      </c>
      <c r="D288" t="s">
        <v>57</v>
      </c>
      <c r="E288" t="s">
        <v>86</v>
      </c>
      <c r="F288" t="s">
        <v>58</v>
      </c>
      <c r="G288" t="s">
        <v>59</v>
      </c>
      <c r="H288" t="s">
        <v>60</v>
      </c>
      <c r="J288" t="s">
        <v>86</v>
      </c>
      <c r="L288" t="s">
        <v>74</v>
      </c>
      <c r="M288" t="s">
        <v>63</v>
      </c>
      <c r="N288" t="s">
        <v>64</v>
      </c>
      <c r="P288" t="s">
        <v>65</v>
      </c>
      <c r="R288">
        <v>5.1999999999999995E-4</v>
      </c>
      <c r="W288" t="s">
        <v>66</v>
      </c>
      <c r="X288" t="s">
        <v>67</v>
      </c>
      <c r="Y288" t="s">
        <v>67</v>
      </c>
      <c r="Z288" t="s">
        <v>68</v>
      </c>
      <c r="AB288">
        <v>4</v>
      </c>
      <c r="AC288" t="s">
        <v>61</v>
      </c>
      <c r="AJ288" t="s">
        <v>69</v>
      </c>
      <c r="AY288" t="s">
        <v>445</v>
      </c>
      <c r="AZ288">
        <v>2099</v>
      </c>
      <c r="BA288" t="s">
        <v>446</v>
      </c>
      <c r="BB288" t="s">
        <v>447</v>
      </c>
      <c r="BC288">
        <v>1966</v>
      </c>
      <c r="BD288" t="s">
        <v>90</v>
      </c>
    </row>
    <row r="289" spans="1:56" x14ac:dyDescent="0.35">
      <c r="A289">
        <v>72208</v>
      </c>
      <c r="B289" t="s">
        <v>440</v>
      </c>
      <c r="C289" t="s">
        <v>91</v>
      </c>
      <c r="D289" t="s">
        <v>85</v>
      </c>
      <c r="E289">
        <v>91</v>
      </c>
      <c r="F289" t="s">
        <v>58</v>
      </c>
      <c r="G289" t="s">
        <v>59</v>
      </c>
      <c r="H289" t="s">
        <v>60</v>
      </c>
      <c r="J289" t="s">
        <v>86</v>
      </c>
      <c r="L289" t="s">
        <v>62</v>
      </c>
      <c r="M289" t="s">
        <v>63</v>
      </c>
      <c r="N289" t="s">
        <v>64</v>
      </c>
      <c r="P289" t="s">
        <v>65</v>
      </c>
      <c r="R289">
        <v>1E-3</v>
      </c>
      <c r="W289" t="s">
        <v>66</v>
      </c>
      <c r="X289" t="s">
        <v>67</v>
      </c>
      <c r="Y289" t="s">
        <v>67</v>
      </c>
      <c r="Z289" t="s">
        <v>68</v>
      </c>
      <c r="AB289">
        <v>4</v>
      </c>
      <c r="AC289" t="s">
        <v>61</v>
      </c>
      <c r="AJ289" t="s">
        <v>69</v>
      </c>
      <c r="AQ289" t="s">
        <v>69</v>
      </c>
      <c r="AY289" t="s">
        <v>87</v>
      </c>
      <c r="AZ289">
        <v>878</v>
      </c>
      <c r="BA289" t="s">
        <v>88</v>
      </c>
      <c r="BB289" t="s">
        <v>89</v>
      </c>
      <c r="BC289">
        <v>1959</v>
      </c>
      <c r="BD289" t="s">
        <v>450</v>
      </c>
    </row>
    <row r="290" spans="1:56" x14ac:dyDescent="0.35">
      <c r="A290">
        <v>72208</v>
      </c>
      <c r="B290" t="s">
        <v>440</v>
      </c>
      <c r="D290" t="s">
        <v>57</v>
      </c>
      <c r="E290">
        <v>99</v>
      </c>
      <c r="F290" t="s">
        <v>58</v>
      </c>
      <c r="G290" t="s">
        <v>59</v>
      </c>
      <c r="H290" t="s">
        <v>60</v>
      </c>
      <c r="J290" t="s">
        <v>86</v>
      </c>
      <c r="L290" t="s">
        <v>74</v>
      </c>
      <c r="M290" t="s">
        <v>63</v>
      </c>
      <c r="N290" t="s">
        <v>64</v>
      </c>
      <c r="P290" t="s">
        <v>65</v>
      </c>
      <c r="R290">
        <v>2.5999999999999998E-4</v>
      </c>
      <c r="W290" t="s">
        <v>66</v>
      </c>
      <c r="X290" t="s">
        <v>67</v>
      </c>
      <c r="Y290" t="s">
        <v>67</v>
      </c>
      <c r="Z290" t="s">
        <v>68</v>
      </c>
      <c r="AB290">
        <v>4</v>
      </c>
      <c r="AC290" t="s">
        <v>61</v>
      </c>
      <c r="AJ290" t="s">
        <v>69</v>
      </c>
      <c r="AY290" t="s">
        <v>93</v>
      </c>
      <c r="AZ290">
        <v>2100</v>
      </c>
      <c r="BA290" t="s">
        <v>94</v>
      </c>
      <c r="BB290" t="s">
        <v>95</v>
      </c>
      <c r="BC290">
        <v>1969</v>
      </c>
      <c r="BD290" t="s">
        <v>90</v>
      </c>
    </row>
    <row r="291" spans="1:56" x14ac:dyDescent="0.35">
      <c r="A291">
        <v>72208</v>
      </c>
      <c r="B291" t="s">
        <v>440</v>
      </c>
      <c r="D291" t="s">
        <v>85</v>
      </c>
      <c r="E291" t="s">
        <v>86</v>
      </c>
      <c r="F291" t="s">
        <v>58</v>
      </c>
      <c r="G291" t="s">
        <v>59</v>
      </c>
      <c r="H291" t="s">
        <v>60</v>
      </c>
      <c r="J291" t="s">
        <v>86</v>
      </c>
      <c r="M291" t="s">
        <v>63</v>
      </c>
      <c r="N291" t="s">
        <v>64</v>
      </c>
      <c r="P291" t="s">
        <v>100</v>
      </c>
      <c r="R291">
        <v>5.0000000000000001E-4</v>
      </c>
      <c r="W291" t="s">
        <v>66</v>
      </c>
      <c r="X291" t="s">
        <v>67</v>
      </c>
      <c r="Y291" t="s">
        <v>67</v>
      </c>
      <c r="Z291" t="s">
        <v>68</v>
      </c>
      <c r="AB291">
        <v>4</v>
      </c>
      <c r="AC291" t="s">
        <v>61</v>
      </c>
      <c r="AJ291" t="s">
        <v>69</v>
      </c>
      <c r="AY291" t="s">
        <v>101</v>
      </c>
      <c r="AZ291">
        <v>70421</v>
      </c>
      <c r="BA291" t="s">
        <v>102</v>
      </c>
      <c r="BB291" t="s">
        <v>103</v>
      </c>
      <c r="BC291">
        <v>1974</v>
      </c>
      <c r="BD291" t="s">
        <v>90</v>
      </c>
    </row>
    <row r="292" spans="1:56" x14ac:dyDescent="0.35">
      <c r="A292">
        <v>72208</v>
      </c>
      <c r="B292" t="s">
        <v>440</v>
      </c>
      <c r="D292" t="s">
        <v>57</v>
      </c>
      <c r="E292" t="s">
        <v>86</v>
      </c>
      <c r="F292" t="s">
        <v>58</v>
      </c>
      <c r="G292" t="s">
        <v>59</v>
      </c>
      <c r="H292" t="s">
        <v>60</v>
      </c>
      <c r="J292" t="s">
        <v>86</v>
      </c>
      <c r="L292" t="s">
        <v>74</v>
      </c>
      <c r="M292" t="s">
        <v>63</v>
      </c>
      <c r="N292" t="s">
        <v>64</v>
      </c>
      <c r="P292" t="s">
        <v>65</v>
      </c>
      <c r="R292">
        <v>4.4999999999999999E-4</v>
      </c>
      <c r="W292" t="s">
        <v>66</v>
      </c>
      <c r="X292" t="s">
        <v>67</v>
      </c>
      <c r="Y292" t="s">
        <v>67</v>
      </c>
      <c r="Z292" t="s">
        <v>68</v>
      </c>
      <c r="AB292">
        <v>4</v>
      </c>
      <c r="AC292" t="s">
        <v>61</v>
      </c>
      <c r="AJ292" t="s">
        <v>69</v>
      </c>
      <c r="AY292" t="s">
        <v>445</v>
      </c>
      <c r="AZ292">
        <v>2099</v>
      </c>
      <c r="BA292" t="s">
        <v>446</v>
      </c>
      <c r="BB292" t="s">
        <v>447</v>
      </c>
      <c r="BC292">
        <v>1966</v>
      </c>
      <c r="BD292" t="s">
        <v>90</v>
      </c>
    </row>
    <row r="293" spans="1:56" x14ac:dyDescent="0.35">
      <c r="A293">
        <v>72208</v>
      </c>
      <c r="B293" t="s">
        <v>440</v>
      </c>
      <c r="E293" t="s">
        <v>407</v>
      </c>
      <c r="F293" t="s">
        <v>58</v>
      </c>
      <c r="G293" t="s">
        <v>59</v>
      </c>
      <c r="H293" t="s">
        <v>60</v>
      </c>
      <c r="J293" t="s">
        <v>86</v>
      </c>
      <c r="L293" t="s">
        <v>74</v>
      </c>
      <c r="M293" t="s">
        <v>63</v>
      </c>
      <c r="P293" t="s">
        <v>65</v>
      </c>
      <c r="R293">
        <v>6.4755192999999998E-4</v>
      </c>
      <c r="W293" t="s">
        <v>66</v>
      </c>
      <c r="X293" t="s">
        <v>67</v>
      </c>
      <c r="Y293" t="s">
        <v>67</v>
      </c>
      <c r="Z293" t="s">
        <v>68</v>
      </c>
      <c r="AB293">
        <v>4</v>
      </c>
      <c r="AC293" t="s">
        <v>61</v>
      </c>
      <c r="AJ293" t="s">
        <v>69</v>
      </c>
      <c r="AY293" t="s">
        <v>408</v>
      </c>
      <c r="AZ293">
        <v>5876</v>
      </c>
      <c r="BA293" t="s">
        <v>409</v>
      </c>
      <c r="BB293" t="s">
        <v>410</v>
      </c>
      <c r="BC293">
        <v>1988</v>
      </c>
      <c r="BD293" t="s">
        <v>90</v>
      </c>
    </row>
    <row r="294" spans="1:56" x14ac:dyDescent="0.35">
      <c r="A294">
        <v>72208</v>
      </c>
      <c r="B294" t="s">
        <v>440</v>
      </c>
      <c r="D294" t="s">
        <v>85</v>
      </c>
      <c r="E294">
        <v>19.5</v>
      </c>
      <c r="F294" t="s">
        <v>58</v>
      </c>
      <c r="G294" t="s">
        <v>59</v>
      </c>
      <c r="H294" t="s">
        <v>60</v>
      </c>
      <c r="J294" t="s">
        <v>86</v>
      </c>
      <c r="L294" t="s">
        <v>62</v>
      </c>
      <c r="M294" t="s">
        <v>63</v>
      </c>
      <c r="N294" t="s">
        <v>64</v>
      </c>
      <c r="P294" t="s">
        <v>100</v>
      </c>
      <c r="R294">
        <v>3.8E-3</v>
      </c>
      <c r="W294" t="s">
        <v>66</v>
      </c>
      <c r="X294" t="s">
        <v>67</v>
      </c>
      <c r="Y294" t="s">
        <v>67</v>
      </c>
      <c r="Z294" t="s">
        <v>68</v>
      </c>
      <c r="AB294">
        <v>4</v>
      </c>
      <c r="AC294" t="s">
        <v>61</v>
      </c>
      <c r="AJ294" t="s">
        <v>69</v>
      </c>
      <c r="AY294" t="s">
        <v>87</v>
      </c>
      <c r="AZ294">
        <v>878</v>
      </c>
      <c r="BA294" t="s">
        <v>88</v>
      </c>
      <c r="BB294" t="s">
        <v>89</v>
      </c>
      <c r="BC294">
        <v>1959</v>
      </c>
      <c r="BD294" t="s">
        <v>90</v>
      </c>
    </row>
    <row r="295" spans="1:56" x14ac:dyDescent="0.35">
      <c r="A295">
        <v>72208</v>
      </c>
      <c r="B295" t="s">
        <v>440</v>
      </c>
      <c r="C295" t="s">
        <v>104</v>
      </c>
      <c r="D295" t="s">
        <v>85</v>
      </c>
      <c r="E295" t="s">
        <v>86</v>
      </c>
      <c r="F295" t="s">
        <v>58</v>
      </c>
      <c r="G295" t="s">
        <v>59</v>
      </c>
      <c r="H295" t="s">
        <v>60</v>
      </c>
      <c r="J295" t="s">
        <v>86</v>
      </c>
      <c r="L295" t="s">
        <v>62</v>
      </c>
      <c r="M295" t="s">
        <v>63</v>
      </c>
      <c r="N295" t="s">
        <v>64</v>
      </c>
      <c r="P295" t="s">
        <v>65</v>
      </c>
      <c r="R295">
        <v>5.9000000000000003E-4</v>
      </c>
      <c r="W295" t="s">
        <v>66</v>
      </c>
      <c r="X295" t="s">
        <v>67</v>
      </c>
      <c r="Y295" t="s">
        <v>67</v>
      </c>
      <c r="Z295" t="s">
        <v>68</v>
      </c>
      <c r="AB295">
        <v>4</v>
      </c>
      <c r="AC295" t="s">
        <v>61</v>
      </c>
      <c r="AJ295" t="s">
        <v>69</v>
      </c>
      <c r="AY295" t="s">
        <v>105</v>
      </c>
      <c r="AZ295">
        <v>14649</v>
      </c>
      <c r="BA295" t="s">
        <v>106</v>
      </c>
      <c r="BB295" t="s">
        <v>107</v>
      </c>
      <c r="BC295">
        <v>1965</v>
      </c>
      <c r="BD295" t="s">
        <v>90</v>
      </c>
    </row>
    <row r="296" spans="1:56" x14ac:dyDescent="0.35">
      <c r="A296">
        <v>72208</v>
      </c>
      <c r="B296" t="s">
        <v>440</v>
      </c>
      <c r="D296" t="s">
        <v>85</v>
      </c>
      <c r="E296">
        <v>75</v>
      </c>
      <c r="F296" t="s">
        <v>58</v>
      </c>
      <c r="G296" t="s">
        <v>59</v>
      </c>
      <c r="H296" t="s">
        <v>60</v>
      </c>
      <c r="J296" t="s">
        <v>86</v>
      </c>
      <c r="L296" t="s">
        <v>62</v>
      </c>
      <c r="M296" t="s">
        <v>63</v>
      </c>
      <c r="N296" t="s">
        <v>64</v>
      </c>
      <c r="P296" t="s">
        <v>100</v>
      </c>
      <c r="R296">
        <v>3.2000000000000002E-3</v>
      </c>
      <c r="W296" t="s">
        <v>66</v>
      </c>
      <c r="X296" t="s">
        <v>67</v>
      </c>
      <c r="Y296" t="s">
        <v>67</v>
      </c>
      <c r="Z296" t="s">
        <v>68</v>
      </c>
      <c r="AB296">
        <v>4</v>
      </c>
      <c r="AC296" t="s">
        <v>61</v>
      </c>
      <c r="AJ296" t="s">
        <v>69</v>
      </c>
      <c r="AY296" t="s">
        <v>87</v>
      </c>
      <c r="AZ296">
        <v>878</v>
      </c>
      <c r="BA296" t="s">
        <v>88</v>
      </c>
      <c r="BB296" t="s">
        <v>89</v>
      </c>
      <c r="BC296">
        <v>1959</v>
      </c>
      <c r="BD296" t="s">
        <v>90</v>
      </c>
    </row>
    <row r="297" spans="1:56" x14ac:dyDescent="0.35">
      <c r="A297">
        <v>72435</v>
      </c>
      <c r="B297" t="s">
        <v>451</v>
      </c>
      <c r="D297" t="s">
        <v>57</v>
      </c>
      <c r="E297" t="s">
        <v>86</v>
      </c>
      <c r="F297" t="s">
        <v>58</v>
      </c>
      <c r="G297" t="s">
        <v>59</v>
      </c>
      <c r="H297" t="s">
        <v>60</v>
      </c>
      <c r="J297" t="s">
        <v>86</v>
      </c>
      <c r="L297" t="s">
        <v>62</v>
      </c>
      <c r="M297" t="s">
        <v>63</v>
      </c>
      <c r="N297" t="s">
        <v>64</v>
      </c>
      <c r="P297" t="s">
        <v>65</v>
      </c>
      <c r="R297">
        <v>7.4999999999999997E-3</v>
      </c>
      <c r="W297" t="s">
        <v>66</v>
      </c>
      <c r="X297" t="s">
        <v>67</v>
      </c>
      <c r="Y297" t="s">
        <v>67</v>
      </c>
      <c r="Z297" t="s">
        <v>68</v>
      </c>
      <c r="AB297">
        <v>4</v>
      </c>
      <c r="AC297" t="s">
        <v>61</v>
      </c>
      <c r="AJ297" t="s">
        <v>69</v>
      </c>
      <c r="AY297" t="s">
        <v>452</v>
      </c>
      <c r="AZ297">
        <v>5070</v>
      </c>
      <c r="BA297" t="s">
        <v>453</v>
      </c>
      <c r="BB297" t="s">
        <v>454</v>
      </c>
      <c r="BC297">
        <v>1973</v>
      </c>
      <c r="BD297" t="s">
        <v>90</v>
      </c>
    </row>
    <row r="298" spans="1:56" x14ac:dyDescent="0.35">
      <c r="A298">
        <v>72435</v>
      </c>
      <c r="B298" t="s">
        <v>451</v>
      </c>
      <c r="D298" t="s">
        <v>85</v>
      </c>
      <c r="E298" t="s">
        <v>86</v>
      </c>
      <c r="F298" t="s">
        <v>58</v>
      </c>
      <c r="G298" t="s">
        <v>59</v>
      </c>
      <c r="H298" t="s">
        <v>60</v>
      </c>
      <c r="J298" t="s">
        <v>86</v>
      </c>
      <c r="M298" t="s">
        <v>63</v>
      </c>
      <c r="N298" t="s">
        <v>64</v>
      </c>
      <c r="P298" t="s">
        <v>100</v>
      </c>
      <c r="R298">
        <v>7.4999999999999997E-3</v>
      </c>
      <c r="W298" t="s">
        <v>66</v>
      </c>
      <c r="X298" t="s">
        <v>67</v>
      </c>
      <c r="Y298" t="s">
        <v>67</v>
      </c>
      <c r="Z298" t="s">
        <v>68</v>
      </c>
      <c r="AB298">
        <v>4</v>
      </c>
      <c r="AC298" t="s">
        <v>61</v>
      </c>
      <c r="AJ298" t="s">
        <v>69</v>
      </c>
      <c r="AY298" t="s">
        <v>101</v>
      </c>
      <c r="AZ298">
        <v>70421</v>
      </c>
      <c r="BA298" t="s">
        <v>102</v>
      </c>
      <c r="BB298" t="s">
        <v>103</v>
      </c>
      <c r="BC298">
        <v>1974</v>
      </c>
      <c r="BD298" t="s">
        <v>90</v>
      </c>
    </row>
    <row r="299" spans="1:56" x14ac:dyDescent="0.35">
      <c r="A299">
        <v>72435</v>
      </c>
      <c r="B299" t="s">
        <v>451</v>
      </c>
      <c r="E299">
        <v>98</v>
      </c>
      <c r="F299" t="s">
        <v>58</v>
      </c>
      <c r="G299" t="s">
        <v>59</v>
      </c>
      <c r="H299" t="s">
        <v>60</v>
      </c>
      <c r="J299" t="s">
        <v>86</v>
      </c>
      <c r="L299" t="s">
        <v>62</v>
      </c>
      <c r="M299" t="s">
        <v>63</v>
      </c>
      <c r="N299" t="s">
        <v>64</v>
      </c>
      <c r="P299" t="s">
        <v>65</v>
      </c>
      <c r="R299">
        <v>3.9E-2</v>
      </c>
      <c r="T299">
        <v>3.1E-2</v>
      </c>
      <c r="V299">
        <v>4.9000000000000002E-2</v>
      </c>
      <c r="W299" t="s">
        <v>66</v>
      </c>
      <c r="X299" t="s">
        <v>67</v>
      </c>
      <c r="Y299" t="s">
        <v>67</v>
      </c>
      <c r="Z299" t="s">
        <v>68</v>
      </c>
      <c r="AB299">
        <v>4</v>
      </c>
      <c r="AC299" t="s">
        <v>61</v>
      </c>
      <c r="AJ299" t="s">
        <v>69</v>
      </c>
      <c r="AY299" t="s">
        <v>96</v>
      </c>
      <c r="AZ299">
        <v>6797</v>
      </c>
      <c r="BA299" t="s">
        <v>97</v>
      </c>
      <c r="BB299" t="s">
        <v>98</v>
      </c>
      <c r="BC299">
        <v>1986</v>
      </c>
      <c r="BD299" t="s">
        <v>90</v>
      </c>
    </row>
    <row r="300" spans="1:56" x14ac:dyDescent="0.35">
      <c r="A300">
        <v>72435</v>
      </c>
      <c r="B300" t="s">
        <v>451</v>
      </c>
      <c r="D300" t="s">
        <v>57</v>
      </c>
      <c r="E300" t="s">
        <v>86</v>
      </c>
      <c r="F300" t="s">
        <v>58</v>
      </c>
      <c r="G300" t="s">
        <v>59</v>
      </c>
      <c r="H300" t="s">
        <v>60</v>
      </c>
      <c r="J300" t="s">
        <v>86</v>
      </c>
      <c r="L300" t="s">
        <v>74</v>
      </c>
      <c r="M300" t="s">
        <v>63</v>
      </c>
      <c r="N300" t="s">
        <v>64</v>
      </c>
      <c r="P300" t="s">
        <v>65</v>
      </c>
      <c r="R300">
        <v>8.5400000000000007E-3</v>
      </c>
      <c r="T300">
        <v>5.3E-3</v>
      </c>
      <c r="V300">
        <v>1.3769999999999999E-2</v>
      </c>
      <c r="W300" t="s">
        <v>66</v>
      </c>
      <c r="X300" t="s">
        <v>67</v>
      </c>
      <c r="Y300" t="s">
        <v>67</v>
      </c>
      <c r="Z300" t="s">
        <v>68</v>
      </c>
      <c r="AB300">
        <v>4</v>
      </c>
      <c r="AC300" t="s">
        <v>61</v>
      </c>
      <c r="AJ300" t="s">
        <v>69</v>
      </c>
      <c r="AY300" t="s">
        <v>452</v>
      </c>
      <c r="AZ300">
        <v>5070</v>
      </c>
      <c r="BA300" t="s">
        <v>453</v>
      </c>
      <c r="BB300" t="s">
        <v>454</v>
      </c>
      <c r="BC300">
        <v>1973</v>
      </c>
      <c r="BD300" t="s">
        <v>90</v>
      </c>
    </row>
    <row r="301" spans="1:56" x14ac:dyDescent="0.35">
      <c r="A301">
        <v>72435</v>
      </c>
      <c r="B301" t="s">
        <v>451</v>
      </c>
      <c r="C301" t="s">
        <v>84</v>
      </c>
      <c r="D301" t="s">
        <v>85</v>
      </c>
      <c r="E301">
        <v>100</v>
      </c>
      <c r="F301" t="s">
        <v>58</v>
      </c>
      <c r="G301" t="s">
        <v>59</v>
      </c>
      <c r="H301" t="s">
        <v>60</v>
      </c>
      <c r="J301" t="s">
        <v>86</v>
      </c>
      <c r="L301" t="s">
        <v>62</v>
      </c>
      <c r="M301" t="s">
        <v>63</v>
      </c>
      <c r="N301" t="s">
        <v>64</v>
      </c>
      <c r="P301" t="s">
        <v>65</v>
      </c>
      <c r="R301">
        <v>6.4000000000000001E-2</v>
      </c>
      <c r="W301" t="s">
        <v>66</v>
      </c>
      <c r="X301" t="s">
        <v>67</v>
      </c>
      <c r="Y301" t="s">
        <v>67</v>
      </c>
      <c r="Z301" t="s">
        <v>68</v>
      </c>
      <c r="AB301">
        <v>4</v>
      </c>
      <c r="AC301" t="s">
        <v>61</v>
      </c>
      <c r="AJ301" t="s">
        <v>69</v>
      </c>
      <c r="AY301" t="s">
        <v>87</v>
      </c>
      <c r="AZ301">
        <v>878</v>
      </c>
      <c r="BA301" t="s">
        <v>88</v>
      </c>
      <c r="BB301" t="s">
        <v>89</v>
      </c>
      <c r="BC301">
        <v>1959</v>
      </c>
      <c r="BD301" t="s">
        <v>90</v>
      </c>
    </row>
    <row r="302" spans="1:56" x14ac:dyDescent="0.35">
      <c r="A302">
        <v>72435</v>
      </c>
      <c r="B302" t="s">
        <v>451</v>
      </c>
      <c r="D302" t="s">
        <v>57</v>
      </c>
      <c r="E302" t="s">
        <v>86</v>
      </c>
      <c r="F302" t="s">
        <v>58</v>
      </c>
      <c r="G302" t="s">
        <v>59</v>
      </c>
      <c r="H302" t="s">
        <v>60</v>
      </c>
      <c r="J302" t="s">
        <v>86</v>
      </c>
      <c r="L302" t="s">
        <v>62</v>
      </c>
      <c r="M302" t="s">
        <v>63</v>
      </c>
      <c r="N302" t="s">
        <v>64</v>
      </c>
      <c r="P302" t="s">
        <v>65</v>
      </c>
      <c r="R302">
        <v>7.4999999999999997E-3</v>
      </c>
      <c r="W302" t="s">
        <v>66</v>
      </c>
      <c r="X302" t="s">
        <v>67</v>
      </c>
      <c r="Y302" t="s">
        <v>67</v>
      </c>
      <c r="Z302" t="s">
        <v>68</v>
      </c>
      <c r="AB302">
        <v>4</v>
      </c>
      <c r="AC302" t="s">
        <v>61</v>
      </c>
      <c r="AJ302" t="s">
        <v>69</v>
      </c>
      <c r="AY302" t="s">
        <v>455</v>
      </c>
      <c r="AZ302">
        <v>5811</v>
      </c>
      <c r="BA302" t="s">
        <v>456</v>
      </c>
      <c r="BB302" t="s">
        <v>457</v>
      </c>
      <c r="BC302">
        <v>1972</v>
      </c>
      <c r="BD302" t="s">
        <v>90</v>
      </c>
    </row>
    <row r="303" spans="1:56" x14ac:dyDescent="0.35">
      <c r="A303">
        <v>72435</v>
      </c>
      <c r="B303" t="s">
        <v>451</v>
      </c>
      <c r="C303" t="s">
        <v>84</v>
      </c>
      <c r="D303" t="s">
        <v>85</v>
      </c>
      <c r="E303">
        <v>100</v>
      </c>
      <c r="F303" t="s">
        <v>58</v>
      </c>
      <c r="G303" t="s">
        <v>59</v>
      </c>
      <c r="H303" t="s">
        <v>60</v>
      </c>
      <c r="J303" t="s">
        <v>86</v>
      </c>
      <c r="L303" t="s">
        <v>62</v>
      </c>
      <c r="M303" t="s">
        <v>63</v>
      </c>
      <c r="N303" t="s">
        <v>64</v>
      </c>
      <c r="P303" t="s">
        <v>65</v>
      </c>
      <c r="R303">
        <v>3.5000000000000003E-2</v>
      </c>
      <c r="W303" t="s">
        <v>66</v>
      </c>
      <c r="X303" t="s">
        <v>67</v>
      </c>
      <c r="Y303" t="s">
        <v>67</v>
      </c>
      <c r="Z303" t="s">
        <v>68</v>
      </c>
      <c r="AB303">
        <v>4</v>
      </c>
      <c r="AC303" t="s">
        <v>61</v>
      </c>
      <c r="AJ303" t="s">
        <v>69</v>
      </c>
      <c r="AY303" t="s">
        <v>87</v>
      </c>
      <c r="AZ303">
        <v>878</v>
      </c>
      <c r="BA303" t="s">
        <v>88</v>
      </c>
      <c r="BB303" t="s">
        <v>89</v>
      </c>
      <c r="BC303">
        <v>1959</v>
      </c>
      <c r="BD303" t="s">
        <v>90</v>
      </c>
    </row>
    <row r="304" spans="1:56" x14ac:dyDescent="0.35">
      <c r="A304">
        <v>72548</v>
      </c>
      <c r="B304" t="s">
        <v>458</v>
      </c>
      <c r="E304">
        <v>99</v>
      </c>
      <c r="F304" t="s">
        <v>58</v>
      </c>
      <c r="G304" t="s">
        <v>59</v>
      </c>
      <c r="H304" t="s">
        <v>60</v>
      </c>
      <c r="J304" t="s">
        <v>86</v>
      </c>
      <c r="L304" t="s">
        <v>62</v>
      </c>
      <c r="M304" t="s">
        <v>63</v>
      </c>
      <c r="N304" t="s">
        <v>64</v>
      </c>
      <c r="P304" t="s">
        <v>65</v>
      </c>
      <c r="R304">
        <v>4.4000000000000004</v>
      </c>
      <c r="T304">
        <v>3.47</v>
      </c>
      <c r="V304">
        <v>5.58</v>
      </c>
      <c r="W304" t="s">
        <v>66</v>
      </c>
      <c r="X304" t="s">
        <v>67</v>
      </c>
      <c r="Y304" t="s">
        <v>67</v>
      </c>
      <c r="Z304" t="s">
        <v>68</v>
      </c>
      <c r="AB304">
        <v>4</v>
      </c>
      <c r="AC304" t="s">
        <v>61</v>
      </c>
      <c r="AJ304" t="s">
        <v>69</v>
      </c>
      <c r="AY304" t="s">
        <v>96</v>
      </c>
      <c r="AZ304">
        <v>6797</v>
      </c>
      <c r="BA304" t="s">
        <v>97</v>
      </c>
      <c r="BB304" t="s">
        <v>98</v>
      </c>
      <c r="BC304">
        <v>1986</v>
      </c>
      <c r="BD304" t="s">
        <v>90</v>
      </c>
    </row>
    <row r="305" spans="1:56" x14ac:dyDescent="0.35">
      <c r="A305">
        <v>74908</v>
      </c>
      <c r="B305" t="s">
        <v>459</v>
      </c>
      <c r="D305" t="s">
        <v>57</v>
      </c>
      <c r="E305" t="s">
        <v>86</v>
      </c>
      <c r="F305" t="s">
        <v>58</v>
      </c>
      <c r="G305" t="s">
        <v>59</v>
      </c>
      <c r="H305" t="s">
        <v>60</v>
      </c>
      <c r="I305" t="s">
        <v>129</v>
      </c>
      <c r="J305">
        <v>13</v>
      </c>
      <c r="K305" t="s">
        <v>196</v>
      </c>
      <c r="L305" t="s">
        <v>74</v>
      </c>
      <c r="M305" t="s">
        <v>63</v>
      </c>
      <c r="N305" t="s">
        <v>64</v>
      </c>
      <c r="P305" t="s">
        <v>201</v>
      </c>
      <c r="R305">
        <v>0.157</v>
      </c>
      <c r="T305">
        <v>0.14199999999999999</v>
      </c>
      <c r="V305">
        <v>0.17299999999999999</v>
      </c>
      <c r="W305" t="s">
        <v>66</v>
      </c>
      <c r="X305" t="s">
        <v>67</v>
      </c>
      <c r="Y305" t="s">
        <v>67</v>
      </c>
      <c r="Z305" t="s">
        <v>68</v>
      </c>
      <c r="AB305">
        <v>4</v>
      </c>
      <c r="AC305" t="s">
        <v>61</v>
      </c>
      <c r="AJ305" t="s">
        <v>69</v>
      </c>
      <c r="AY305" t="s">
        <v>460</v>
      </c>
      <c r="AZ305">
        <v>519</v>
      </c>
      <c r="BA305" t="s">
        <v>461</v>
      </c>
      <c r="BB305" t="s">
        <v>462</v>
      </c>
      <c r="BC305">
        <v>1977</v>
      </c>
      <c r="BD305" t="s">
        <v>200</v>
      </c>
    </row>
    <row r="306" spans="1:56" x14ac:dyDescent="0.35">
      <c r="A306">
        <v>74908</v>
      </c>
      <c r="B306" t="s">
        <v>459</v>
      </c>
      <c r="D306" t="s">
        <v>57</v>
      </c>
      <c r="E306" t="s">
        <v>86</v>
      </c>
      <c r="F306" t="s">
        <v>58</v>
      </c>
      <c r="G306" t="s">
        <v>59</v>
      </c>
      <c r="H306" t="s">
        <v>60</v>
      </c>
      <c r="I306" t="s">
        <v>129</v>
      </c>
      <c r="J306">
        <v>13</v>
      </c>
      <c r="K306" t="s">
        <v>196</v>
      </c>
      <c r="L306" t="s">
        <v>74</v>
      </c>
      <c r="M306" t="s">
        <v>63</v>
      </c>
      <c r="N306" t="s">
        <v>64</v>
      </c>
      <c r="P306" t="s">
        <v>201</v>
      </c>
      <c r="R306">
        <v>0.11700000000000001</v>
      </c>
      <c r="T306">
        <v>0.10199999999999999</v>
      </c>
      <c r="V306">
        <v>0.13500000000000001</v>
      </c>
      <c r="W306" t="s">
        <v>66</v>
      </c>
      <c r="X306" t="s">
        <v>67</v>
      </c>
      <c r="Y306" t="s">
        <v>67</v>
      </c>
      <c r="Z306" t="s">
        <v>68</v>
      </c>
      <c r="AB306">
        <v>4</v>
      </c>
      <c r="AC306" t="s">
        <v>61</v>
      </c>
      <c r="AJ306" t="s">
        <v>69</v>
      </c>
      <c r="AY306" t="s">
        <v>460</v>
      </c>
      <c r="AZ306">
        <v>519</v>
      </c>
      <c r="BA306" t="s">
        <v>461</v>
      </c>
      <c r="BB306" t="s">
        <v>462</v>
      </c>
      <c r="BC306">
        <v>1977</v>
      </c>
      <c r="BD306" t="s">
        <v>200</v>
      </c>
    </row>
    <row r="307" spans="1:56" x14ac:dyDescent="0.35">
      <c r="A307">
        <v>74908</v>
      </c>
      <c r="B307" t="s">
        <v>459</v>
      </c>
      <c r="D307" t="s">
        <v>57</v>
      </c>
      <c r="E307" t="s">
        <v>86</v>
      </c>
      <c r="F307" t="s">
        <v>58</v>
      </c>
      <c r="G307" t="s">
        <v>59</v>
      </c>
      <c r="H307" t="s">
        <v>60</v>
      </c>
      <c r="I307" t="s">
        <v>129</v>
      </c>
      <c r="J307">
        <v>13</v>
      </c>
      <c r="K307" t="s">
        <v>196</v>
      </c>
      <c r="L307" t="s">
        <v>74</v>
      </c>
      <c r="M307" t="s">
        <v>63</v>
      </c>
      <c r="N307" t="s">
        <v>64</v>
      </c>
      <c r="P307" t="s">
        <v>201</v>
      </c>
      <c r="R307">
        <v>0.13300000000000001</v>
      </c>
      <c r="T307">
        <v>0.126</v>
      </c>
      <c r="V307">
        <v>0.14000000000000001</v>
      </c>
      <c r="W307" t="s">
        <v>66</v>
      </c>
      <c r="X307" t="s">
        <v>67</v>
      </c>
      <c r="Y307" t="s">
        <v>67</v>
      </c>
      <c r="Z307" t="s">
        <v>68</v>
      </c>
      <c r="AB307">
        <v>4</v>
      </c>
      <c r="AC307" t="s">
        <v>61</v>
      </c>
      <c r="AJ307" t="s">
        <v>69</v>
      </c>
      <c r="AY307" t="s">
        <v>460</v>
      </c>
      <c r="AZ307">
        <v>519</v>
      </c>
      <c r="BA307" t="s">
        <v>461</v>
      </c>
      <c r="BB307" t="s">
        <v>462</v>
      </c>
      <c r="BC307">
        <v>1977</v>
      </c>
      <c r="BD307" t="s">
        <v>200</v>
      </c>
    </row>
    <row r="308" spans="1:56" x14ac:dyDescent="0.35">
      <c r="A308">
        <v>74908</v>
      </c>
      <c r="B308" t="s">
        <v>459</v>
      </c>
      <c r="D308" t="s">
        <v>57</v>
      </c>
      <c r="E308" t="s">
        <v>86</v>
      </c>
      <c r="F308" t="s">
        <v>58</v>
      </c>
      <c r="G308" t="s">
        <v>59</v>
      </c>
      <c r="H308" t="s">
        <v>60</v>
      </c>
      <c r="I308" t="s">
        <v>129</v>
      </c>
      <c r="J308">
        <v>13</v>
      </c>
      <c r="K308" t="s">
        <v>196</v>
      </c>
      <c r="L308" t="s">
        <v>74</v>
      </c>
      <c r="M308" t="s">
        <v>63</v>
      </c>
      <c r="N308" t="s">
        <v>64</v>
      </c>
      <c r="P308" t="s">
        <v>201</v>
      </c>
      <c r="R308">
        <v>0.124</v>
      </c>
      <c r="T308">
        <v>0.107</v>
      </c>
      <c r="V308">
        <v>0.14399999999999999</v>
      </c>
      <c r="W308" t="s">
        <v>66</v>
      </c>
      <c r="X308" t="s">
        <v>67</v>
      </c>
      <c r="Y308" t="s">
        <v>67</v>
      </c>
      <c r="Z308" t="s">
        <v>68</v>
      </c>
      <c r="AB308">
        <v>4</v>
      </c>
      <c r="AC308" t="s">
        <v>61</v>
      </c>
      <c r="AJ308" t="s">
        <v>69</v>
      </c>
      <c r="AY308" t="s">
        <v>460</v>
      </c>
      <c r="AZ308">
        <v>519</v>
      </c>
      <c r="BA308" t="s">
        <v>461</v>
      </c>
      <c r="BB308" t="s">
        <v>462</v>
      </c>
      <c r="BC308">
        <v>1977</v>
      </c>
      <c r="BD308" t="s">
        <v>200</v>
      </c>
    </row>
    <row r="309" spans="1:56" x14ac:dyDescent="0.35">
      <c r="A309">
        <v>74908</v>
      </c>
      <c r="B309" t="s">
        <v>459</v>
      </c>
      <c r="D309" t="s">
        <v>57</v>
      </c>
      <c r="E309" t="s">
        <v>86</v>
      </c>
      <c r="F309" t="s">
        <v>58</v>
      </c>
      <c r="G309" t="s">
        <v>59</v>
      </c>
      <c r="H309" t="s">
        <v>60</v>
      </c>
      <c r="I309" t="s">
        <v>129</v>
      </c>
      <c r="J309">
        <v>13</v>
      </c>
      <c r="K309" t="s">
        <v>196</v>
      </c>
      <c r="L309" t="s">
        <v>74</v>
      </c>
      <c r="M309" t="s">
        <v>63</v>
      </c>
      <c r="N309" t="s">
        <v>64</v>
      </c>
      <c r="P309" t="s">
        <v>201</v>
      </c>
      <c r="R309">
        <v>0.152</v>
      </c>
      <c r="T309">
        <v>0.14000000000000001</v>
      </c>
      <c r="V309">
        <v>0.16500000000000001</v>
      </c>
      <c r="W309" t="s">
        <v>66</v>
      </c>
      <c r="X309" t="s">
        <v>67</v>
      </c>
      <c r="Y309" t="s">
        <v>67</v>
      </c>
      <c r="Z309" t="s">
        <v>68</v>
      </c>
      <c r="AB309">
        <v>4</v>
      </c>
      <c r="AC309" t="s">
        <v>61</v>
      </c>
      <c r="AJ309" t="s">
        <v>69</v>
      </c>
      <c r="AY309" t="s">
        <v>460</v>
      </c>
      <c r="AZ309">
        <v>519</v>
      </c>
      <c r="BA309" t="s">
        <v>461</v>
      </c>
      <c r="BB309" t="s">
        <v>462</v>
      </c>
      <c r="BC309">
        <v>1977</v>
      </c>
      <c r="BD309" t="s">
        <v>200</v>
      </c>
    </row>
    <row r="310" spans="1:56" x14ac:dyDescent="0.35">
      <c r="A310">
        <v>74908</v>
      </c>
      <c r="B310" t="s">
        <v>459</v>
      </c>
      <c r="D310" t="s">
        <v>57</v>
      </c>
      <c r="E310" t="s">
        <v>86</v>
      </c>
      <c r="F310" t="s">
        <v>58</v>
      </c>
      <c r="G310" t="s">
        <v>59</v>
      </c>
      <c r="H310" t="s">
        <v>60</v>
      </c>
      <c r="I310" t="s">
        <v>129</v>
      </c>
      <c r="J310">
        <v>13</v>
      </c>
      <c r="K310" t="s">
        <v>196</v>
      </c>
      <c r="L310" t="s">
        <v>74</v>
      </c>
      <c r="M310" t="s">
        <v>63</v>
      </c>
      <c r="N310" t="s">
        <v>64</v>
      </c>
      <c r="P310" t="s">
        <v>201</v>
      </c>
      <c r="R310">
        <v>0.13300000000000001</v>
      </c>
      <c r="T310">
        <v>0.128</v>
      </c>
      <c r="V310">
        <v>0.13800000000000001</v>
      </c>
      <c r="W310" t="s">
        <v>66</v>
      </c>
      <c r="X310" t="s">
        <v>67</v>
      </c>
      <c r="Y310" t="s">
        <v>67</v>
      </c>
      <c r="Z310" t="s">
        <v>68</v>
      </c>
      <c r="AB310">
        <v>4</v>
      </c>
      <c r="AC310" t="s">
        <v>61</v>
      </c>
      <c r="AJ310" t="s">
        <v>69</v>
      </c>
      <c r="AY310" t="s">
        <v>460</v>
      </c>
      <c r="AZ310">
        <v>519</v>
      </c>
      <c r="BA310" t="s">
        <v>461</v>
      </c>
      <c r="BB310" t="s">
        <v>462</v>
      </c>
      <c r="BC310">
        <v>1977</v>
      </c>
      <c r="BD310" t="s">
        <v>200</v>
      </c>
    </row>
    <row r="311" spans="1:56" x14ac:dyDescent="0.35">
      <c r="A311">
        <v>75058</v>
      </c>
      <c r="B311" t="s">
        <v>463</v>
      </c>
      <c r="C311" t="s">
        <v>464</v>
      </c>
      <c r="D311" t="s">
        <v>85</v>
      </c>
      <c r="E311" t="s">
        <v>86</v>
      </c>
      <c r="F311" t="s">
        <v>58</v>
      </c>
      <c r="G311" t="s">
        <v>59</v>
      </c>
      <c r="H311" t="s">
        <v>60</v>
      </c>
      <c r="J311" t="s">
        <v>86</v>
      </c>
      <c r="L311" t="s">
        <v>62</v>
      </c>
      <c r="M311" t="s">
        <v>63</v>
      </c>
      <c r="N311" t="s">
        <v>64</v>
      </c>
      <c r="P311" t="s">
        <v>65</v>
      </c>
      <c r="R311">
        <v>1000</v>
      </c>
      <c r="W311" t="s">
        <v>66</v>
      </c>
      <c r="X311" t="s">
        <v>67</v>
      </c>
      <c r="Y311" t="s">
        <v>67</v>
      </c>
      <c r="Z311" t="s">
        <v>68</v>
      </c>
      <c r="AB311">
        <v>4</v>
      </c>
      <c r="AC311" t="s">
        <v>61</v>
      </c>
      <c r="AJ311" t="s">
        <v>69</v>
      </c>
      <c r="AY311" t="s">
        <v>465</v>
      </c>
      <c r="AZ311">
        <v>923</v>
      </c>
      <c r="BA311" t="s">
        <v>466</v>
      </c>
      <c r="BB311" t="s">
        <v>467</v>
      </c>
      <c r="BC311">
        <v>1961</v>
      </c>
      <c r="BD311" t="s">
        <v>468</v>
      </c>
    </row>
    <row r="312" spans="1:56" x14ac:dyDescent="0.35">
      <c r="A312">
        <v>75058</v>
      </c>
      <c r="B312" t="s">
        <v>463</v>
      </c>
      <c r="C312" t="s">
        <v>195</v>
      </c>
      <c r="D312" t="s">
        <v>85</v>
      </c>
      <c r="E312" t="s">
        <v>86</v>
      </c>
      <c r="F312" t="s">
        <v>58</v>
      </c>
      <c r="G312" t="s">
        <v>59</v>
      </c>
      <c r="H312" t="s">
        <v>60</v>
      </c>
      <c r="I312" t="s">
        <v>129</v>
      </c>
      <c r="J312" t="s">
        <v>86</v>
      </c>
      <c r="L312" t="s">
        <v>62</v>
      </c>
      <c r="M312" t="s">
        <v>63</v>
      </c>
      <c r="N312" t="s">
        <v>64</v>
      </c>
      <c r="O312">
        <v>5</v>
      </c>
      <c r="P312" t="s">
        <v>65</v>
      </c>
      <c r="Q312" t="s">
        <v>153</v>
      </c>
      <c r="R312">
        <v>100</v>
      </c>
      <c r="W312" t="s">
        <v>66</v>
      </c>
      <c r="X312" t="s">
        <v>67</v>
      </c>
      <c r="Y312" t="s">
        <v>67</v>
      </c>
      <c r="Z312" t="s">
        <v>68</v>
      </c>
      <c r="AB312">
        <v>4</v>
      </c>
      <c r="AC312" t="s">
        <v>61</v>
      </c>
      <c r="AJ312" t="s">
        <v>69</v>
      </c>
      <c r="AY312" t="s">
        <v>298</v>
      </c>
      <c r="AZ312">
        <v>11951</v>
      </c>
      <c r="BA312" t="s">
        <v>299</v>
      </c>
      <c r="BB312" t="s">
        <v>300</v>
      </c>
      <c r="BC312">
        <v>1986</v>
      </c>
      <c r="BD312" t="s">
        <v>90</v>
      </c>
    </row>
    <row r="313" spans="1:56" x14ac:dyDescent="0.35">
      <c r="A313">
        <v>75058</v>
      </c>
      <c r="B313" t="s">
        <v>463</v>
      </c>
      <c r="D313" t="s">
        <v>57</v>
      </c>
      <c r="E313">
        <v>99.9</v>
      </c>
      <c r="F313" t="s">
        <v>58</v>
      </c>
      <c r="G313" t="s">
        <v>59</v>
      </c>
      <c r="H313" t="s">
        <v>60</v>
      </c>
      <c r="J313" t="s">
        <v>86</v>
      </c>
      <c r="K313" t="s">
        <v>61</v>
      </c>
      <c r="L313" t="s">
        <v>74</v>
      </c>
      <c r="M313" t="s">
        <v>63</v>
      </c>
      <c r="N313" t="s">
        <v>64</v>
      </c>
      <c r="P313" t="s">
        <v>65</v>
      </c>
      <c r="R313">
        <v>1640</v>
      </c>
      <c r="T313">
        <v>1600</v>
      </c>
      <c r="V313">
        <v>1690</v>
      </c>
      <c r="W313" t="s">
        <v>66</v>
      </c>
      <c r="X313" t="s">
        <v>67</v>
      </c>
      <c r="Y313" t="s">
        <v>67</v>
      </c>
      <c r="Z313" t="s">
        <v>68</v>
      </c>
      <c r="AB313">
        <v>4</v>
      </c>
      <c r="AC313" t="s">
        <v>61</v>
      </c>
      <c r="AJ313" t="s">
        <v>69</v>
      </c>
      <c r="AY313" t="s">
        <v>286</v>
      </c>
      <c r="AZ313">
        <v>12448</v>
      </c>
      <c r="BA313" t="s">
        <v>287</v>
      </c>
      <c r="BB313" t="s">
        <v>288</v>
      </c>
      <c r="BC313">
        <v>1984</v>
      </c>
      <c r="BD313" t="s">
        <v>469</v>
      </c>
    </row>
    <row r="314" spans="1:56" x14ac:dyDescent="0.35">
      <c r="A314">
        <v>75058</v>
      </c>
      <c r="B314" t="s">
        <v>463</v>
      </c>
      <c r="C314" t="s">
        <v>464</v>
      </c>
      <c r="D314" t="s">
        <v>85</v>
      </c>
      <c r="E314" t="s">
        <v>86</v>
      </c>
      <c r="F314" t="s">
        <v>58</v>
      </c>
      <c r="G314" t="s">
        <v>59</v>
      </c>
      <c r="H314" t="s">
        <v>60</v>
      </c>
      <c r="J314" t="s">
        <v>86</v>
      </c>
      <c r="L314" t="s">
        <v>62</v>
      </c>
      <c r="M314" t="s">
        <v>63</v>
      </c>
      <c r="N314" t="s">
        <v>64</v>
      </c>
      <c r="P314" t="s">
        <v>65</v>
      </c>
      <c r="R314">
        <v>1000</v>
      </c>
      <c r="W314" t="s">
        <v>66</v>
      </c>
      <c r="X314" t="s">
        <v>67</v>
      </c>
      <c r="Y314" t="s">
        <v>67</v>
      </c>
      <c r="Z314" t="s">
        <v>68</v>
      </c>
      <c r="AB314">
        <v>4</v>
      </c>
      <c r="AC314" t="s">
        <v>61</v>
      </c>
      <c r="AJ314" t="s">
        <v>69</v>
      </c>
      <c r="AY314" t="s">
        <v>465</v>
      </c>
      <c r="AZ314">
        <v>923</v>
      </c>
      <c r="BA314" t="s">
        <v>466</v>
      </c>
      <c r="BB314" t="s">
        <v>467</v>
      </c>
      <c r="BC314">
        <v>1961</v>
      </c>
      <c r="BD314" t="s">
        <v>468</v>
      </c>
    </row>
    <row r="315" spans="1:56" x14ac:dyDescent="0.35">
      <c r="A315">
        <v>75070</v>
      </c>
      <c r="B315" t="s">
        <v>470</v>
      </c>
      <c r="D315" t="s">
        <v>57</v>
      </c>
      <c r="E315">
        <v>99</v>
      </c>
      <c r="F315" t="s">
        <v>58</v>
      </c>
      <c r="G315" t="s">
        <v>59</v>
      </c>
      <c r="H315" t="s">
        <v>60</v>
      </c>
      <c r="J315">
        <v>30</v>
      </c>
      <c r="K315" t="s">
        <v>61</v>
      </c>
      <c r="L315" t="s">
        <v>62</v>
      </c>
      <c r="M315" t="s">
        <v>63</v>
      </c>
      <c r="N315" t="s">
        <v>64</v>
      </c>
      <c r="P315" t="s">
        <v>65</v>
      </c>
      <c r="R315">
        <v>43.1</v>
      </c>
      <c r="T315">
        <v>39.799999999999997</v>
      </c>
      <c r="V315">
        <v>46.8</v>
      </c>
      <c r="W315" t="s">
        <v>66</v>
      </c>
      <c r="X315" t="s">
        <v>67</v>
      </c>
      <c r="Y315" t="s">
        <v>67</v>
      </c>
      <c r="Z315" t="s">
        <v>68</v>
      </c>
      <c r="AB315">
        <v>4</v>
      </c>
      <c r="AC315" t="s">
        <v>61</v>
      </c>
      <c r="AJ315" t="s">
        <v>69</v>
      </c>
      <c r="AY315" t="s">
        <v>70</v>
      </c>
      <c r="AZ315">
        <v>14339</v>
      </c>
      <c r="BA315" t="s">
        <v>71</v>
      </c>
      <c r="BB315" t="s">
        <v>72</v>
      </c>
      <c r="BC315">
        <v>1987</v>
      </c>
      <c r="BD315" t="s">
        <v>73</v>
      </c>
    </row>
    <row r="316" spans="1:56" x14ac:dyDescent="0.35">
      <c r="A316">
        <v>75070</v>
      </c>
      <c r="B316" t="s">
        <v>470</v>
      </c>
      <c r="D316" t="s">
        <v>57</v>
      </c>
      <c r="E316">
        <v>99</v>
      </c>
      <c r="F316" t="s">
        <v>58</v>
      </c>
      <c r="G316" t="s">
        <v>59</v>
      </c>
      <c r="H316" t="s">
        <v>60</v>
      </c>
      <c r="J316">
        <v>30</v>
      </c>
      <c r="K316" t="s">
        <v>61</v>
      </c>
      <c r="L316" t="s">
        <v>74</v>
      </c>
      <c r="M316" t="s">
        <v>63</v>
      </c>
      <c r="N316" t="s">
        <v>64</v>
      </c>
      <c r="P316" t="s">
        <v>65</v>
      </c>
      <c r="R316">
        <v>30.8</v>
      </c>
      <c r="T316">
        <v>28</v>
      </c>
      <c r="V316">
        <v>34</v>
      </c>
      <c r="W316" t="s">
        <v>66</v>
      </c>
      <c r="X316" t="s">
        <v>67</v>
      </c>
      <c r="Y316" t="s">
        <v>67</v>
      </c>
      <c r="Z316" t="s">
        <v>68</v>
      </c>
      <c r="AB316">
        <v>4</v>
      </c>
      <c r="AC316" t="s">
        <v>61</v>
      </c>
      <c r="AJ316" t="s">
        <v>69</v>
      </c>
      <c r="AY316" t="s">
        <v>286</v>
      </c>
      <c r="AZ316">
        <v>12448</v>
      </c>
      <c r="BA316" t="s">
        <v>287</v>
      </c>
      <c r="BB316" t="s">
        <v>288</v>
      </c>
      <c r="BC316">
        <v>1984</v>
      </c>
      <c r="BD316" t="s">
        <v>73</v>
      </c>
    </row>
    <row r="317" spans="1:56" x14ac:dyDescent="0.35">
      <c r="A317">
        <v>75070</v>
      </c>
      <c r="B317" t="s">
        <v>470</v>
      </c>
      <c r="D317" t="s">
        <v>57</v>
      </c>
      <c r="E317">
        <v>99</v>
      </c>
      <c r="F317" t="s">
        <v>58</v>
      </c>
      <c r="G317" t="s">
        <v>59</v>
      </c>
      <c r="H317" t="s">
        <v>60</v>
      </c>
      <c r="J317" t="s">
        <v>86</v>
      </c>
      <c r="K317" t="s">
        <v>61</v>
      </c>
      <c r="L317" t="s">
        <v>74</v>
      </c>
      <c r="M317" t="s">
        <v>63</v>
      </c>
      <c r="N317" t="s">
        <v>64</v>
      </c>
      <c r="P317" t="s">
        <v>65</v>
      </c>
      <c r="R317">
        <v>37.200000000000003</v>
      </c>
      <c r="T317">
        <v>31.1</v>
      </c>
      <c r="V317">
        <v>44.4</v>
      </c>
      <c r="W317" t="s">
        <v>66</v>
      </c>
      <c r="X317" t="s">
        <v>67</v>
      </c>
      <c r="Y317" t="s">
        <v>67</v>
      </c>
      <c r="Z317" t="s">
        <v>68</v>
      </c>
      <c r="AB317">
        <v>4</v>
      </c>
      <c r="AC317" t="s">
        <v>61</v>
      </c>
      <c r="AJ317" t="s">
        <v>69</v>
      </c>
      <c r="AY317" t="s">
        <v>75</v>
      </c>
      <c r="AZ317">
        <v>3217</v>
      </c>
      <c r="BA317" t="s">
        <v>76</v>
      </c>
      <c r="BB317" t="s">
        <v>77</v>
      </c>
      <c r="BC317">
        <v>1990</v>
      </c>
      <c r="BD317" t="s">
        <v>471</v>
      </c>
    </row>
    <row r="318" spans="1:56" x14ac:dyDescent="0.35">
      <c r="A318">
        <v>75070</v>
      </c>
      <c r="B318" t="s">
        <v>470</v>
      </c>
      <c r="D318" t="s">
        <v>57</v>
      </c>
      <c r="E318">
        <v>99</v>
      </c>
      <c r="F318" t="s">
        <v>58</v>
      </c>
      <c r="G318" t="s">
        <v>59</v>
      </c>
      <c r="H318" t="s">
        <v>60</v>
      </c>
      <c r="J318">
        <v>30</v>
      </c>
      <c r="K318" t="s">
        <v>61</v>
      </c>
      <c r="L318" t="s">
        <v>74</v>
      </c>
      <c r="M318" t="s">
        <v>63</v>
      </c>
      <c r="N318" t="s">
        <v>64</v>
      </c>
      <c r="P318" t="s">
        <v>65</v>
      </c>
      <c r="R318">
        <v>36.799999999999997</v>
      </c>
      <c r="T318">
        <v>30.8</v>
      </c>
      <c r="V318">
        <v>43.9</v>
      </c>
      <c r="W318" t="s">
        <v>66</v>
      </c>
      <c r="X318" t="s">
        <v>67</v>
      </c>
      <c r="Y318" t="s">
        <v>67</v>
      </c>
      <c r="Z318" t="s">
        <v>68</v>
      </c>
      <c r="AB318">
        <v>4</v>
      </c>
      <c r="AC318" t="s">
        <v>61</v>
      </c>
      <c r="AJ318" t="s">
        <v>69</v>
      </c>
      <c r="AY318" t="s">
        <v>70</v>
      </c>
      <c r="AZ318">
        <v>14339</v>
      </c>
      <c r="BA318" t="s">
        <v>71</v>
      </c>
      <c r="BB318" t="s">
        <v>72</v>
      </c>
      <c r="BC318">
        <v>1987</v>
      </c>
      <c r="BD318" t="s">
        <v>73</v>
      </c>
    </row>
    <row r="319" spans="1:56" x14ac:dyDescent="0.35">
      <c r="A319">
        <v>75092</v>
      </c>
      <c r="B319" t="s">
        <v>472</v>
      </c>
      <c r="D319" t="s">
        <v>57</v>
      </c>
      <c r="E319" t="s">
        <v>86</v>
      </c>
      <c r="F319" t="s">
        <v>58</v>
      </c>
      <c r="G319" t="s">
        <v>59</v>
      </c>
      <c r="H319" t="s">
        <v>60</v>
      </c>
      <c r="I319" t="s">
        <v>211</v>
      </c>
      <c r="J319" t="s">
        <v>86</v>
      </c>
      <c r="L319" t="s">
        <v>74</v>
      </c>
      <c r="M319" t="s">
        <v>63</v>
      </c>
      <c r="N319" t="s">
        <v>64</v>
      </c>
      <c r="P319" t="s">
        <v>65</v>
      </c>
      <c r="R319">
        <v>193</v>
      </c>
      <c r="T319">
        <v>140.80000000000001</v>
      </c>
      <c r="V319">
        <v>277.8</v>
      </c>
      <c r="W319" t="s">
        <v>66</v>
      </c>
      <c r="X319" t="s">
        <v>67</v>
      </c>
      <c r="Y319" t="s">
        <v>67</v>
      </c>
      <c r="Z319" t="s">
        <v>68</v>
      </c>
      <c r="AB319">
        <v>4</v>
      </c>
      <c r="AC319" t="s">
        <v>61</v>
      </c>
      <c r="AJ319" t="s">
        <v>69</v>
      </c>
      <c r="AY319" t="s">
        <v>430</v>
      </c>
      <c r="AZ319">
        <v>973</v>
      </c>
      <c r="BA319" t="s">
        <v>431</v>
      </c>
      <c r="BB319" t="s">
        <v>432</v>
      </c>
      <c r="BC319">
        <v>1978</v>
      </c>
      <c r="BD319" t="s">
        <v>90</v>
      </c>
    </row>
    <row r="320" spans="1:56" x14ac:dyDescent="0.35">
      <c r="A320">
        <v>75092</v>
      </c>
      <c r="B320" t="s">
        <v>472</v>
      </c>
      <c r="C320" t="s">
        <v>195</v>
      </c>
      <c r="D320" t="s">
        <v>57</v>
      </c>
      <c r="E320" t="s">
        <v>428</v>
      </c>
      <c r="F320" t="s">
        <v>58</v>
      </c>
      <c r="G320" t="s">
        <v>59</v>
      </c>
      <c r="H320" t="s">
        <v>60</v>
      </c>
      <c r="I320" t="s">
        <v>129</v>
      </c>
      <c r="J320" t="s">
        <v>86</v>
      </c>
      <c r="L320" t="s">
        <v>74</v>
      </c>
      <c r="M320" t="s">
        <v>63</v>
      </c>
      <c r="N320" t="s">
        <v>64</v>
      </c>
      <c r="P320" t="s">
        <v>65</v>
      </c>
      <c r="R320">
        <v>502</v>
      </c>
      <c r="T320">
        <v>357</v>
      </c>
      <c r="V320">
        <v>855</v>
      </c>
      <c r="W320" t="s">
        <v>66</v>
      </c>
      <c r="X320" t="s">
        <v>67</v>
      </c>
      <c r="Y320" t="s">
        <v>67</v>
      </c>
      <c r="Z320" t="s">
        <v>68</v>
      </c>
      <c r="AB320">
        <v>4</v>
      </c>
      <c r="AC320" t="s">
        <v>61</v>
      </c>
      <c r="AJ320" t="s">
        <v>69</v>
      </c>
      <c r="AY320" t="s">
        <v>473</v>
      </c>
      <c r="AZ320">
        <v>12567</v>
      </c>
      <c r="BA320" t="s">
        <v>474</v>
      </c>
      <c r="BB320" t="s">
        <v>475</v>
      </c>
      <c r="BC320">
        <v>1987</v>
      </c>
      <c r="BD320" t="s">
        <v>90</v>
      </c>
    </row>
    <row r="321" spans="1:56" x14ac:dyDescent="0.35">
      <c r="A321">
        <v>75092</v>
      </c>
      <c r="B321" t="s">
        <v>472</v>
      </c>
      <c r="D321" t="s">
        <v>85</v>
      </c>
      <c r="E321" t="s">
        <v>86</v>
      </c>
      <c r="F321" t="s">
        <v>58</v>
      </c>
      <c r="G321" t="s">
        <v>59</v>
      </c>
      <c r="H321" t="s">
        <v>60</v>
      </c>
      <c r="I321" t="s">
        <v>211</v>
      </c>
      <c r="J321" t="s">
        <v>86</v>
      </c>
      <c r="L321" t="s">
        <v>62</v>
      </c>
      <c r="M321" t="s">
        <v>63</v>
      </c>
      <c r="N321" t="s">
        <v>64</v>
      </c>
      <c r="P321" t="s">
        <v>100</v>
      </c>
      <c r="R321">
        <v>310</v>
      </c>
      <c r="T321">
        <v>262</v>
      </c>
      <c r="V321">
        <v>391</v>
      </c>
      <c r="W321" t="s">
        <v>66</v>
      </c>
      <c r="X321" t="s">
        <v>67</v>
      </c>
      <c r="Y321" t="s">
        <v>67</v>
      </c>
      <c r="Z321" t="s">
        <v>68</v>
      </c>
      <c r="AB321">
        <v>4</v>
      </c>
      <c r="AC321" t="s">
        <v>61</v>
      </c>
      <c r="AJ321" t="s">
        <v>69</v>
      </c>
      <c r="AY321" t="s">
        <v>430</v>
      </c>
      <c r="AZ321">
        <v>973</v>
      </c>
      <c r="BA321" t="s">
        <v>431</v>
      </c>
      <c r="BB321" t="s">
        <v>432</v>
      </c>
      <c r="BC321">
        <v>1978</v>
      </c>
      <c r="BD321" t="s">
        <v>90</v>
      </c>
    </row>
    <row r="322" spans="1:56" x14ac:dyDescent="0.35">
      <c r="A322">
        <v>75092</v>
      </c>
      <c r="B322" t="s">
        <v>472</v>
      </c>
      <c r="D322" t="s">
        <v>57</v>
      </c>
      <c r="E322" t="s">
        <v>79</v>
      </c>
      <c r="F322" t="s">
        <v>58</v>
      </c>
      <c r="G322" t="s">
        <v>59</v>
      </c>
      <c r="H322" t="s">
        <v>60</v>
      </c>
      <c r="J322">
        <v>30</v>
      </c>
      <c r="K322" t="s">
        <v>61</v>
      </c>
      <c r="L322" t="s">
        <v>74</v>
      </c>
      <c r="M322" t="s">
        <v>63</v>
      </c>
      <c r="N322" t="s">
        <v>64</v>
      </c>
      <c r="P322" t="s">
        <v>65</v>
      </c>
      <c r="R322">
        <v>330</v>
      </c>
      <c r="T322">
        <v>293</v>
      </c>
      <c r="V322">
        <v>372</v>
      </c>
      <c r="W322" t="s">
        <v>66</v>
      </c>
      <c r="X322" t="s">
        <v>67</v>
      </c>
      <c r="Y322" t="s">
        <v>67</v>
      </c>
      <c r="Z322" t="s">
        <v>68</v>
      </c>
      <c r="AB322">
        <v>4</v>
      </c>
      <c r="AC322" t="s">
        <v>61</v>
      </c>
      <c r="AJ322" t="s">
        <v>69</v>
      </c>
      <c r="AY322" t="s">
        <v>263</v>
      </c>
      <c r="AZ322">
        <v>12858</v>
      </c>
      <c r="BA322" t="s">
        <v>264</v>
      </c>
      <c r="BB322" t="s">
        <v>265</v>
      </c>
      <c r="BC322">
        <v>1986</v>
      </c>
      <c r="BD322" t="s">
        <v>73</v>
      </c>
    </row>
    <row r="323" spans="1:56" x14ac:dyDescent="0.35">
      <c r="A323">
        <v>75092</v>
      </c>
      <c r="B323" t="s">
        <v>472</v>
      </c>
      <c r="D323" t="s">
        <v>85</v>
      </c>
      <c r="E323">
        <v>63.2</v>
      </c>
      <c r="F323" t="s">
        <v>58</v>
      </c>
      <c r="G323" t="s">
        <v>59</v>
      </c>
      <c r="H323" t="s">
        <v>60</v>
      </c>
      <c r="J323" t="s">
        <v>86</v>
      </c>
      <c r="L323" t="s">
        <v>476</v>
      </c>
      <c r="M323" t="s">
        <v>63</v>
      </c>
      <c r="N323" t="s">
        <v>64</v>
      </c>
      <c r="O323">
        <v>6</v>
      </c>
      <c r="P323" t="s">
        <v>100</v>
      </c>
      <c r="R323">
        <v>2.9</v>
      </c>
      <c r="T323">
        <v>2.1</v>
      </c>
      <c r="V323">
        <v>3.8</v>
      </c>
      <c r="W323" t="s">
        <v>66</v>
      </c>
      <c r="X323" t="s">
        <v>67</v>
      </c>
      <c r="Y323" t="s">
        <v>67</v>
      </c>
      <c r="Z323" t="s">
        <v>68</v>
      </c>
      <c r="AB323">
        <v>4</v>
      </c>
      <c r="AC323" t="s">
        <v>61</v>
      </c>
      <c r="AJ323" t="s">
        <v>69</v>
      </c>
      <c r="AY323" t="s">
        <v>477</v>
      </c>
      <c r="AZ323">
        <v>115283</v>
      </c>
      <c r="BA323" t="s">
        <v>478</v>
      </c>
      <c r="BB323" t="s">
        <v>479</v>
      </c>
      <c r="BC323">
        <v>1982</v>
      </c>
      <c r="BD323" t="s">
        <v>90</v>
      </c>
    </row>
    <row r="324" spans="1:56" x14ac:dyDescent="0.35">
      <c r="A324">
        <v>75092</v>
      </c>
      <c r="B324" t="s">
        <v>472</v>
      </c>
      <c r="D324" t="s">
        <v>85</v>
      </c>
      <c r="E324">
        <v>63.2</v>
      </c>
      <c r="F324" t="s">
        <v>58</v>
      </c>
      <c r="G324" t="s">
        <v>59</v>
      </c>
      <c r="H324" t="s">
        <v>60</v>
      </c>
      <c r="J324" t="s">
        <v>86</v>
      </c>
      <c r="L324" t="s">
        <v>476</v>
      </c>
      <c r="M324" t="s">
        <v>63</v>
      </c>
      <c r="N324" t="s">
        <v>64</v>
      </c>
      <c r="O324">
        <v>6</v>
      </c>
      <c r="P324" t="s">
        <v>100</v>
      </c>
      <c r="R324">
        <v>2.6</v>
      </c>
      <c r="T324">
        <v>2</v>
      </c>
      <c r="V324">
        <v>3.3</v>
      </c>
      <c r="W324" t="s">
        <v>66</v>
      </c>
      <c r="X324" t="s">
        <v>67</v>
      </c>
      <c r="Y324" t="s">
        <v>67</v>
      </c>
      <c r="Z324" t="s">
        <v>68</v>
      </c>
      <c r="AB324">
        <v>4</v>
      </c>
      <c r="AC324" t="s">
        <v>61</v>
      </c>
      <c r="AJ324" t="s">
        <v>69</v>
      </c>
      <c r="AY324" t="s">
        <v>477</v>
      </c>
      <c r="AZ324">
        <v>115283</v>
      </c>
      <c r="BA324" t="s">
        <v>478</v>
      </c>
      <c r="BB324" t="s">
        <v>479</v>
      </c>
      <c r="BC324">
        <v>1982</v>
      </c>
      <c r="BD324" t="s">
        <v>90</v>
      </c>
    </row>
    <row r="325" spans="1:56" x14ac:dyDescent="0.35">
      <c r="A325">
        <v>75218</v>
      </c>
      <c r="B325" t="s">
        <v>480</v>
      </c>
      <c r="D325" t="s">
        <v>85</v>
      </c>
      <c r="E325" t="s">
        <v>86</v>
      </c>
      <c r="F325" t="s">
        <v>58</v>
      </c>
      <c r="G325" t="s">
        <v>59</v>
      </c>
      <c r="H325" t="s">
        <v>60</v>
      </c>
      <c r="J325" t="s">
        <v>86</v>
      </c>
      <c r="L325" t="s">
        <v>62</v>
      </c>
      <c r="M325" t="s">
        <v>63</v>
      </c>
      <c r="N325" t="s">
        <v>64</v>
      </c>
      <c r="P325" t="s">
        <v>100</v>
      </c>
      <c r="R325">
        <v>84</v>
      </c>
      <c r="T325">
        <v>73</v>
      </c>
      <c r="V325">
        <v>96</v>
      </c>
      <c r="W325" t="s">
        <v>66</v>
      </c>
      <c r="X325" t="s">
        <v>67</v>
      </c>
      <c r="Y325" t="s">
        <v>67</v>
      </c>
      <c r="Z325" t="s">
        <v>68</v>
      </c>
      <c r="AB325">
        <v>4</v>
      </c>
      <c r="AC325" t="s">
        <v>61</v>
      </c>
      <c r="AJ325" t="s">
        <v>69</v>
      </c>
      <c r="AY325" t="s">
        <v>481</v>
      </c>
      <c r="AZ325">
        <v>10117</v>
      </c>
      <c r="BA325" t="s">
        <v>482</v>
      </c>
      <c r="BB325" t="s">
        <v>483</v>
      </c>
      <c r="BC325">
        <v>1983</v>
      </c>
      <c r="BD325" t="s">
        <v>90</v>
      </c>
    </row>
    <row r="326" spans="1:56" x14ac:dyDescent="0.35">
      <c r="A326">
        <v>75354</v>
      </c>
      <c r="B326" t="s">
        <v>484</v>
      </c>
      <c r="D326" t="s">
        <v>57</v>
      </c>
      <c r="E326">
        <v>99.5</v>
      </c>
      <c r="F326" t="s">
        <v>58</v>
      </c>
      <c r="G326" t="s">
        <v>59</v>
      </c>
      <c r="H326" t="s">
        <v>60</v>
      </c>
      <c r="I326" t="s">
        <v>211</v>
      </c>
      <c r="J326" t="s">
        <v>86</v>
      </c>
      <c r="L326" t="s">
        <v>74</v>
      </c>
      <c r="M326" t="s">
        <v>63</v>
      </c>
      <c r="N326" t="s">
        <v>64</v>
      </c>
      <c r="P326" t="s">
        <v>65</v>
      </c>
      <c r="R326">
        <v>108</v>
      </c>
      <c r="T326">
        <v>85</v>
      </c>
      <c r="V326">
        <v>117</v>
      </c>
      <c r="W326" t="s">
        <v>66</v>
      </c>
      <c r="X326" t="s">
        <v>67</v>
      </c>
      <c r="Y326" t="s">
        <v>67</v>
      </c>
      <c r="Z326" t="s">
        <v>68</v>
      </c>
      <c r="AB326">
        <v>4</v>
      </c>
      <c r="AC326" t="s">
        <v>61</v>
      </c>
      <c r="AJ326" t="s">
        <v>69</v>
      </c>
      <c r="AY326" t="s">
        <v>485</v>
      </c>
      <c r="AZ326">
        <v>5741</v>
      </c>
      <c r="BA326" t="s">
        <v>486</v>
      </c>
      <c r="BB326" t="s">
        <v>487</v>
      </c>
      <c r="BC326">
        <v>1980</v>
      </c>
      <c r="BD326" t="s">
        <v>90</v>
      </c>
    </row>
    <row r="327" spans="1:56" x14ac:dyDescent="0.35">
      <c r="A327">
        <v>75354</v>
      </c>
      <c r="B327" t="s">
        <v>484</v>
      </c>
      <c r="D327" t="s">
        <v>85</v>
      </c>
      <c r="E327">
        <v>99.5</v>
      </c>
      <c r="F327" t="s">
        <v>58</v>
      </c>
      <c r="G327" t="s">
        <v>59</v>
      </c>
      <c r="H327" t="s">
        <v>60</v>
      </c>
      <c r="I327" t="s">
        <v>211</v>
      </c>
      <c r="J327" t="s">
        <v>86</v>
      </c>
      <c r="L327" t="s">
        <v>62</v>
      </c>
      <c r="M327" t="s">
        <v>63</v>
      </c>
      <c r="N327" t="s">
        <v>64</v>
      </c>
      <c r="P327" t="s">
        <v>65</v>
      </c>
      <c r="R327">
        <v>169</v>
      </c>
      <c r="T327">
        <v>161</v>
      </c>
      <c r="V327">
        <v>179</v>
      </c>
      <c r="W327" t="s">
        <v>66</v>
      </c>
      <c r="X327" t="s">
        <v>67</v>
      </c>
      <c r="Y327" t="s">
        <v>67</v>
      </c>
      <c r="Z327" t="s">
        <v>68</v>
      </c>
      <c r="AB327">
        <v>4</v>
      </c>
      <c r="AC327" t="s">
        <v>61</v>
      </c>
      <c r="AJ327" t="s">
        <v>69</v>
      </c>
      <c r="AY327" t="s">
        <v>485</v>
      </c>
      <c r="AZ327">
        <v>5741</v>
      </c>
      <c r="BA327" t="s">
        <v>486</v>
      </c>
      <c r="BB327" t="s">
        <v>487</v>
      </c>
      <c r="BC327">
        <v>1980</v>
      </c>
      <c r="BD327" t="s">
        <v>90</v>
      </c>
    </row>
    <row r="328" spans="1:56" x14ac:dyDescent="0.35">
      <c r="A328">
        <v>75365</v>
      </c>
      <c r="B328" t="s">
        <v>488</v>
      </c>
      <c r="D328" t="s">
        <v>57</v>
      </c>
      <c r="E328" t="s">
        <v>86</v>
      </c>
      <c r="F328" t="s">
        <v>58</v>
      </c>
      <c r="G328" t="s">
        <v>59</v>
      </c>
      <c r="H328" t="s">
        <v>60</v>
      </c>
      <c r="J328" t="s">
        <v>86</v>
      </c>
      <c r="L328" t="s">
        <v>62</v>
      </c>
      <c r="M328" t="s">
        <v>63</v>
      </c>
      <c r="N328" t="s">
        <v>64</v>
      </c>
      <c r="O328" t="s">
        <v>267</v>
      </c>
      <c r="P328" t="s">
        <v>65</v>
      </c>
      <c r="R328">
        <v>42</v>
      </c>
      <c r="T328">
        <v>25.2</v>
      </c>
      <c r="V328">
        <v>70</v>
      </c>
      <c r="W328" t="s">
        <v>66</v>
      </c>
      <c r="X328" t="s">
        <v>67</v>
      </c>
      <c r="Y328" t="s">
        <v>67</v>
      </c>
      <c r="Z328" t="s">
        <v>68</v>
      </c>
      <c r="AB328">
        <v>4</v>
      </c>
      <c r="AC328" t="s">
        <v>61</v>
      </c>
      <c r="AJ328" t="s">
        <v>69</v>
      </c>
      <c r="AY328" t="s">
        <v>268</v>
      </c>
      <c r="AZ328">
        <v>2965</v>
      </c>
      <c r="BA328" t="s">
        <v>269</v>
      </c>
      <c r="BB328" t="s">
        <v>270</v>
      </c>
      <c r="BC328">
        <v>1981</v>
      </c>
      <c r="BD328" t="s">
        <v>90</v>
      </c>
    </row>
    <row r="329" spans="1:56" x14ac:dyDescent="0.35">
      <c r="A329">
        <v>75478</v>
      </c>
      <c r="B329" t="s">
        <v>489</v>
      </c>
      <c r="D329" t="s">
        <v>57</v>
      </c>
      <c r="E329">
        <v>98</v>
      </c>
      <c r="F329" t="s">
        <v>58</v>
      </c>
      <c r="G329" t="s">
        <v>59</v>
      </c>
      <c r="H329" t="s">
        <v>60</v>
      </c>
      <c r="J329">
        <v>29</v>
      </c>
      <c r="K329" t="s">
        <v>61</v>
      </c>
      <c r="L329" t="s">
        <v>74</v>
      </c>
      <c r="M329" t="s">
        <v>63</v>
      </c>
      <c r="N329" t="s">
        <v>64</v>
      </c>
      <c r="P329" t="s">
        <v>65</v>
      </c>
      <c r="R329">
        <v>2.92</v>
      </c>
      <c r="T329">
        <v>2.79</v>
      </c>
      <c r="V329">
        <v>3.06</v>
      </c>
      <c r="W329" t="s">
        <v>66</v>
      </c>
      <c r="X329" t="s">
        <v>67</v>
      </c>
      <c r="Y329" t="s">
        <v>67</v>
      </c>
      <c r="Z329" t="s">
        <v>68</v>
      </c>
      <c r="AB329">
        <v>4</v>
      </c>
      <c r="AC329" t="s">
        <v>61</v>
      </c>
      <c r="AJ329" t="s">
        <v>69</v>
      </c>
      <c r="AY329" t="s">
        <v>80</v>
      </c>
      <c r="AZ329">
        <v>12859</v>
      </c>
      <c r="BA329" t="s">
        <v>81</v>
      </c>
      <c r="BB329" t="s">
        <v>82</v>
      </c>
      <c r="BC329">
        <v>1988</v>
      </c>
      <c r="BD329" t="s">
        <v>73</v>
      </c>
    </row>
    <row r="330" spans="1:56" x14ac:dyDescent="0.35">
      <c r="A330">
        <v>75525</v>
      </c>
      <c r="B330" t="s">
        <v>490</v>
      </c>
      <c r="D330" t="s">
        <v>57</v>
      </c>
      <c r="E330" t="s">
        <v>86</v>
      </c>
      <c r="F330" t="s">
        <v>58</v>
      </c>
      <c r="G330" t="s">
        <v>59</v>
      </c>
      <c r="H330" t="s">
        <v>60</v>
      </c>
      <c r="J330" t="s">
        <v>86</v>
      </c>
      <c r="L330" t="s">
        <v>62</v>
      </c>
      <c r="M330" t="s">
        <v>63</v>
      </c>
      <c r="N330" t="s">
        <v>64</v>
      </c>
      <c r="P330" t="s">
        <v>65</v>
      </c>
      <c r="Q330" t="s">
        <v>435</v>
      </c>
      <c r="R330">
        <v>278</v>
      </c>
      <c r="W330" t="s">
        <v>66</v>
      </c>
      <c r="X330" t="s">
        <v>67</v>
      </c>
      <c r="Y330" t="s">
        <v>67</v>
      </c>
      <c r="Z330" t="s">
        <v>68</v>
      </c>
      <c r="AB330">
        <v>4</v>
      </c>
      <c r="AC330" t="s">
        <v>61</v>
      </c>
      <c r="AJ330" t="s">
        <v>69</v>
      </c>
      <c r="AY330" t="s">
        <v>304</v>
      </c>
      <c r="AZ330">
        <v>2966</v>
      </c>
      <c r="BA330" t="s">
        <v>305</v>
      </c>
      <c r="BB330" t="s">
        <v>306</v>
      </c>
      <c r="BC330">
        <v>1981</v>
      </c>
      <c r="BD330" t="s">
        <v>90</v>
      </c>
    </row>
    <row r="331" spans="1:56" x14ac:dyDescent="0.35">
      <c r="A331">
        <v>75570</v>
      </c>
      <c r="B331" t="s">
        <v>491</v>
      </c>
      <c r="D331" t="s">
        <v>85</v>
      </c>
      <c r="E331">
        <v>97</v>
      </c>
      <c r="F331" t="s">
        <v>58</v>
      </c>
      <c r="G331" t="s">
        <v>59</v>
      </c>
      <c r="H331" t="s">
        <v>60</v>
      </c>
      <c r="J331">
        <v>33</v>
      </c>
      <c r="K331" t="s">
        <v>61</v>
      </c>
      <c r="L331" t="s">
        <v>74</v>
      </c>
      <c r="M331" t="s">
        <v>63</v>
      </c>
      <c r="N331" t="s">
        <v>64</v>
      </c>
      <c r="P331" t="s">
        <v>65</v>
      </c>
      <c r="R331">
        <v>462</v>
      </c>
      <c r="T331">
        <v>431</v>
      </c>
      <c r="V331">
        <v>495</v>
      </c>
      <c r="W331" t="s">
        <v>66</v>
      </c>
      <c r="X331" t="s">
        <v>67</v>
      </c>
      <c r="Y331" t="s">
        <v>67</v>
      </c>
      <c r="Z331" t="s">
        <v>68</v>
      </c>
      <c r="AB331">
        <v>4</v>
      </c>
      <c r="AC331" t="s">
        <v>61</v>
      </c>
      <c r="AJ331" t="s">
        <v>69</v>
      </c>
      <c r="AY331" t="s">
        <v>80</v>
      </c>
      <c r="AZ331">
        <v>12859</v>
      </c>
      <c r="BA331" t="s">
        <v>81</v>
      </c>
      <c r="BB331" t="s">
        <v>82</v>
      </c>
      <c r="BC331">
        <v>1988</v>
      </c>
      <c r="BD331" t="s">
        <v>73</v>
      </c>
    </row>
    <row r="332" spans="1:56" x14ac:dyDescent="0.35">
      <c r="A332">
        <v>75650</v>
      </c>
      <c r="B332" t="s">
        <v>492</v>
      </c>
      <c r="D332" t="s">
        <v>57</v>
      </c>
      <c r="E332">
        <v>99.5</v>
      </c>
      <c r="F332" t="s">
        <v>58</v>
      </c>
      <c r="G332" t="s">
        <v>59</v>
      </c>
      <c r="H332" t="s">
        <v>60</v>
      </c>
      <c r="J332">
        <v>32</v>
      </c>
      <c r="K332" t="s">
        <v>61</v>
      </c>
      <c r="L332" t="s">
        <v>74</v>
      </c>
      <c r="M332" t="s">
        <v>63</v>
      </c>
      <c r="N332" t="s">
        <v>64</v>
      </c>
      <c r="P332" t="s">
        <v>65</v>
      </c>
      <c r="R332">
        <v>6410</v>
      </c>
      <c r="T332">
        <v>6130</v>
      </c>
      <c r="V332">
        <v>6700</v>
      </c>
      <c r="W332" t="s">
        <v>66</v>
      </c>
      <c r="X332" t="s">
        <v>67</v>
      </c>
      <c r="Y332" t="s">
        <v>67</v>
      </c>
      <c r="Z332" t="s">
        <v>68</v>
      </c>
      <c r="AB332">
        <v>4</v>
      </c>
      <c r="AC332" t="s">
        <v>61</v>
      </c>
      <c r="AJ332" t="s">
        <v>69</v>
      </c>
      <c r="AY332" t="s">
        <v>263</v>
      </c>
      <c r="AZ332">
        <v>12858</v>
      </c>
      <c r="BA332" t="s">
        <v>264</v>
      </c>
      <c r="BB332" t="s">
        <v>265</v>
      </c>
      <c r="BC332">
        <v>1986</v>
      </c>
      <c r="BD332" t="s">
        <v>73</v>
      </c>
    </row>
    <row r="333" spans="1:56" x14ac:dyDescent="0.35">
      <c r="A333">
        <v>75898</v>
      </c>
      <c r="B333" t="s">
        <v>493</v>
      </c>
      <c r="D333" t="s">
        <v>57</v>
      </c>
      <c r="E333" t="s">
        <v>79</v>
      </c>
      <c r="F333" t="s">
        <v>58</v>
      </c>
      <c r="G333" t="s">
        <v>59</v>
      </c>
      <c r="H333" t="s">
        <v>60</v>
      </c>
      <c r="J333" t="s">
        <v>86</v>
      </c>
      <c r="K333" t="s">
        <v>61</v>
      </c>
      <c r="L333" t="s">
        <v>74</v>
      </c>
      <c r="M333" t="s">
        <v>63</v>
      </c>
      <c r="N333" t="s">
        <v>64</v>
      </c>
      <c r="P333" t="s">
        <v>65</v>
      </c>
      <c r="R333">
        <v>119</v>
      </c>
      <c r="T333">
        <v>105</v>
      </c>
      <c r="V333">
        <v>135</v>
      </c>
      <c r="W333" t="s">
        <v>66</v>
      </c>
      <c r="X333" t="s">
        <v>67</v>
      </c>
      <c r="Y333" t="s">
        <v>67</v>
      </c>
      <c r="Z333" t="s">
        <v>68</v>
      </c>
      <c r="AB333">
        <v>4</v>
      </c>
      <c r="AC333" t="s">
        <v>61</v>
      </c>
      <c r="AJ333" t="s">
        <v>69</v>
      </c>
      <c r="AY333" t="s">
        <v>263</v>
      </c>
      <c r="AZ333">
        <v>12858</v>
      </c>
      <c r="BA333" t="s">
        <v>264</v>
      </c>
      <c r="BB333" t="s">
        <v>265</v>
      </c>
      <c r="BC333">
        <v>1986</v>
      </c>
      <c r="BD333" t="s">
        <v>148</v>
      </c>
    </row>
    <row r="334" spans="1:56" x14ac:dyDescent="0.35">
      <c r="A334">
        <v>75912</v>
      </c>
      <c r="B334" t="s">
        <v>494</v>
      </c>
      <c r="D334" t="s">
        <v>85</v>
      </c>
      <c r="E334" t="s">
        <v>86</v>
      </c>
      <c r="F334" t="s">
        <v>58</v>
      </c>
      <c r="G334" t="s">
        <v>59</v>
      </c>
      <c r="H334" t="s">
        <v>60</v>
      </c>
      <c r="I334" t="s">
        <v>188</v>
      </c>
      <c r="J334" t="s">
        <v>289</v>
      </c>
      <c r="K334" t="s">
        <v>495</v>
      </c>
      <c r="M334" t="s">
        <v>63</v>
      </c>
      <c r="N334" t="s">
        <v>64</v>
      </c>
      <c r="P334" t="s">
        <v>100</v>
      </c>
      <c r="R334">
        <v>77.099999999999994</v>
      </c>
      <c r="W334" t="s">
        <v>66</v>
      </c>
      <c r="X334" t="s">
        <v>67</v>
      </c>
      <c r="Y334" t="s">
        <v>67</v>
      </c>
      <c r="Z334" t="s">
        <v>68</v>
      </c>
      <c r="AB334">
        <v>4</v>
      </c>
      <c r="AC334" t="s">
        <v>61</v>
      </c>
      <c r="AJ334" t="s">
        <v>69</v>
      </c>
      <c r="AY334" t="s">
        <v>496</v>
      </c>
      <c r="AZ334">
        <v>177136</v>
      </c>
      <c r="BA334" t="s">
        <v>497</v>
      </c>
      <c r="BB334" t="s">
        <v>498</v>
      </c>
      <c r="BC334">
        <v>2017</v>
      </c>
      <c r="BD334" t="s">
        <v>499</v>
      </c>
    </row>
    <row r="335" spans="1:56" x14ac:dyDescent="0.35">
      <c r="A335">
        <v>75978</v>
      </c>
      <c r="B335" t="s">
        <v>500</v>
      </c>
      <c r="D335" t="s">
        <v>57</v>
      </c>
      <c r="E335">
        <v>95</v>
      </c>
      <c r="F335" t="s">
        <v>58</v>
      </c>
      <c r="G335" t="s">
        <v>59</v>
      </c>
      <c r="H335" t="s">
        <v>60</v>
      </c>
      <c r="J335" t="s">
        <v>86</v>
      </c>
      <c r="K335" t="s">
        <v>61</v>
      </c>
      <c r="L335" t="s">
        <v>74</v>
      </c>
      <c r="M335" t="s">
        <v>63</v>
      </c>
      <c r="N335" t="s">
        <v>64</v>
      </c>
      <c r="P335" t="s">
        <v>65</v>
      </c>
      <c r="R335">
        <v>87</v>
      </c>
      <c r="W335" t="s">
        <v>66</v>
      </c>
      <c r="X335" t="s">
        <v>67</v>
      </c>
      <c r="Y335" t="s">
        <v>67</v>
      </c>
      <c r="Z335" t="s">
        <v>68</v>
      </c>
      <c r="AB335">
        <v>4</v>
      </c>
      <c r="AC335" t="s">
        <v>61</v>
      </c>
      <c r="AJ335" t="s">
        <v>69</v>
      </c>
      <c r="AY335" t="s">
        <v>286</v>
      </c>
      <c r="AZ335">
        <v>12448</v>
      </c>
      <c r="BA335" t="s">
        <v>287</v>
      </c>
      <c r="BB335" t="s">
        <v>288</v>
      </c>
      <c r="BC335">
        <v>1984</v>
      </c>
      <c r="BD335" t="s">
        <v>501</v>
      </c>
    </row>
    <row r="336" spans="1:56" x14ac:dyDescent="0.35">
      <c r="A336">
        <v>75990</v>
      </c>
      <c r="B336" t="s">
        <v>502</v>
      </c>
      <c r="D336" t="s">
        <v>85</v>
      </c>
      <c r="E336" t="s">
        <v>86</v>
      </c>
      <c r="F336" t="s">
        <v>58</v>
      </c>
      <c r="G336" t="s">
        <v>59</v>
      </c>
      <c r="H336" t="s">
        <v>60</v>
      </c>
      <c r="J336" t="s">
        <v>86</v>
      </c>
      <c r="M336" t="s">
        <v>63</v>
      </c>
      <c r="N336" t="s">
        <v>64</v>
      </c>
      <c r="P336" t="s">
        <v>100</v>
      </c>
      <c r="R336">
        <v>290</v>
      </c>
      <c r="W336" t="s">
        <v>66</v>
      </c>
      <c r="X336" t="s">
        <v>67</v>
      </c>
      <c r="Y336" t="s">
        <v>67</v>
      </c>
      <c r="Z336" t="s">
        <v>68</v>
      </c>
      <c r="AB336">
        <v>4</v>
      </c>
      <c r="AC336" t="s">
        <v>61</v>
      </c>
      <c r="AJ336" t="s">
        <v>69</v>
      </c>
      <c r="AY336" t="s">
        <v>101</v>
      </c>
      <c r="AZ336">
        <v>70421</v>
      </c>
      <c r="BA336" t="s">
        <v>102</v>
      </c>
      <c r="BB336" t="s">
        <v>103</v>
      </c>
      <c r="BC336">
        <v>1974</v>
      </c>
      <c r="BD336" t="s">
        <v>90</v>
      </c>
    </row>
    <row r="337" spans="1:56" x14ac:dyDescent="0.35">
      <c r="A337">
        <v>76017</v>
      </c>
      <c r="B337" t="s">
        <v>503</v>
      </c>
      <c r="D337" t="s">
        <v>57</v>
      </c>
      <c r="E337" t="s">
        <v>128</v>
      </c>
      <c r="F337" t="s">
        <v>58</v>
      </c>
      <c r="G337" t="s">
        <v>59</v>
      </c>
      <c r="H337" t="s">
        <v>60</v>
      </c>
      <c r="I337" t="s">
        <v>129</v>
      </c>
      <c r="J337" t="s">
        <v>86</v>
      </c>
      <c r="K337" t="s">
        <v>61</v>
      </c>
      <c r="L337" t="s">
        <v>74</v>
      </c>
      <c r="M337" t="s">
        <v>63</v>
      </c>
      <c r="N337" t="s">
        <v>64</v>
      </c>
      <c r="O337">
        <v>6</v>
      </c>
      <c r="P337" t="s">
        <v>65</v>
      </c>
      <c r="R337">
        <v>6.65</v>
      </c>
      <c r="T337">
        <v>6.17</v>
      </c>
      <c r="V337">
        <v>7.17</v>
      </c>
      <c r="W337" t="s">
        <v>66</v>
      </c>
      <c r="X337" t="s">
        <v>67</v>
      </c>
      <c r="Y337" t="s">
        <v>67</v>
      </c>
      <c r="Z337" t="s">
        <v>68</v>
      </c>
      <c r="AB337">
        <v>4</v>
      </c>
      <c r="AC337" t="s">
        <v>61</v>
      </c>
      <c r="AJ337" t="s">
        <v>69</v>
      </c>
      <c r="AY337" t="s">
        <v>130</v>
      </c>
      <c r="AZ337">
        <v>86254</v>
      </c>
      <c r="BA337" t="s">
        <v>131</v>
      </c>
      <c r="BB337" t="s">
        <v>132</v>
      </c>
      <c r="BC337">
        <v>2005</v>
      </c>
      <c r="BD337" t="s">
        <v>133</v>
      </c>
    </row>
    <row r="338" spans="1:56" x14ac:dyDescent="0.35">
      <c r="A338">
        <v>76017</v>
      </c>
      <c r="B338" t="s">
        <v>503</v>
      </c>
      <c r="D338" t="s">
        <v>57</v>
      </c>
      <c r="E338">
        <v>96</v>
      </c>
      <c r="F338" t="s">
        <v>58</v>
      </c>
      <c r="G338" t="s">
        <v>59</v>
      </c>
      <c r="H338" t="s">
        <v>60</v>
      </c>
      <c r="J338">
        <v>30</v>
      </c>
      <c r="K338" t="s">
        <v>61</v>
      </c>
      <c r="L338" t="s">
        <v>62</v>
      </c>
      <c r="M338" t="s">
        <v>63</v>
      </c>
      <c r="N338" t="s">
        <v>64</v>
      </c>
      <c r="P338" t="s">
        <v>65</v>
      </c>
      <c r="R338">
        <v>5750</v>
      </c>
      <c r="T338">
        <v>5090</v>
      </c>
      <c r="V338">
        <v>6490</v>
      </c>
      <c r="W338" t="s">
        <v>66</v>
      </c>
      <c r="X338" t="s">
        <v>67</v>
      </c>
      <c r="Y338" t="s">
        <v>67</v>
      </c>
      <c r="Z338" t="s">
        <v>68</v>
      </c>
      <c r="AB338">
        <v>4</v>
      </c>
      <c r="AC338" t="s">
        <v>61</v>
      </c>
      <c r="AJ338" t="s">
        <v>69</v>
      </c>
      <c r="AY338" t="s">
        <v>70</v>
      </c>
      <c r="AZ338">
        <v>14339</v>
      </c>
      <c r="BA338" t="s">
        <v>71</v>
      </c>
      <c r="BB338" t="s">
        <v>72</v>
      </c>
      <c r="BC338">
        <v>1987</v>
      </c>
      <c r="BD338" t="s">
        <v>73</v>
      </c>
    </row>
    <row r="339" spans="1:56" x14ac:dyDescent="0.35">
      <c r="A339">
        <v>76017</v>
      </c>
      <c r="B339" t="s">
        <v>503</v>
      </c>
      <c r="D339" t="s">
        <v>57</v>
      </c>
      <c r="E339" t="s">
        <v>128</v>
      </c>
      <c r="F339" t="s">
        <v>58</v>
      </c>
      <c r="G339" t="s">
        <v>59</v>
      </c>
      <c r="H339" t="s">
        <v>60</v>
      </c>
      <c r="I339" t="s">
        <v>129</v>
      </c>
      <c r="J339" t="s">
        <v>86</v>
      </c>
      <c r="K339" t="s">
        <v>61</v>
      </c>
      <c r="L339" t="s">
        <v>74</v>
      </c>
      <c r="M339" t="s">
        <v>63</v>
      </c>
      <c r="N339" t="s">
        <v>64</v>
      </c>
      <c r="O339">
        <v>6</v>
      </c>
      <c r="P339" t="s">
        <v>65</v>
      </c>
      <c r="R339">
        <v>7.35</v>
      </c>
      <c r="T339">
        <v>7.08</v>
      </c>
      <c r="V339">
        <v>7.63</v>
      </c>
      <c r="W339" t="s">
        <v>66</v>
      </c>
      <c r="X339" t="s">
        <v>67</v>
      </c>
      <c r="Y339" t="s">
        <v>67</v>
      </c>
      <c r="Z339" t="s">
        <v>68</v>
      </c>
      <c r="AB339">
        <v>4</v>
      </c>
      <c r="AC339" t="s">
        <v>61</v>
      </c>
      <c r="AJ339" t="s">
        <v>69</v>
      </c>
      <c r="AY339" t="s">
        <v>130</v>
      </c>
      <c r="AZ339">
        <v>86254</v>
      </c>
      <c r="BA339" t="s">
        <v>131</v>
      </c>
      <c r="BB339" t="s">
        <v>132</v>
      </c>
      <c r="BC339">
        <v>2005</v>
      </c>
      <c r="BD339" t="s">
        <v>133</v>
      </c>
    </row>
    <row r="340" spans="1:56" x14ac:dyDescent="0.35">
      <c r="A340">
        <v>76017</v>
      </c>
      <c r="B340" t="s">
        <v>503</v>
      </c>
      <c r="D340" t="s">
        <v>57</v>
      </c>
      <c r="E340" t="s">
        <v>86</v>
      </c>
      <c r="F340" t="s">
        <v>58</v>
      </c>
      <c r="G340" t="s">
        <v>59</v>
      </c>
      <c r="H340" t="s">
        <v>60</v>
      </c>
      <c r="J340" t="s">
        <v>86</v>
      </c>
      <c r="K340" t="s">
        <v>61</v>
      </c>
      <c r="L340" t="s">
        <v>74</v>
      </c>
      <c r="M340" t="s">
        <v>63</v>
      </c>
      <c r="N340" t="s">
        <v>64</v>
      </c>
      <c r="P340" t="s">
        <v>65</v>
      </c>
      <c r="R340">
        <v>7.34</v>
      </c>
      <c r="T340">
        <v>7.07</v>
      </c>
      <c r="V340">
        <v>7.63</v>
      </c>
      <c r="W340" t="s">
        <v>66</v>
      </c>
      <c r="X340" t="s">
        <v>67</v>
      </c>
      <c r="Y340" t="s">
        <v>67</v>
      </c>
      <c r="Z340" t="s">
        <v>68</v>
      </c>
      <c r="AB340">
        <v>4</v>
      </c>
      <c r="AC340" t="s">
        <v>61</v>
      </c>
      <c r="AJ340" t="s">
        <v>69</v>
      </c>
      <c r="AY340" t="s">
        <v>404</v>
      </c>
      <c r="AZ340">
        <v>11227</v>
      </c>
      <c r="BA340" t="s">
        <v>405</v>
      </c>
      <c r="BB340" t="s">
        <v>406</v>
      </c>
      <c r="BC340">
        <v>1983</v>
      </c>
      <c r="BD340" t="s">
        <v>127</v>
      </c>
    </row>
    <row r="341" spans="1:56" x14ac:dyDescent="0.35">
      <c r="A341">
        <v>76017</v>
      </c>
      <c r="B341" t="s">
        <v>503</v>
      </c>
      <c r="D341" t="s">
        <v>57</v>
      </c>
      <c r="E341">
        <v>96</v>
      </c>
      <c r="F341" t="s">
        <v>58</v>
      </c>
      <c r="G341" t="s">
        <v>59</v>
      </c>
      <c r="H341" t="s">
        <v>60</v>
      </c>
      <c r="J341">
        <v>32</v>
      </c>
      <c r="K341" t="s">
        <v>61</v>
      </c>
      <c r="L341" t="s">
        <v>74</v>
      </c>
      <c r="M341" t="s">
        <v>63</v>
      </c>
      <c r="N341" t="s">
        <v>64</v>
      </c>
      <c r="P341" t="s">
        <v>65</v>
      </c>
      <c r="R341">
        <v>7.53</v>
      </c>
      <c r="T341">
        <v>7.22</v>
      </c>
      <c r="V341">
        <v>7.85</v>
      </c>
      <c r="W341" t="s">
        <v>66</v>
      </c>
      <c r="X341" t="s">
        <v>67</v>
      </c>
      <c r="Y341" t="s">
        <v>67</v>
      </c>
      <c r="Z341" t="s">
        <v>68</v>
      </c>
      <c r="AB341">
        <v>4</v>
      </c>
      <c r="AC341" t="s">
        <v>61</v>
      </c>
      <c r="AJ341" t="s">
        <v>69</v>
      </c>
      <c r="AY341" t="s">
        <v>141</v>
      </c>
      <c r="AZ341">
        <v>12447</v>
      </c>
      <c r="BA341" t="s">
        <v>142</v>
      </c>
      <c r="BB341" t="s">
        <v>143</v>
      </c>
      <c r="BC341">
        <v>1985</v>
      </c>
      <c r="BD341" t="s">
        <v>73</v>
      </c>
    </row>
    <row r="342" spans="1:56" x14ac:dyDescent="0.35">
      <c r="A342">
        <v>76039</v>
      </c>
      <c r="B342" t="s">
        <v>504</v>
      </c>
      <c r="D342" t="s">
        <v>85</v>
      </c>
      <c r="E342" t="s">
        <v>86</v>
      </c>
      <c r="F342" t="s">
        <v>58</v>
      </c>
      <c r="G342" t="s">
        <v>59</v>
      </c>
      <c r="H342" t="s">
        <v>60</v>
      </c>
      <c r="J342" t="s">
        <v>505</v>
      </c>
      <c r="K342" t="s">
        <v>506</v>
      </c>
      <c r="L342" t="s">
        <v>62</v>
      </c>
      <c r="M342" t="s">
        <v>63</v>
      </c>
      <c r="N342" t="s">
        <v>64</v>
      </c>
      <c r="P342" t="s">
        <v>100</v>
      </c>
      <c r="R342">
        <v>2000</v>
      </c>
      <c r="W342" t="s">
        <v>66</v>
      </c>
      <c r="X342" t="s">
        <v>67</v>
      </c>
      <c r="Y342" t="s">
        <v>67</v>
      </c>
      <c r="Z342" t="s">
        <v>68</v>
      </c>
      <c r="AB342">
        <v>4</v>
      </c>
      <c r="AC342" t="s">
        <v>61</v>
      </c>
      <c r="AJ342" t="s">
        <v>69</v>
      </c>
      <c r="AY342" t="s">
        <v>507</v>
      </c>
      <c r="AZ342">
        <v>5894</v>
      </c>
      <c r="BA342" t="s">
        <v>508</v>
      </c>
      <c r="BB342" t="s">
        <v>509</v>
      </c>
      <c r="BC342">
        <v>1979</v>
      </c>
      <c r="BD342" t="s">
        <v>510</v>
      </c>
    </row>
    <row r="343" spans="1:56" x14ac:dyDescent="0.35">
      <c r="A343">
        <v>76039</v>
      </c>
      <c r="B343" t="s">
        <v>504</v>
      </c>
      <c r="D343" t="s">
        <v>85</v>
      </c>
      <c r="E343">
        <v>48.2</v>
      </c>
      <c r="F343" t="s">
        <v>58</v>
      </c>
      <c r="G343" t="s">
        <v>59</v>
      </c>
      <c r="H343" t="s">
        <v>60</v>
      </c>
      <c r="J343" t="s">
        <v>505</v>
      </c>
      <c r="K343" t="s">
        <v>506</v>
      </c>
      <c r="L343" t="s">
        <v>62</v>
      </c>
      <c r="M343" t="s">
        <v>63</v>
      </c>
      <c r="N343" t="s">
        <v>64</v>
      </c>
      <c r="P343" t="s">
        <v>100</v>
      </c>
      <c r="R343">
        <v>2000</v>
      </c>
      <c r="W343" t="s">
        <v>66</v>
      </c>
      <c r="X343" t="s">
        <v>67</v>
      </c>
      <c r="Y343" t="s">
        <v>67</v>
      </c>
      <c r="Z343" t="s">
        <v>68</v>
      </c>
      <c r="AB343">
        <v>4</v>
      </c>
      <c r="AC343" t="s">
        <v>61</v>
      </c>
      <c r="AJ343" t="s">
        <v>69</v>
      </c>
      <c r="AY343" t="s">
        <v>511</v>
      </c>
      <c r="AZ343">
        <v>866</v>
      </c>
      <c r="BA343" t="s">
        <v>512</v>
      </c>
      <c r="BB343" t="s">
        <v>513</v>
      </c>
      <c r="BC343">
        <v>1979</v>
      </c>
      <c r="BD343" t="s">
        <v>510</v>
      </c>
    </row>
    <row r="344" spans="1:56" x14ac:dyDescent="0.35">
      <c r="A344">
        <v>76448</v>
      </c>
      <c r="B344" t="s">
        <v>514</v>
      </c>
      <c r="C344" t="s">
        <v>91</v>
      </c>
      <c r="D344" t="s">
        <v>85</v>
      </c>
      <c r="E344">
        <v>72</v>
      </c>
      <c r="F344" t="s">
        <v>58</v>
      </c>
      <c r="G344" t="s">
        <v>59</v>
      </c>
      <c r="H344" t="s">
        <v>60</v>
      </c>
      <c r="J344" t="s">
        <v>86</v>
      </c>
      <c r="L344" t="s">
        <v>62</v>
      </c>
      <c r="M344" t="s">
        <v>63</v>
      </c>
      <c r="N344" t="s">
        <v>64</v>
      </c>
      <c r="P344" t="s">
        <v>65</v>
      </c>
      <c r="R344">
        <v>9.4E-2</v>
      </c>
      <c r="W344" t="s">
        <v>66</v>
      </c>
      <c r="X344" t="s">
        <v>67</v>
      </c>
      <c r="Y344" t="s">
        <v>67</v>
      </c>
      <c r="Z344" t="s">
        <v>68</v>
      </c>
      <c r="AB344">
        <v>4</v>
      </c>
      <c r="AC344" t="s">
        <v>61</v>
      </c>
      <c r="AJ344" t="s">
        <v>69</v>
      </c>
      <c r="AQ344" t="s">
        <v>69</v>
      </c>
      <c r="AY344" t="s">
        <v>87</v>
      </c>
      <c r="AZ344">
        <v>878</v>
      </c>
      <c r="BA344" t="s">
        <v>88</v>
      </c>
      <c r="BB344" t="s">
        <v>89</v>
      </c>
      <c r="BC344">
        <v>1959</v>
      </c>
      <c r="BD344" t="s">
        <v>515</v>
      </c>
    </row>
    <row r="345" spans="1:56" x14ac:dyDescent="0.35">
      <c r="A345">
        <v>76448</v>
      </c>
      <c r="B345" t="s">
        <v>514</v>
      </c>
      <c r="D345" t="s">
        <v>85</v>
      </c>
      <c r="E345" t="s">
        <v>86</v>
      </c>
      <c r="F345" t="s">
        <v>58</v>
      </c>
      <c r="G345" t="s">
        <v>59</v>
      </c>
      <c r="H345" t="s">
        <v>60</v>
      </c>
      <c r="J345" t="s">
        <v>86</v>
      </c>
      <c r="M345" t="s">
        <v>63</v>
      </c>
      <c r="N345" t="s">
        <v>64</v>
      </c>
      <c r="P345" t="s">
        <v>100</v>
      </c>
      <c r="R345">
        <v>5.6000000000000001E-2</v>
      </c>
      <c r="W345" t="s">
        <v>66</v>
      </c>
      <c r="X345" t="s">
        <v>67</v>
      </c>
      <c r="Y345" t="s">
        <v>67</v>
      </c>
      <c r="Z345" t="s">
        <v>68</v>
      </c>
      <c r="AB345">
        <v>4</v>
      </c>
      <c r="AC345" t="s">
        <v>61</v>
      </c>
      <c r="AJ345" t="s">
        <v>69</v>
      </c>
      <c r="AY345" t="s">
        <v>101</v>
      </c>
      <c r="AZ345">
        <v>70421</v>
      </c>
      <c r="BA345" t="s">
        <v>102</v>
      </c>
      <c r="BB345" t="s">
        <v>103</v>
      </c>
      <c r="BC345">
        <v>1974</v>
      </c>
      <c r="BD345" t="s">
        <v>90</v>
      </c>
    </row>
    <row r="346" spans="1:56" x14ac:dyDescent="0.35">
      <c r="A346">
        <v>76448</v>
      </c>
      <c r="B346" t="s">
        <v>514</v>
      </c>
      <c r="C346" t="s">
        <v>91</v>
      </c>
      <c r="D346" t="s">
        <v>85</v>
      </c>
      <c r="E346">
        <v>72</v>
      </c>
      <c r="F346" t="s">
        <v>58</v>
      </c>
      <c r="G346" t="s">
        <v>59</v>
      </c>
      <c r="H346" t="s">
        <v>60</v>
      </c>
      <c r="J346" t="s">
        <v>86</v>
      </c>
      <c r="L346" t="s">
        <v>62</v>
      </c>
      <c r="M346" t="s">
        <v>63</v>
      </c>
      <c r="N346" t="s">
        <v>64</v>
      </c>
      <c r="P346" t="s">
        <v>65</v>
      </c>
      <c r="R346">
        <v>5.6000000000000001E-2</v>
      </c>
      <c r="W346" t="s">
        <v>66</v>
      </c>
      <c r="X346" t="s">
        <v>67</v>
      </c>
      <c r="Y346" t="s">
        <v>67</v>
      </c>
      <c r="Z346" t="s">
        <v>68</v>
      </c>
      <c r="AB346">
        <v>4</v>
      </c>
      <c r="AC346" t="s">
        <v>61</v>
      </c>
      <c r="AJ346" t="s">
        <v>69</v>
      </c>
      <c r="AQ346" t="s">
        <v>69</v>
      </c>
      <c r="AY346" t="s">
        <v>87</v>
      </c>
      <c r="AZ346">
        <v>878</v>
      </c>
      <c r="BA346" t="s">
        <v>88</v>
      </c>
      <c r="BB346" t="s">
        <v>89</v>
      </c>
      <c r="BC346">
        <v>1959</v>
      </c>
      <c r="BD346" t="s">
        <v>516</v>
      </c>
    </row>
    <row r="347" spans="1:56" x14ac:dyDescent="0.35">
      <c r="A347">
        <v>76448</v>
      </c>
      <c r="B347" t="s">
        <v>514</v>
      </c>
      <c r="E347">
        <v>99</v>
      </c>
      <c r="F347" t="s">
        <v>58</v>
      </c>
      <c r="G347" t="s">
        <v>59</v>
      </c>
      <c r="H347" t="s">
        <v>60</v>
      </c>
      <c r="J347" t="s">
        <v>86</v>
      </c>
      <c r="L347" t="s">
        <v>62</v>
      </c>
      <c r="M347" t="s">
        <v>63</v>
      </c>
      <c r="N347" t="s">
        <v>64</v>
      </c>
      <c r="P347" t="s">
        <v>65</v>
      </c>
      <c r="R347">
        <v>2.3E-2</v>
      </c>
      <c r="W347" t="s">
        <v>66</v>
      </c>
      <c r="X347" t="s">
        <v>67</v>
      </c>
      <c r="Y347" t="s">
        <v>67</v>
      </c>
      <c r="Z347" t="s">
        <v>68</v>
      </c>
      <c r="AB347">
        <v>4</v>
      </c>
      <c r="AC347" t="s">
        <v>61</v>
      </c>
      <c r="AJ347" t="s">
        <v>69</v>
      </c>
      <c r="AY347" t="s">
        <v>96</v>
      </c>
      <c r="AZ347">
        <v>6797</v>
      </c>
      <c r="BA347" t="s">
        <v>97</v>
      </c>
      <c r="BB347" t="s">
        <v>98</v>
      </c>
      <c r="BC347">
        <v>1986</v>
      </c>
      <c r="BD347" t="s">
        <v>90</v>
      </c>
    </row>
    <row r="348" spans="1:56" x14ac:dyDescent="0.35">
      <c r="A348">
        <v>76879</v>
      </c>
      <c r="B348" t="s">
        <v>517</v>
      </c>
      <c r="E348">
        <v>96</v>
      </c>
      <c r="F348" t="s">
        <v>58</v>
      </c>
      <c r="G348" t="s">
        <v>59</v>
      </c>
      <c r="H348" t="s">
        <v>60</v>
      </c>
      <c r="J348" t="s">
        <v>289</v>
      </c>
      <c r="K348" t="s">
        <v>184</v>
      </c>
      <c r="L348" t="s">
        <v>62</v>
      </c>
      <c r="M348" t="s">
        <v>63</v>
      </c>
      <c r="N348" t="s">
        <v>64</v>
      </c>
      <c r="R348">
        <v>7.1000000000000004E-3</v>
      </c>
      <c r="T348">
        <v>5.5999999999999999E-3</v>
      </c>
      <c r="V348">
        <v>8.6E-3</v>
      </c>
      <c r="W348" t="s">
        <v>66</v>
      </c>
      <c r="X348" t="s">
        <v>67</v>
      </c>
      <c r="Y348" t="s">
        <v>67</v>
      </c>
      <c r="Z348" t="s">
        <v>68</v>
      </c>
      <c r="AB348">
        <v>4</v>
      </c>
      <c r="AC348" t="s">
        <v>61</v>
      </c>
      <c r="AJ348" t="s">
        <v>69</v>
      </c>
      <c r="AY348" t="s">
        <v>116</v>
      </c>
      <c r="AZ348">
        <v>344</v>
      </c>
      <c r="BA348" t="s">
        <v>117</v>
      </c>
      <c r="BB348" t="s">
        <v>118</v>
      </c>
      <c r="BC348">
        <v>1992</v>
      </c>
      <c r="BD348" t="s">
        <v>185</v>
      </c>
    </row>
    <row r="349" spans="1:56" x14ac:dyDescent="0.35">
      <c r="A349">
        <v>76879</v>
      </c>
      <c r="B349" t="s">
        <v>517</v>
      </c>
      <c r="D349" t="s">
        <v>85</v>
      </c>
      <c r="E349" t="s">
        <v>86</v>
      </c>
      <c r="F349" t="s">
        <v>58</v>
      </c>
      <c r="G349" t="s">
        <v>59</v>
      </c>
      <c r="H349" t="s">
        <v>60</v>
      </c>
      <c r="J349" t="s">
        <v>86</v>
      </c>
      <c r="M349" t="s">
        <v>63</v>
      </c>
      <c r="N349" t="s">
        <v>64</v>
      </c>
      <c r="P349" t="s">
        <v>100</v>
      </c>
      <c r="R349">
        <v>0.02</v>
      </c>
      <c r="W349" t="s">
        <v>66</v>
      </c>
      <c r="X349" t="s">
        <v>67</v>
      </c>
      <c r="Y349" t="s">
        <v>67</v>
      </c>
      <c r="Z349" t="s">
        <v>68</v>
      </c>
      <c r="AB349">
        <v>4</v>
      </c>
      <c r="AC349" t="s">
        <v>61</v>
      </c>
      <c r="AJ349" t="s">
        <v>69</v>
      </c>
      <c r="AY349" t="s">
        <v>101</v>
      </c>
      <c r="AZ349">
        <v>70421</v>
      </c>
      <c r="BA349" t="s">
        <v>102</v>
      </c>
      <c r="BB349" t="s">
        <v>103</v>
      </c>
      <c r="BC349">
        <v>1974</v>
      </c>
      <c r="BD349" t="s">
        <v>90</v>
      </c>
    </row>
    <row r="350" spans="1:56" x14ac:dyDescent="0.35">
      <c r="A350">
        <v>76879</v>
      </c>
      <c r="B350" t="s">
        <v>517</v>
      </c>
      <c r="C350" t="s">
        <v>91</v>
      </c>
      <c r="D350" t="s">
        <v>57</v>
      </c>
      <c r="E350">
        <v>96</v>
      </c>
      <c r="F350" t="s">
        <v>58</v>
      </c>
      <c r="G350" t="s">
        <v>59</v>
      </c>
      <c r="H350" t="s">
        <v>60</v>
      </c>
      <c r="I350" t="s">
        <v>188</v>
      </c>
      <c r="J350" t="s">
        <v>289</v>
      </c>
      <c r="K350" t="s">
        <v>184</v>
      </c>
      <c r="L350" t="s">
        <v>62</v>
      </c>
      <c r="M350" t="s">
        <v>63</v>
      </c>
      <c r="N350" t="s">
        <v>64</v>
      </c>
      <c r="P350" t="s">
        <v>201</v>
      </c>
      <c r="R350">
        <v>7.1000000000000004E-3</v>
      </c>
      <c r="T350">
        <v>5.5999999999999999E-3</v>
      </c>
      <c r="V350">
        <v>8.6E-3</v>
      </c>
      <c r="W350" t="s">
        <v>66</v>
      </c>
      <c r="X350" t="s">
        <v>67</v>
      </c>
      <c r="Y350" t="s">
        <v>67</v>
      </c>
      <c r="Z350" t="s">
        <v>68</v>
      </c>
      <c r="AB350">
        <v>4</v>
      </c>
      <c r="AC350" t="s">
        <v>61</v>
      </c>
      <c r="AJ350" t="s">
        <v>69</v>
      </c>
      <c r="AY350" t="s">
        <v>518</v>
      </c>
      <c r="AZ350">
        <v>8678</v>
      </c>
      <c r="BA350" t="s">
        <v>519</v>
      </c>
      <c r="BB350" t="s">
        <v>520</v>
      </c>
      <c r="BC350">
        <v>1988</v>
      </c>
      <c r="BD350" t="s">
        <v>185</v>
      </c>
    </row>
    <row r="351" spans="1:56" x14ac:dyDescent="0.35">
      <c r="A351">
        <v>76879</v>
      </c>
      <c r="B351" t="s">
        <v>517</v>
      </c>
      <c r="C351" t="s">
        <v>91</v>
      </c>
      <c r="D351" t="s">
        <v>57</v>
      </c>
      <c r="E351">
        <v>96</v>
      </c>
      <c r="F351" t="s">
        <v>58</v>
      </c>
      <c r="G351" t="s">
        <v>59</v>
      </c>
      <c r="H351" t="s">
        <v>60</v>
      </c>
      <c r="I351" t="s">
        <v>188</v>
      </c>
      <c r="J351" t="s">
        <v>289</v>
      </c>
      <c r="K351" t="s">
        <v>184</v>
      </c>
      <c r="L351" t="s">
        <v>74</v>
      </c>
      <c r="M351" t="s">
        <v>63</v>
      </c>
      <c r="N351" t="s">
        <v>64</v>
      </c>
      <c r="P351" t="s">
        <v>201</v>
      </c>
      <c r="R351">
        <v>5.4000000000000003E-3</v>
      </c>
      <c r="T351">
        <v>5.1999999999999998E-3</v>
      </c>
      <c r="V351">
        <v>5.7000000000000002E-3</v>
      </c>
      <c r="W351" t="s">
        <v>66</v>
      </c>
      <c r="X351" t="s">
        <v>67</v>
      </c>
      <c r="Y351" t="s">
        <v>67</v>
      </c>
      <c r="Z351" t="s">
        <v>68</v>
      </c>
      <c r="AB351">
        <v>4</v>
      </c>
      <c r="AC351" t="s">
        <v>61</v>
      </c>
      <c r="AJ351" t="s">
        <v>69</v>
      </c>
      <c r="AY351" t="s">
        <v>518</v>
      </c>
      <c r="AZ351">
        <v>8678</v>
      </c>
      <c r="BA351" t="s">
        <v>519</v>
      </c>
      <c r="BB351" t="s">
        <v>520</v>
      </c>
      <c r="BC351">
        <v>1988</v>
      </c>
      <c r="BD351" t="s">
        <v>185</v>
      </c>
    </row>
    <row r="352" spans="1:56" x14ac:dyDescent="0.35">
      <c r="A352">
        <v>76879</v>
      </c>
      <c r="B352" t="s">
        <v>517</v>
      </c>
      <c r="E352">
        <v>100</v>
      </c>
      <c r="F352" t="s">
        <v>58</v>
      </c>
      <c r="G352" t="s">
        <v>59</v>
      </c>
      <c r="H352" t="s">
        <v>60</v>
      </c>
      <c r="J352" t="s">
        <v>86</v>
      </c>
      <c r="L352" t="s">
        <v>62</v>
      </c>
      <c r="M352" t="s">
        <v>63</v>
      </c>
      <c r="N352" t="s">
        <v>64</v>
      </c>
      <c r="P352" t="s">
        <v>201</v>
      </c>
      <c r="R352">
        <v>0.02</v>
      </c>
      <c r="T352">
        <v>8.9999999999999993E-3</v>
      </c>
      <c r="V352">
        <v>4.2000000000000003E-2</v>
      </c>
      <c r="W352" t="s">
        <v>66</v>
      </c>
      <c r="X352" t="s">
        <v>67</v>
      </c>
      <c r="Y352" t="s">
        <v>67</v>
      </c>
      <c r="Z352" t="s">
        <v>68</v>
      </c>
      <c r="AB352">
        <v>4</v>
      </c>
      <c r="AC352" t="s">
        <v>61</v>
      </c>
      <c r="AJ352" t="s">
        <v>69</v>
      </c>
      <c r="AY352" t="s">
        <v>96</v>
      </c>
      <c r="AZ352">
        <v>6797</v>
      </c>
      <c r="BA352" t="s">
        <v>97</v>
      </c>
      <c r="BB352" t="s">
        <v>98</v>
      </c>
      <c r="BC352">
        <v>1986</v>
      </c>
      <c r="BD352" t="s">
        <v>90</v>
      </c>
    </row>
    <row r="353" spans="1:56" x14ac:dyDescent="0.35">
      <c r="A353">
        <v>76879</v>
      </c>
      <c r="B353" t="s">
        <v>517</v>
      </c>
      <c r="E353" t="s">
        <v>86</v>
      </c>
      <c r="F353" t="s">
        <v>58</v>
      </c>
      <c r="G353" t="s">
        <v>59</v>
      </c>
      <c r="H353" t="s">
        <v>60</v>
      </c>
      <c r="J353" t="s">
        <v>86</v>
      </c>
      <c r="L353" t="s">
        <v>62</v>
      </c>
      <c r="M353" t="s">
        <v>63</v>
      </c>
      <c r="N353" t="s">
        <v>64</v>
      </c>
      <c r="R353">
        <v>2.35E-2</v>
      </c>
      <c r="T353">
        <v>1.9699999999999999E-2</v>
      </c>
      <c r="V353">
        <v>2.8000000000000001E-2</v>
      </c>
      <c r="W353" t="s">
        <v>66</v>
      </c>
      <c r="X353" t="s">
        <v>67</v>
      </c>
      <c r="Y353" t="s">
        <v>67</v>
      </c>
      <c r="Z353" t="s">
        <v>68</v>
      </c>
      <c r="AB353">
        <v>4</v>
      </c>
      <c r="AC353" t="s">
        <v>61</v>
      </c>
      <c r="AJ353" t="s">
        <v>69</v>
      </c>
      <c r="AY353" t="s">
        <v>116</v>
      </c>
      <c r="AZ353">
        <v>344</v>
      </c>
      <c r="BA353" t="s">
        <v>117</v>
      </c>
      <c r="BB353" t="s">
        <v>118</v>
      </c>
      <c r="BC353">
        <v>1992</v>
      </c>
      <c r="BD353" t="s">
        <v>90</v>
      </c>
    </row>
    <row r="354" spans="1:56" x14ac:dyDescent="0.35">
      <c r="A354">
        <v>76879</v>
      </c>
      <c r="B354" t="s">
        <v>517</v>
      </c>
      <c r="E354" t="s">
        <v>86</v>
      </c>
      <c r="F354" t="s">
        <v>58</v>
      </c>
      <c r="G354" t="s">
        <v>59</v>
      </c>
      <c r="H354" t="s">
        <v>60</v>
      </c>
      <c r="J354" t="s">
        <v>86</v>
      </c>
      <c r="M354" t="s">
        <v>63</v>
      </c>
      <c r="P354" t="s">
        <v>100</v>
      </c>
      <c r="R354">
        <v>0.02</v>
      </c>
      <c r="W354" t="s">
        <v>66</v>
      </c>
      <c r="X354" t="s">
        <v>67</v>
      </c>
      <c r="Y354" t="s">
        <v>67</v>
      </c>
      <c r="Z354" t="s">
        <v>68</v>
      </c>
      <c r="AB354">
        <v>4</v>
      </c>
      <c r="AC354" t="s">
        <v>61</v>
      </c>
      <c r="AJ354" t="s">
        <v>69</v>
      </c>
      <c r="AY354" t="s">
        <v>521</v>
      </c>
      <c r="AZ354">
        <v>56312</v>
      </c>
      <c r="BA354" t="s">
        <v>522</v>
      </c>
      <c r="BB354" t="s">
        <v>523</v>
      </c>
      <c r="BC354">
        <v>1992</v>
      </c>
      <c r="BD354" t="s">
        <v>90</v>
      </c>
    </row>
    <row r="355" spans="1:56" x14ac:dyDescent="0.35">
      <c r="A355">
        <v>77474</v>
      </c>
      <c r="B355" t="s">
        <v>524</v>
      </c>
      <c r="D355" t="s">
        <v>85</v>
      </c>
      <c r="E355" t="s">
        <v>86</v>
      </c>
      <c r="F355" t="s">
        <v>58</v>
      </c>
      <c r="G355" t="s">
        <v>59</v>
      </c>
      <c r="H355" t="s">
        <v>60</v>
      </c>
      <c r="J355" t="s">
        <v>86</v>
      </c>
      <c r="L355" t="s">
        <v>62</v>
      </c>
      <c r="M355" t="s">
        <v>63</v>
      </c>
      <c r="N355" t="s">
        <v>64</v>
      </c>
      <c r="P355" t="s">
        <v>100</v>
      </c>
      <c r="R355">
        <v>0.18</v>
      </c>
      <c r="T355">
        <v>0.16</v>
      </c>
      <c r="V355">
        <v>0.22</v>
      </c>
      <c r="W355" t="s">
        <v>66</v>
      </c>
      <c r="X355" t="s">
        <v>67</v>
      </c>
      <c r="Y355" t="s">
        <v>67</v>
      </c>
      <c r="Z355" t="s">
        <v>68</v>
      </c>
      <c r="AB355">
        <v>4</v>
      </c>
      <c r="AC355" t="s">
        <v>61</v>
      </c>
      <c r="AJ355" t="s">
        <v>69</v>
      </c>
      <c r="AY355" t="s">
        <v>525</v>
      </c>
      <c r="AZ355">
        <v>17136</v>
      </c>
      <c r="BA355" t="s">
        <v>526</v>
      </c>
      <c r="BB355" t="s">
        <v>527</v>
      </c>
      <c r="BC355">
        <v>1977</v>
      </c>
      <c r="BD355" t="s">
        <v>90</v>
      </c>
    </row>
    <row r="356" spans="1:56" x14ac:dyDescent="0.35">
      <c r="A356">
        <v>77474</v>
      </c>
      <c r="B356" t="s">
        <v>524</v>
      </c>
      <c r="D356" t="s">
        <v>85</v>
      </c>
      <c r="E356" t="s">
        <v>86</v>
      </c>
      <c r="F356" t="s">
        <v>58</v>
      </c>
      <c r="G356" t="s">
        <v>59</v>
      </c>
      <c r="H356" t="s">
        <v>60</v>
      </c>
      <c r="I356" t="s">
        <v>211</v>
      </c>
      <c r="J356" t="s">
        <v>86</v>
      </c>
      <c r="L356" t="s">
        <v>62</v>
      </c>
      <c r="M356" t="s">
        <v>63</v>
      </c>
      <c r="N356" t="s">
        <v>64</v>
      </c>
      <c r="P356" t="s">
        <v>100</v>
      </c>
      <c r="R356">
        <v>0.104</v>
      </c>
      <c r="W356" t="s">
        <v>66</v>
      </c>
      <c r="X356" t="s">
        <v>67</v>
      </c>
      <c r="Y356" t="s">
        <v>67</v>
      </c>
      <c r="Z356" t="s">
        <v>68</v>
      </c>
      <c r="AB356">
        <v>4</v>
      </c>
      <c r="AC356" t="s">
        <v>61</v>
      </c>
      <c r="AJ356" t="s">
        <v>69</v>
      </c>
      <c r="AY356" t="s">
        <v>528</v>
      </c>
      <c r="AZ356">
        <v>17135</v>
      </c>
      <c r="BA356" t="s">
        <v>529</v>
      </c>
      <c r="BB356" t="s">
        <v>530</v>
      </c>
      <c r="BC356">
        <v>1956</v>
      </c>
      <c r="BD356" t="s">
        <v>90</v>
      </c>
    </row>
    <row r="357" spans="1:56" x14ac:dyDescent="0.35">
      <c r="A357">
        <v>77474</v>
      </c>
      <c r="B357" t="s">
        <v>524</v>
      </c>
      <c r="D357" t="s">
        <v>57</v>
      </c>
      <c r="E357">
        <v>98</v>
      </c>
      <c r="F357" t="s">
        <v>58</v>
      </c>
      <c r="G357" t="s">
        <v>59</v>
      </c>
      <c r="H357" t="s">
        <v>60</v>
      </c>
      <c r="J357">
        <v>30</v>
      </c>
      <c r="K357" t="s">
        <v>61</v>
      </c>
      <c r="L357" t="s">
        <v>62</v>
      </c>
      <c r="M357" t="s">
        <v>63</v>
      </c>
      <c r="N357" t="s">
        <v>64</v>
      </c>
      <c r="P357" t="s">
        <v>65</v>
      </c>
      <c r="R357">
        <v>1.3899999999999999E-2</v>
      </c>
      <c r="W357" t="s">
        <v>66</v>
      </c>
      <c r="X357" t="s">
        <v>67</v>
      </c>
      <c r="Y357" t="s">
        <v>67</v>
      </c>
      <c r="Z357" t="s">
        <v>68</v>
      </c>
      <c r="AB357">
        <v>4</v>
      </c>
      <c r="AC357" t="s">
        <v>61</v>
      </c>
      <c r="AJ357" t="s">
        <v>69</v>
      </c>
      <c r="AY357" t="s">
        <v>70</v>
      </c>
      <c r="AZ357">
        <v>14339</v>
      </c>
      <c r="BA357" t="s">
        <v>71</v>
      </c>
      <c r="BB357" t="s">
        <v>72</v>
      </c>
      <c r="BC357">
        <v>1987</v>
      </c>
      <c r="BD357" t="s">
        <v>73</v>
      </c>
    </row>
    <row r="358" spans="1:56" x14ac:dyDescent="0.35">
      <c r="A358">
        <v>77474</v>
      </c>
      <c r="B358" t="s">
        <v>524</v>
      </c>
      <c r="D358" t="s">
        <v>57</v>
      </c>
      <c r="E358" t="s">
        <v>86</v>
      </c>
      <c r="F358" t="s">
        <v>58</v>
      </c>
      <c r="G358" t="s">
        <v>59</v>
      </c>
      <c r="H358" t="s">
        <v>60</v>
      </c>
      <c r="I358" t="s">
        <v>188</v>
      </c>
      <c r="J358">
        <v>1</v>
      </c>
      <c r="K358" t="s">
        <v>61</v>
      </c>
      <c r="L358" t="s">
        <v>74</v>
      </c>
      <c r="M358" t="s">
        <v>63</v>
      </c>
      <c r="N358" t="s">
        <v>64</v>
      </c>
      <c r="P358" t="s">
        <v>65</v>
      </c>
      <c r="R358">
        <v>7.0000000000000001E-3</v>
      </c>
      <c r="W358" t="s">
        <v>66</v>
      </c>
      <c r="X358" t="s">
        <v>67</v>
      </c>
      <c r="Y358" t="s">
        <v>67</v>
      </c>
      <c r="Z358" t="s">
        <v>68</v>
      </c>
      <c r="AB358">
        <v>4</v>
      </c>
      <c r="AC358" t="s">
        <v>61</v>
      </c>
      <c r="AJ358" t="s">
        <v>69</v>
      </c>
      <c r="AY358" t="s">
        <v>531</v>
      </c>
      <c r="AZ358">
        <v>2097</v>
      </c>
      <c r="BA358" t="s">
        <v>532</v>
      </c>
      <c r="BB358" t="s">
        <v>533</v>
      </c>
      <c r="BC358">
        <v>1979</v>
      </c>
      <c r="BD358" t="s">
        <v>73</v>
      </c>
    </row>
    <row r="359" spans="1:56" x14ac:dyDescent="0.35">
      <c r="A359">
        <v>77474</v>
      </c>
      <c r="B359" t="s">
        <v>524</v>
      </c>
      <c r="D359" t="s">
        <v>85</v>
      </c>
      <c r="E359" t="s">
        <v>86</v>
      </c>
      <c r="F359" t="s">
        <v>58</v>
      </c>
      <c r="G359" t="s">
        <v>59</v>
      </c>
      <c r="H359" t="s">
        <v>60</v>
      </c>
      <c r="I359" t="s">
        <v>211</v>
      </c>
      <c r="J359" t="s">
        <v>86</v>
      </c>
      <c r="L359" t="s">
        <v>62</v>
      </c>
      <c r="M359" t="s">
        <v>63</v>
      </c>
      <c r="N359" t="s">
        <v>64</v>
      </c>
      <c r="P359" t="s">
        <v>100</v>
      </c>
      <c r="R359">
        <v>7.8E-2</v>
      </c>
      <c r="W359" t="s">
        <v>66</v>
      </c>
      <c r="X359" t="s">
        <v>67</v>
      </c>
      <c r="Y359" t="s">
        <v>67</v>
      </c>
      <c r="Z359" t="s">
        <v>68</v>
      </c>
      <c r="AB359">
        <v>4</v>
      </c>
      <c r="AC359" t="s">
        <v>61</v>
      </c>
      <c r="AJ359" t="s">
        <v>69</v>
      </c>
      <c r="AY359" t="s">
        <v>528</v>
      </c>
      <c r="AZ359">
        <v>17135</v>
      </c>
      <c r="BA359" t="s">
        <v>529</v>
      </c>
      <c r="BB359" t="s">
        <v>530</v>
      </c>
      <c r="BC359">
        <v>1956</v>
      </c>
      <c r="BD359" t="s">
        <v>90</v>
      </c>
    </row>
    <row r="360" spans="1:56" x14ac:dyDescent="0.35">
      <c r="A360">
        <v>77474</v>
      </c>
      <c r="B360" t="s">
        <v>524</v>
      </c>
      <c r="D360" t="s">
        <v>85</v>
      </c>
      <c r="E360" t="s">
        <v>86</v>
      </c>
      <c r="F360" t="s">
        <v>58</v>
      </c>
      <c r="G360" t="s">
        <v>59</v>
      </c>
      <c r="H360" t="s">
        <v>60</v>
      </c>
      <c r="I360" t="s">
        <v>211</v>
      </c>
      <c r="J360" t="s">
        <v>86</v>
      </c>
      <c r="L360" t="s">
        <v>62</v>
      </c>
      <c r="M360" t="s">
        <v>63</v>
      </c>
      <c r="N360" t="s">
        <v>64</v>
      </c>
      <c r="P360" t="s">
        <v>100</v>
      </c>
      <c r="R360">
        <v>5.8999999999999997E-2</v>
      </c>
      <c r="W360" t="s">
        <v>66</v>
      </c>
      <c r="X360" t="s">
        <v>67</v>
      </c>
      <c r="Y360" t="s">
        <v>67</v>
      </c>
      <c r="Z360" t="s">
        <v>68</v>
      </c>
      <c r="AB360">
        <v>4</v>
      </c>
      <c r="AC360" t="s">
        <v>61</v>
      </c>
      <c r="AJ360" t="s">
        <v>69</v>
      </c>
      <c r="AY360" t="s">
        <v>528</v>
      </c>
      <c r="AZ360">
        <v>17135</v>
      </c>
      <c r="BA360" t="s">
        <v>529</v>
      </c>
      <c r="BB360" t="s">
        <v>530</v>
      </c>
      <c r="BC360">
        <v>1956</v>
      </c>
      <c r="BD360" t="s">
        <v>90</v>
      </c>
    </row>
    <row r="361" spans="1:56" x14ac:dyDescent="0.35">
      <c r="A361">
        <v>77714</v>
      </c>
      <c r="B361" t="s">
        <v>534</v>
      </c>
      <c r="D361" t="s">
        <v>57</v>
      </c>
      <c r="E361">
        <v>97</v>
      </c>
      <c r="F361" t="s">
        <v>58</v>
      </c>
      <c r="G361" t="s">
        <v>59</v>
      </c>
      <c r="H361" t="s">
        <v>60</v>
      </c>
      <c r="J361">
        <v>30</v>
      </c>
      <c r="K361" t="s">
        <v>61</v>
      </c>
      <c r="L361" t="s">
        <v>74</v>
      </c>
      <c r="M361" t="s">
        <v>63</v>
      </c>
      <c r="N361" t="s">
        <v>64</v>
      </c>
      <c r="P361" t="s">
        <v>65</v>
      </c>
      <c r="R361">
        <v>16500</v>
      </c>
      <c r="T361">
        <v>14600</v>
      </c>
      <c r="V361">
        <v>18500</v>
      </c>
      <c r="W361" t="s">
        <v>66</v>
      </c>
      <c r="X361" t="s">
        <v>67</v>
      </c>
      <c r="Y361" t="s">
        <v>67</v>
      </c>
      <c r="Z361" t="s">
        <v>68</v>
      </c>
      <c r="AB361">
        <v>4</v>
      </c>
      <c r="AC361" t="s">
        <v>61</v>
      </c>
      <c r="AJ361" t="s">
        <v>69</v>
      </c>
      <c r="AY361" t="s">
        <v>80</v>
      </c>
      <c r="AZ361">
        <v>12859</v>
      </c>
      <c r="BA361" t="s">
        <v>81</v>
      </c>
      <c r="BB361" t="s">
        <v>82</v>
      </c>
      <c r="BC361">
        <v>1988</v>
      </c>
      <c r="BD361" t="s">
        <v>73</v>
      </c>
    </row>
    <row r="362" spans="1:56" x14ac:dyDescent="0.35">
      <c r="A362">
        <v>77736</v>
      </c>
      <c r="B362" t="s">
        <v>535</v>
      </c>
      <c r="D362" t="s">
        <v>85</v>
      </c>
      <c r="E362">
        <v>95</v>
      </c>
      <c r="F362" t="s">
        <v>58</v>
      </c>
      <c r="G362" t="s">
        <v>59</v>
      </c>
      <c r="H362" t="s">
        <v>60</v>
      </c>
      <c r="I362" t="s">
        <v>177</v>
      </c>
      <c r="J362">
        <v>1</v>
      </c>
      <c r="K362" t="s">
        <v>184</v>
      </c>
      <c r="L362" t="s">
        <v>62</v>
      </c>
      <c r="M362" t="s">
        <v>63</v>
      </c>
      <c r="N362" t="s">
        <v>64</v>
      </c>
      <c r="P362" t="s">
        <v>65</v>
      </c>
      <c r="S362" t="s">
        <v>153</v>
      </c>
      <c r="T362">
        <v>21</v>
      </c>
      <c r="U362" t="s">
        <v>435</v>
      </c>
      <c r="V362">
        <v>24</v>
      </c>
      <c r="W362" t="s">
        <v>66</v>
      </c>
      <c r="X362" t="s">
        <v>67</v>
      </c>
      <c r="Y362" t="s">
        <v>67</v>
      </c>
      <c r="Z362" t="s">
        <v>68</v>
      </c>
      <c r="AB362">
        <v>4</v>
      </c>
      <c r="AC362" t="s">
        <v>61</v>
      </c>
      <c r="AJ362" t="s">
        <v>69</v>
      </c>
      <c r="AY362" t="s">
        <v>536</v>
      </c>
      <c r="AZ362">
        <v>5965</v>
      </c>
      <c r="BA362" t="s">
        <v>537</v>
      </c>
      <c r="BB362" t="s">
        <v>538</v>
      </c>
      <c r="BC362">
        <v>1976</v>
      </c>
      <c r="BD362" t="s">
        <v>185</v>
      </c>
    </row>
    <row r="363" spans="1:56" x14ac:dyDescent="0.35">
      <c r="A363">
        <v>77736</v>
      </c>
      <c r="B363" t="s">
        <v>535</v>
      </c>
      <c r="D363" t="s">
        <v>85</v>
      </c>
      <c r="E363">
        <v>95</v>
      </c>
      <c r="F363" t="s">
        <v>58</v>
      </c>
      <c r="G363" t="s">
        <v>59</v>
      </c>
      <c r="H363" t="s">
        <v>60</v>
      </c>
      <c r="J363" t="s">
        <v>86</v>
      </c>
      <c r="L363" t="s">
        <v>62</v>
      </c>
      <c r="M363" t="s">
        <v>63</v>
      </c>
      <c r="N363" t="s">
        <v>64</v>
      </c>
      <c r="P363" t="s">
        <v>65</v>
      </c>
      <c r="R363">
        <v>31.1</v>
      </c>
      <c r="T363">
        <v>23</v>
      </c>
      <c r="V363">
        <v>42</v>
      </c>
      <c r="W363" t="s">
        <v>66</v>
      </c>
      <c r="X363" t="s">
        <v>67</v>
      </c>
      <c r="Y363" t="s">
        <v>67</v>
      </c>
      <c r="Z363" t="s">
        <v>68</v>
      </c>
      <c r="AB363">
        <v>4</v>
      </c>
      <c r="AC363" t="s">
        <v>61</v>
      </c>
      <c r="AJ363" t="s">
        <v>69</v>
      </c>
      <c r="AY363" t="s">
        <v>536</v>
      </c>
      <c r="AZ363">
        <v>5965</v>
      </c>
      <c r="BA363" t="s">
        <v>537</v>
      </c>
      <c r="BB363" t="s">
        <v>538</v>
      </c>
      <c r="BC363">
        <v>1976</v>
      </c>
      <c r="BD363" t="s">
        <v>90</v>
      </c>
    </row>
    <row r="364" spans="1:56" x14ac:dyDescent="0.35">
      <c r="A364">
        <v>77736</v>
      </c>
      <c r="B364" t="s">
        <v>535</v>
      </c>
      <c r="D364" t="s">
        <v>85</v>
      </c>
      <c r="E364">
        <v>95</v>
      </c>
      <c r="F364" t="s">
        <v>58</v>
      </c>
      <c r="G364" t="s">
        <v>59</v>
      </c>
      <c r="H364" t="s">
        <v>60</v>
      </c>
      <c r="I364" t="s">
        <v>177</v>
      </c>
      <c r="J364">
        <v>60</v>
      </c>
      <c r="K364" t="s">
        <v>61</v>
      </c>
      <c r="L364" t="s">
        <v>62</v>
      </c>
      <c r="M364" t="s">
        <v>63</v>
      </c>
      <c r="N364" t="s">
        <v>64</v>
      </c>
      <c r="P364" t="s">
        <v>65</v>
      </c>
      <c r="R364">
        <v>103</v>
      </c>
      <c r="T364">
        <v>62.5</v>
      </c>
      <c r="V364">
        <v>171</v>
      </c>
      <c r="W364" t="s">
        <v>66</v>
      </c>
      <c r="X364" t="s">
        <v>67</v>
      </c>
      <c r="Y364" t="s">
        <v>67</v>
      </c>
      <c r="Z364" t="s">
        <v>68</v>
      </c>
      <c r="AB364">
        <v>4</v>
      </c>
      <c r="AC364" t="s">
        <v>61</v>
      </c>
      <c r="AJ364" t="s">
        <v>69</v>
      </c>
      <c r="AY364" t="s">
        <v>536</v>
      </c>
      <c r="AZ364">
        <v>5965</v>
      </c>
      <c r="BA364" t="s">
        <v>537</v>
      </c>
      <c r="BB364" t="s">
        <v>538</v>
      </c>
      <c r="BC364">
        <v>1976</v>
      </c>
      <c r="BD364" t="s">
        <v>73</v>
      </c>
    </row>
    <row r="365" spans="1:56" x14ac:dyDescent="0.35">
      <c r="A365">
        <v>77736</v>
      </c>
      <c r="B365" t="s">
        <v>535</v>
      </c>
      <c r="D365" t="s">
        <v>85</v>
      </c>
      <c r="E365">
        <v>95</v>
      </c>
      <c r="F365" t="s">
        <v>58</v>
      </c>
      <c r="G365" t="s">
        <v>59</v>
      </c>
      <c r="H365" t="s">
        <v>60</v>
      </c>
      <c r="I365" t="s">
        <v>177</v>
      </c>
      <c r="J365">
        <v>7</v>
      </c>
      <c r="K365" t="s">
        <v>61</v>
      </c>
      <c r="L365" t="s">
        <v>62</v>
      </c>
      <c r="M365" t="s">
        <v>63</v>
      </c>
      <c r="N365" t="s">
        <v>64</v>
      </c>
      <c r="P365" t="s">
        <v>65</v>
      </c>
      <c r="R365">
        <v>12</v>
      </c>
      <c r="T365">
        <v>10</v>
      </c>
      <c r="V365">
        <v>14.2</v>
      </c>
      <c r="W365" t="s">
        <v>66</v>
      </c>
      <c r="X365" t="s">
        <v>67</v>
      </c>
      <c r="Y365" t="s">
        <v>67</v>
      </c>
      <c r="Z365" t="s">
        <v>68</v>
      </c>
      <c r="AB365">
        <v>4</v>
      </c>
      <c r="AC365" t="s">
        <v>61</v>
      </c>
      <c r="AJ365" t="s">
        <v>69</v>
      </c>
      <c r="AY365" t="s">
        <v>536</v>
      </c>
      <c r="AZ365">
        <v>5965</v>
      </c>
      <c r="BA365" t="s">
        <v>537</v>
      </c>
      <c r="BB365" t="s">
        <v>538</v>
      </c>
      <c r="BC365">
        <v>1976</v>
      </c>
      <c r="BD365" t="s">
        <v>73</v>
      </c>
    </row>
    <row r="366" spans="1:56" x14ac:dyDescent="0.35">
      <c r="A366">
        <v>77736</v>
      </c>
      <c r="B366" t="s">
        <v>535</v>
      </c>
      <c r="D366" t="s">
        <v>85</v>
      </c>
      <c r="E366">
        <v>95</v>
      </c>
      <c r="F366" t="s">
        <v>58</v>
      </c>
      <c r="G366" t="s">
        <v>59</v>
      </c>
      <c r="H366" t="s">
        <v>60</v>
      </c>
      <c r="I366" t="s">
        <v>177</v>
      </c>
      <c r="J366">
        <v>30</v>
      </c>
      <c r="K366" t="s">
        <v>61</v>
      </c>
      <c r="L366" t="s">
        <v>62</v>
      </c>
      <c r="M366" t="s">
        <v>63</v>
      </c>
      <c r="N366" t="s">
        <v>64</v>
      </c>
      <c r="P366" t="s">
        <v>65</v>
      </c>
      <c r="R366">
        <v>86.3</v>
      </c>
      <c r="T366">
        <v>74</v>
      </c>
      <c r="V366">
        <v>101</v>
      </c>
      <c r="W366" t="s">
        <v>66</v>
      </c>
      <c r="X366" t="s">
        <v>67</v>
      </c>
      <c r="Y366" t="s">
        <v>67</v>
      </c>
      <c r="Z366" t="s">
        <v>68</v>
      </c>
      <c r="AB366">
        <v>4</v>
      </c>
      <c r="AC366" t="s">
        <v>61</v>
      </c>
      <c r="AJ366" t="s">
        <v>69</v>
      </c>
      <c r="AY366" t="s">
        <v>536</v>
      </c>
      <c r="AZ366">
        <v>5965</v>
      </c>
      <c r="BA366" t="s">
        <v>537</v>
      </c>
      <c r="BB366" t="s">
        <v>538</v>
      </c>
      <c r="BC366">
        <v>1976</v>
      </c>
      <c r="BD366" t="s">
        <v>73</v>
      </c>
    </row>
    <row r="367" spans="1:56" x14ac:dyDescent="0.35">
      <c r="A367">
        <v>77747</v>
      </c>
      <c r="B367" t="s">
        <v>539</v>
      </c>
      <c r="D367" t="s">
        <v>57</v>
      </c>
      <c r="E367">
        <v>99</v>
      </c>
      <c r="F367" t="s">
        <v>58</v>
      </c>
      <c r="G367" t="s">
        <v>59</v>
      </c>
      <c r="H367" t="s">
        <v>60</v>
      </c>
      <c r="J367">
        <v>32</v>
      </c>
      <c r="K367" t="s">
        <v>61</v>
      </c>
      <c r="L367" t="s">
        <v>74</v>
      </c>
      <c r="M367" t="s">
        <v>63</v>
      </c>
      <c r="N367" t="s">
        <v>64</v>
      </c>
      <c r="P367" t="s">
        <v>65</v>
      </c>
      <c r="R367">
        <v>672</v>
      </c>
      <c r="T367">
        <v>616</v>
      </c>
      <c r="V367">
        <v>734</v>
      </c>
      <c r="W367" t="s">
        <v>66</v>
      </c>
      <c r="X367" t="s">
        <v>67</v>
      </c>
      <c r="Y367" t="s">
        <v>67</v>
      </c>
      <c r="Z367" t="s">
        <v>68</v>
      </c>
      <c r="AB367">
        <v>4</v>
      </c>
      <c r="AC367" t="s">
        <v>61</v>
      </c>
      <c r="AJ367" t="s">
        <v>69</v>
      </c>
      <c r="AY367" t="s">
        <v>80</v>
      </c>
      <c r="AZ367">
        <v>12859</v>
      </c>
      <c r="BA367" t="s">
        <v>81</v>
      </c>
      <c r="BB367" t="s">
        <v>82</v>
      </c>
      <c r="BC367">
        <v>1988</v>
      </c>
      <c r="BD367" t="s">
        <v>73</v>
      </c>
    </row>
    <row r="368" spans="1:56" x14ac:dyDescent="0.35">
      <c r="A368">
        <v>77758</v>
      </c>
      <c r="B368" t="s">
        <v>540</v>
      </c>
      <c r="D368" t="s">
        <v>57</v>
      </c>
      <c r="E368" t="s">
        <v>128</v>
      </c>
      <c r="F368" t="s">
        <v>58</v>
      </c>
      <c r="G368" t="s">
        <v>59</v>
      </c>
      <c r="H368" t="s">
        <v>60</v>
      </c>
      <c r="I368" t="s">
        <v>129</v>
      </c>
      <c r="J368" t="s">
        <v>86</v>
      </c>
      <c r="K368" t="s">
        <v>61</v>
      </c>
      <c r="L368" t="s">
        <v>74</v>
      </c>
      <c r="M368" t="s">
        <v>63</v>
      </c>
      <c r="N368" t="s">
        <v>64</v>
      </c>
      <c r="P368" t="s">
        <v>65</v>
      </c>
      <c r="R368">
        <v>1220</v>
      </c>
      <c r="T368">
        <v>1160</v>
      </c>
      <c r="V368">
        <v>1270</v>
      </c>
      <c r="W368" t="s">
        <v>66</v>
      </c>
      <c r="X368" t="s">
        <v>67</v>
      </c>
      <c r="Y368" t="s">
        <v>67</v>
      </c>
      <c r="Z368" t="s">
        <v>68</v>
      </c>
      <c r="AB368">
        <v>4</v>
      </c>
      <c r="AC368" t="s">
        <v>61</v>
      </c>
      <c r="AJ368" t="s">
        <v>69</v>
      </c>
      <c r="AY368" t="s">
        <v>541</v>
      </c>
      <c r="AZ368">
        <v>2721</v>
      </c>
      <c r="BA368" t="s">
        <v>542</v>
      </c>
      <c r="BB368" t="s">
        <v>543</v>
      </c>
      <c r="BC368">
        <v>1989</v>
      </c>
      <c r="BD368" t="s">
        <v>544</v>
      </c>
    </row>
    <row r="369" spans="1:56" x14ac:dyDescent="0.35">
      <c r="A369">
        <v>77758</v>
      </c>
      <c r="B369" t="s">
        <v>540</v>
      </c>
      <c r="D369" t="s">
        <v>57</v>
      </c>
      <c r="E369" t="s">
        <v>79</v>
      </c>
      <c r="F369" t="s">
        <v>58</v>
      </c>
      <c r="G369" t="s">
        <v>59</v>
      </c>
      <c r="H369" t="s">
        <v>60</v>
      </c>
      <c r="J369">
        <v>29</v>
      </c>
      <c r="K369" t="s">
        <v>61</v>
      </c>
      <c r="L369" t="s">
        <v>74</v>
      </c>
      <c r="M369" t="s">
        <v>63</v>
      </c>
      <c r="N369" t="s">
        <v>64</v>
      </c>
      <c r="P369" t="s">
        <v>65</v>
      </c>
      <c r="R369">
        <v>1220</v>
      </c>
      <c r="T369">
        <v>1160</v>
      </c>
      <c r="V369">
        <v>1270</v>
      </c>
      <c r="W369" t="s">
        <v>66</v>
      </c>
      <c r="X369" t="s">
        <v>67</v>
      </c>
      <c r="Y369" t="s">
        <v>67</v>
      </c>
      <c r="Z369" t="s">
        <v>68</v>
      </c>
      <c r="AB369">
        <v>4</v>
      </c>
      <c r="AC369" t="s">
        <v>61</v>
      </c>
      <c r="AJ369" t="s">
        <v>69</v>
      </c>
      <c r="AY369" t="s">
        <v>80</v>
      </c>
      <c r="AZ369">
        <v>12859</v>
      </c>
      <c r="BA369" t="s">
        <v>81</v>
      </c>
      <c r="BB369" t="s">
        <v>82</v>
      </c>
      <c r="BC369">
        <v>1988</v>
      </c>
      <c r="BD369" t="s">
        <v>73</v>
      </c>
    </row>
    <row r="370" spans="1:56" x14ac:dyDescent="0.35">
      <c r="A370">
        <v>78115</v>
      </c>
      <c r="B370" t="s">
        <v>545</v>
      </c>
      <c r="D370" t="s">
        <v>85</v>
      </c>
      <c r="E370">
        <v>100</v>
      </c>
      <c r="F370" t="s">
        <v>58</v>
      </c>
      <c r="G370" t="s">
        <v>59</v>
      </c>
      <c r="H370" t="s">
        <v>60</v>
      </c>
      <c r="J370" t="s">
        <v>86</v>
      </c>
      <c r="L370" t="s">
        <v>62</v>
      </c>
      <c r="M370" t="s">
        <v>63</v>
      </c>
      <c r="N370" t="s">
        <v>64</v>
      </c>
      <c r="P370" t="s">
        <v>65</v>
      </c>
      <c r="R370">
        <v>2.7</v>
      </c>
      <c r="T370">
        <v>0.95</v>
      </c>
      <c r="V370">
        <v>7.6</v>
      </c>
      <c r="W370" t="s">
        <v>546</v>
      </c>
      <c r="X370" t="s">
        <v>67</v>
      </c>
      <c r="Y370" t="s">
        <v>67</v>
      </c>
      <c r="Z370" t="s">
        <v>68</v>
      </c>
      <c r="AB370">
        <v>4</v>
      </c>
      <c r="AC370" t="s">
        <v>61</v>
      </c>
      <c r="AJ370" t="s">
        <v>69</v>
      </c>
      <c r="AY370" t="s">
        <v>547</v>
      </c>
      <c r="AZ370">
        <v>5968</v>
      </c>
      <c r="BA370" t="s">
        <v>548</v>
      </c>
      <c r="BB370" t="s">
        <v>549</v>
      </c>
      <c r="BC370">
        <v>1975</v>
      </c>
      <c r="BD370" t="s">
        <v>90</v>
      </c>
    </row>
    <row r="371" spans="1:56" x14ac:dyDescent="0.35">
      <c r="A371">
        <v>78115</v>
      </c>
      <c r="B371" t="s">
        <v>545</v>
      </c>
      <c r="D371" t="s">
        <v>85</v>
      </c>
      <c r="E371">
        <v>100</v>
      </c>
      <c r="F371" t="s">
        <v>58</v>
      </c>
      <c r="G371" t="s">
        <v>59</v>
      </c>
      <c r="H371" t="s">
        <v>60</v>
      </c>
      <c r="J371" t="s">
        <v>86</v>
      </c>
      <c r="L371" t="s">
        <v>62</v>
      </c>
      <c r="M371" t="s">
        <v>63</v>
      </c>
      <c r="N371" t="s">
        <v>64</v>
      </c>
      <c r="P371" t="s">
        <v>65</v>
      </c>
      <c r="S371" t="s">
        <v>153</v>
      </c>
      <c r="T371">
        <v>3.2000000000000001E-2</v>
      </c>
      <c r="U371" t="s">
        <v>435</v>
      </c>
      <c r="V371">
        <v>0.1</v>
      </c>
      <c r="W371" t="s">
        <v>546</v>
      </c>
      <c r="X371" t="s">
        <v>67</v>
      </c>
      <c r="Y371" t="s">
        <v>67</v>
      </c>
      <c r="Z371" t="s">
        <v>68</v>
      </c>
      <c r="AB371">
        <v>4</v>
      </c>
      <c r="AC371" t="s">
        <v>61</v>
      </c>
      <c r="AJ371" t="s">
        <v>69</v>
      </c>
      <c r="AY371" t="s">
        <v>547</v>
      </c>
      <c r="AZ371">
        <v>5968</v>
      </c>
      <c r="BA371" t="s">
        <v>548</v>
      </c>
      <c r="BB371" t="s">
        <v>549</v>
      </c>
      <c r="BC371">
        <v>1975</v>
      </c>
      <c r="BD371" t="s">
        <v>90</v>
      </c>
    </row>
    <row r="372" spans="1:56" x14ac:dyDescent="0.35">
      <c r="A372">
        <v>78273</v>
      </c>
      <c r="B372" t="s">
        <v>550</v>
      </c>
      <c r="D372" t="s">
        <v>57</v>
      </c>
      <c r="E372">
        <v>99</v>
      </c>
      <c r="F372" t="s">
        <v>58</v>
      </c>
      <c r="G372" t="s">
        <v>59</v>
      </c>
      <c r="H372" t="s">
        <v>60</v>
      </c>
      <c r="J372">
        <v>31</v>
      </c>
      <c r="K372" t="s">
        <v>61</v>
      </c>
      <c r="L372" t="s">
        <v>74</v>
      </c>
      <c r="M372" t="s">
        <v>63</v>
      </c>
      <c r="N372" t="s">
        <v>64</v>
      </c>
      <c r="P372" t="s">
        <v>65</v>
      </c>
      <c r="R372">
        <v>256</v>
      </c>
      <c r="W372" t="s">
        <v>66</v>
      </c>
      <c r="X372" t="s">
        <v>67</v>
      </c>
      <c r="Y372" t="s">
        <v>67</v>
      </c>
      <c r="Z372" t="s">
        <v>68</v>
      </c>
      <c r="AB372">
        <v>4</v>
      </c>
      <c r="AC372" t="s">
        <v>61</v>
      </c>
      <c r="AJ372" t="s">
        <v>69</v>
      </c>
      <c r="AY372" t="s">
        <v>263</v>
      </c>
      <c r="AZ372">
        <v>12858</v>
      </c>
      <c r="BA372" t="s">
        <v>264</v>
      </c>
      <c r="BB372" t="s">
        <v>265</v>
      </c>
      <c r="BC372">
        <v>1986</v>
      </c>
      <c r="BD372" t="s">
        <v>73</v>
      </c>
    </row>
    <row r="373" spans="1:56" x14ac:dyDescent="0.35">
      <c r="A373">
        <v>78273</v>
      </c>
      <c r="B373" t="s">
        <v>550</v>
      </c>
      <c r="D373" t="s">
        <v>57</v>
      </c>
      <c r="E373" t="s">
        <v>128</v>
      </c>
      <c r="F373" t="s">
        <v>58</v>
      </c>
      <c r="G373" t="s">
        <v>59</v>
      </c>
      <c r="H373" t="s">
        <v>60</v>
      </c>
      <c r="I373" t="s">
        <v>129</v>
      </c>
      <c r="J373" t="s">
        <v>86</v>
      </c>
      <c r="K373" t="s">
        <v>61</v>
      </c>
      <c r="L373" t="s">
        <v>74</v>
      </c>
      <c r="M373" t="s">
        <v>63</v>
      </c>
      <c r="N373" t="s">
        <v>64</v>
      </c>
      <c r="P373" t="s">
        <v>65</v>
      </c>
      <c r="R373">
        <v>256</v>
      </c>
      <c r="W373" t="s">
        <v>66</v>
      </c>
      <c r="X373" t="s">
        <v>67</v>
      </c>
      <c r="Y373" t="s">
        <v>67</v>
      </c>
      <c r="Z373" t="s">
        <v>68</v>
      </c>
      <c r="AB373">
        <v>4</v>
      </c>
      <c r="AC373" t="s">
        <v>61</v>
      </c>
      <c r="AJ373" t="s">
        <v>69</v>
      </c>
      <c r="AY373" t="s">
        <v>541</v>
      </c>
      <c r="AZ373">
        <v>2721</v>
      </c>
      <c r="BA373" t="s">
        <v>542</v>
      </c>
      <c r="BB373" t="s">
        <v>543</v>
      </c>
      <c r="BC373">
        <v>1989</v>
      </c>
      <c r="BD373" t="s">
        <v>544</v>
      </c>
    </row>
    <row r="374" spans="1:56" x14ac:dyDescent="0.35">
      <c r="A374">
        <v>78342</v>
      </c>
      <c r="B374" t="s">
        <v>551</v>
      </c>
      <c r="C374" t="s">
        <v>91</v>
      </c>
      <c r="D374" t="s">
        <v>85</v>
      </c>
      <c r="E374">
        <v>100</v>
      </c>
      <c r="F374" t="s">
        <v>58</v>
      </c>
      <c r="G374" t="s">
        <v>59</v>
      </c>
      <c r="H374" t="s">
        <v>60</v>
      </c>
      <c r="J374" t="s">
        <v>86</v>
      </c>
      <c r="L374" t="s">
        <v>62</v>
      </c>
      <c r="M374" t="s">
        <v>63</v>
      </c>
      <c r="N374" t="s">
        <v>64</v>
      </c>
      <c r="P374" t="s">
        <v>65</v>
      </c>
      <c r="R374">
        <v>9.3000000000000007</v>
      </c>
      <c r="W374" t="s">
        <v>66</v>
      </c>
      <c r="X374" t="s">
        <v>67</v>
      </c>
      <c r="Y374" t="s">
        <v>67</v>
      </c>
      <c r="Z374" t="s">
        <v>68</v>
      </c>
      <c r="AB374">
        <v>4</v>
      </c>
      <c r="AC374" t="s">
        <v>61</v>
      </c>
      <c r="AJ374" t="s">
        <v>69</v>
      </c>
      <c r="AY374" t="s">
        <v>157</v>
      </c>
      <c r="AZ374">
        <v>2893</v>
      </c>
      <c r="BA374" t="s">
        <v>158</v>
      </c>
      <c r="BB374" t="s">
        <v>159</v>
      </c>
      <c r="BC374">
        <v>1962</v>
      </c>
      <c r="BD374" t="s">
        <v>90</v>
      </c>
    </row>
    <row r="375" spans="1:56" x14ac:dyDescent="0.35">
      <c r="A375">
        <v>78342</v>
      </c>
      <c r="B375" t="s">
        <v>551</v>
      </c>
      <c r="C375" t="s">
        <v>91</v>
      </c>
      <c r="D375" t="s">
        <v>85</v>
      </c>
      <c r="E375">
        <v>100</v>
      </c>
      <c r="F375" t="s">
        <v>58</v>
      </c>
      <c r="G375" t="s">
        <v>59</v>
      </c>
      <c r="H375" t="s">
        <v>60</v>
      </c>
      <c r="J375" t="s">
        <v>86</v>
      </c>
      <c r="L375" t="s">
        <v>62</v>
      </c>
      <c r="M375" t="s">
        <v>63</v>
      </c>
      <c r="N375" t="s">
        <v>64</v>
      </c>
      <c r="P375" t="s">
        <v>65</v>
      </c>
      <c r="R375">
        <v>10</v>
      </c>
      <c r="W375" t="s">
        <v>66</v>
      </c>
      <c r="X375" t="s">
        <v>67</v>
      </c>
      <c r="Y375" t="s">
        <v>67</v>
      </c>
      <c r="Z375" t="s">
        <v>68</v>
      </c>
      <c r="AB375">
        <v>4</v>
      </c>
      <c r="AC375" t="s">
        <v>61</v>
      </c>
      <c r="AJ375" t="s">
        <v>69</v>
      </c>
      <c r="AY375" t="s">
        <v>157</v>
      </c>
      <c r="AZ375">
        <v>2893</v>
      </c>
      <c r="BA375" t="s">
        <v>158</v>
      </c>
      <c r="BB375" t="s">
        <v>159</v>
      </c>
      <c r="BC375">
        <v>1962</v>
      </c>
      <c r="BD375" t="s">
        <v>90</v>
      </c>
    </row>
    <row r="376" spans="1:56" x14ac:dyDescent="0.35">
      <c r="A376">
        <v>78342</v>
      </c>
      <c r="B376" t="s">
        <v>551</v>
      </c>
      <c r="D376" t="s">
        <v>85</v>
      </c>
      <c r="E376">
        <v>47</v>
      </c>
      <c r="F376" t="s">
        <v>58</v>
      </c>
      <c r="G376" t="s">
        <v>59</v>
      </c>
      <c r="H376" t="s">
        <v>60</v>
      </c>
      <c r="J376" t="s">
        <v>86</v>
      </c>
      <c r="L376" t="s">
        <v>62</v>
      </c>
      <c r="M376" t="s">
        <v>63</v>
      </c>
      <c r="N376" t="s">
        <v>64</v>
      </c>
      <c r="P376" t="s">
        <v>100</v>
      </c>
      <c r="R376">
        <v>12</v>
      </c>
      <c r="W376" t="s">
        <v>66</v>
      </c>
      <c r="X376" t="s">
        <v>67</v>
      </c>
      <c r="Y376" t="s">
        <v>67</v>
      </c>
      <c r="Z376" t="s">
        <v>68</v>
      </c>
      <c r="AB376">
        <v>4</v>
      </c>
      <c r="AC376" t="s">
        <v>61</v>
      </c>
      <c r="AJ376" t="s">
        <v>69</v>
      </c>
      <c r="AY376" t="s">
        <v>157</v>
      </c>
      <c r="AZ376">
        <v>2893</v>
      </c>
      <c r="BA376" t="s">
        <v>158</v>
      </c>
      <c r="BB376" t="s">
        <v>159</v>
      </c>
      <c r="BC376">
        <v>1962</v>
      </c>
      <c r="BD376" t="s">
        <v>90</v>
      </c>
    </row>
    <row r="377" spans="1:56" x14ac:dyDescent="0.35">
      <c r="A377">
        <v>78400</v>
      </c>
      <c r="B377" t="s">
        <v>552</v>
      </c>
      <c r="C377" t="s">
        <v>195</v>
      </c>
      <c r="D377" t="s">
        <v>85</v>
      </c>
      <c r="E377" t="s">
        <v>86</v>
      </c>
      <c r="F377" t="s">
        <v>58</v>
      </c>
      <c r="G377" t="s">
        <v>59</v>
      </c>
      <c r="H377" t="s">
        <v>60</v>
      </c>
      <c r="I377" t="s">
        <v>129</v>
      </c>
      <c r="J377" t="s">
        <v>86</v>
      </c>
      <c r="L377" t="s">
        <v>62</v>
      </c>
      <c r="M377" t="s">
        <v>63</v>
      </c>
      <c r="N377" t="s">
        <v>64</v>
      </c>
      <c r="O377">
        <v>5</v>
      </c>
      <c r="P377" t="s">
        <v>65</v>
      </c>
      <c r="Q377" t="s">
        <v>153</v>
      </c>
      <c r="R377">
        <v>100</v>
      </c>
      <c r="W377" t="s">
        <v>66</v>
      </c>
      <c r="X377" t="s">
        <v>67</v>
      </c>
      <c r="Y377" t="s">
        <v>67</v>
      </c>
      <c r="Z377" t="s">
        <v>68</v>
      </c>
      <c r="AB377">
        <v>4</v>
      </c>
      <c r="AC377" t="s">
        <v>61</v>
      </c>
      <c r="AJ377" t="s">
        <v>69</v>
      </c>
      <c r="AY377" t="s">
        <v>298</v>
      </c>
      <c r="AZ377">
        <v>11951</v>
      </c>
      <c r="BA377" t="s">
        <v>299</v>
      </c>
      <c r="BB377" t="s">
        <v>300</v>
      </c>
      <c r="BC377">
        <v>1986</v>
      </c>
      <c r="BD377" t="s">
        <v>90</v>
      </c>
    </row>
    <row r="378" spans="1:56" x14ac:dyDescent="0.35">
      <c r="A378">
        <v>78488</v>
      </c>
      <c r="B378" t="s">
        <v>553</v>
      </c>
      <c r="E378">
        <v>99.4</v>
      </c>
      <c r="F378" t="s">
        <v>58</v>
      </c>
      <c r="G378" t="s">
        <v>59</v>
      </c>
      <c r="H378" t="s">
        <v>60</v>
      </c>
      <c r="J378" t="s">
        <v>86</v>
      </c>
      <c r="L378" t="s">
        <v>74</v>
      </c>
      <c r="M378" t="s">
        <v>63</v>
      </c>
      <c r="N378" t="s">
        <v>64</v>
      </c>
      <c r="P378" t="s">
        <v>65</v>
      </c>
      <c r="R378">
        <v>0.92</v>
      </c>
      <c r="W378" t="s">
        <v>66</v>
      </c>
      <c r="X378" t="s">
        <v>67</v>
      </c>
      <c r="Y378" t="s">
        <v>67</v>
      </c>
      <c r="Z378" t="s">
        <v>68</v>
      </c>
      <c r="AB378">
        <v>4</v>
      </c>
      <c r="AC378" t="s">
        <v>61</v>
      </c>
      <c r="AJ378" t="s">
        <v>69</v>
      </c>
      <c r="AY378" t="s">
        <v>116</v>
      </c>
      <c r="AZ378">
        <v>344</v>
      </c>
      <c r="BA378" t="s">
        <v>117</v>
      </c>
      <c r="BB378" t="s">
        <v>118</v>
      </c>
      <c r="BC378">
        <v>1992</v>
      </c>
      <c r="BD378" t="s">
        <v>90</v>
      </c>
    </row>
    <row r="379" spans="1:56" x14ac:dyDescent="0.35">
      <c r="A379">
        <v>78513</v>
      </c>
      <c r="B379" t="s">
        <v>554</v>
      </c>
      <c r="D379" t="s">
        <v>57</v>
      </c>
      <c r="E379">
        <v>98</v>
      </c>
      <c r="F379" t="s">
        <v>58</v>
      </c>
      <c r="G379" t="s">
        <v>59</v>
      </c>
      <c r="H379" t="s">
        <v>60</v>
      </c>
      <c r="J379">
        <v>31</v>
      </c>
      <c r="K379" t="s">
        <v>61</v>
      </c>
      <c r="L379" t="s">
        <v>74</v>
      </c>
      <c r="M379" t="s">
        <v>63</v>
      </c>
      <c r="N379" t="s">
        <v>64</v>
      </c>
      <c r="P379" t="s">
        <v>65</v>
      </c>
      <c r="R379">
        <v>11.2</v>
      </c>
      <c r="T379">
        <v>10.4</v>
      </c>
      <c r="V379">
        <v>12</v>
      </c>
      <c r="W379" t="s">
        <v>66</v>
      </c>
      <c r="X379" t="s">
        <v>67</v>
      </c>
      <c r="Y379" t="s">
        <v>67</v>
      </c>
      <c r="Z379" t="s">
        <v>68</v>
      </c>
      <c r="AB379">
        <v>4</v>
      </c>
      <c r="AC379" t="s">
        <v>61</v>
      </c>
      <c r="AJ379" t="s">
        <v>69</v>
      </c>
      <c r="AY379" t="s">
        <v>263</v>
      </c>
      <c r="AZ379">
        <v>12858</v>
      </c>
      <c r="BA379" t="s">
        <v>264</v>
      </c>
      <c r="BB379" t="s">
        <v>265</v>
      </c>
      <c r="BC379">
        <v>1986</v>
      </c>
      <c r="BD379" t="s">
        <v>73</v>
      </c>
    </row>
    <row r="380" spans="1:56" x14ac:dyDescent="0.35">
      <c r="A380">
        <v>78591</v>
      </c>
      <c r="B380" t="s">
        <v>555</v>
      </c>
      <c r="D380" t="s">
        <v>57</v>
      </c>
      <c r="E380">
        <v>98</v>
      </c>
      <c r="F380" t="s">
        <v>58</v>
      </c>
      <c r="G380" t="s">
        <v>59</v>
      </c>
      <c r="H380" t="s">
        <v>60</v>
      </c>
      <c r="J380">
        <v>30</v>
      </c>
      <c r="K380" t="s">
        <v>61</v>
      </c>
      <c r="L380" t="s">
        <v>62</v>
      </c>
      <c r="M380" t="s">
        <v>63</v>
      </c>
      <c r="N380" t="s">
        <v>64</v>
      </c>
      <c r="P380" t="s">
        <v>65</v>
      </c>
      <c r="R380">
        <v>275</v>
      </c>
      <c r="T380">
        <v>246</v>
      </c>
      <c r="V380">
        <v>308</v>
      </c>
      <c r="W380" t="s">
        <v>66</v>
      </c>
      <c r="X380" t="s">
        <v>67</v>
      </c>
      <c r="Y380" t="s">
        <v>67</v>
      </c>
      <c r="Z380" t="s">
        <v>68</v>
      </c>
      <c r="AB380">
        <v>4</v>
      </c>
      <c r="AC380" t="s">
        <v>61</v>
      </c>
      <c r="AJ380" t="s">
        <v>69</v>
      </c>
      <c r="AY380" t="s">
        <v>309</v>
      </c>
      <c r="AZ380">
        <v>17138</v>
      </c>
      <c r="BA380" t="s">
        <v>310</v>
      </c>
      <c r="BB380" t="s">
        <v>311</v>
      </c>
      <c r="BC380">
        <v>1991</v>
      </c>
      <c r="BD380" t="s">
        <v>73</v>
      </c>
    </row>
    <row r="381" spans="1:56" x14ac:dyDescent="0.35">
      <c r="A381">
        <v>78591</v>
      </c>
      <c r="B381" t="s">
        <v>555</v>
      </c>
      <c r="D381" t="s">
        <v>57</v>
      </c>
      <c r="E381" t="s">
        <v>86</v>
      </c>
      <c r="F381" t="s">
        <v>58</v>
      </c>
      <c r="G381" t="s">
        <v>59</v>
      </c>
      <c r="H381" t="s">
        <v>60</v>
      </c>
      <c r="I381" t="s">
        <v>177</v>
      </c>
      <c r="J381">
        <v>1</v>
      </c>
      <c r="K381" t="s">
        <v>196</v>
      </c>
      <c r="L381" t="s">
        <v>62</v>
      </c>
      <c r="M381" t="s">
        <v>63</v>
      </c>
      <c r="N381" t="s">
        <v>64</v>
      </c>
      <c r="O381">
        <v>6</v>
      </c>
      <c r="P381" t="s">
        <v>65</v>
      </c>
      <c r="R381">
        <v>138</v>
      </c>
      <c r="W381" t="s">
        <v>66</v>
      </c>
      <c r="X381" t="s">
        <v>67</v>
      </c>
      <c r="Y381" t="s">
        <v>67</v>
      </c>
      <c r="Z381" t="s">
        <v>68</v>
      </c>
      <c r="AB381">
        <v>4</v>
      </c>
      <c r="AC381" t="s">
        <v>61</v>
      </c>
      <c r="AJ381" t="s">
        <v>69</v>
      </c>
      <c r="AY381" t="s">
        <v>556</v>
      </c>
      <c r="AZ381">
        <v>150003</v>
      </c>
      <c r="BA381" t="s">
        <v>557</v>
      </c>
      <c r="BB381" t="s">
        <v>558</v>
      </c>
      <c r="BC381">
        <v>1981</v>
      </c>
      <c r="BD381" t="s">
        <v>200</v>
      </c>
    </row>
    <row r="382" spans="1:56" x14ac:dyDescent="0.35">
      <c r="A382">
        <v>78591</v>
      </c>
      <c r="B382" t="s">
        <v>555</v>
      </c>
      <c r="D382" t="s">
        <v>57</v>
      </c>
      <c r="E382">
        <v>100</v>
      </c>
      <c r="F382" t="s">
        <v>58</v>
      </c>
      <c r="G382" t="s">
        <v>59</v>
      </c>
      <c r="H382" t="s">
        <v>60</v>
      </c>
      <c r="J382" t="s">
        <v>86</v>
      </c>
      <c r="K382" t="s">
        <v>196</v>
      </c>
      <c r="L382" t="s">
        <v>74</v>
      </c>
      <c r="M382" t="s">
        <v>63</v>
      </c>
      <c r="N382" t="s">
        <v>64</v>
      </c>
      <c r="P382" t="s">
        <v>65</v>
      </c>
      <c r="R382">
        <v>255</v>
      </c>
      <c r="T382">
        <v>229</v>
      </c>
      <c r="V382">
        <v>283</v>
      </c>
      <c r="W382" t="s">
        <v>66</v>
      </c>
      <c r="X382" t="s">
        <v>67</v>
      </c>
      <c r="Y382" t="s">
        <v>67</v>
      </c>
      <c r="Z382" t="s">
        <v>68</v>
      </c>
      <c r="AB382">
        <v>4</v>
      </c>
      <c r="AC382" t="s">
        <v>61</v>
      </c>
      <c r="AJ382" t="s">
        <v>69</v>
      </c>
      <c r="AY382" t="s">
        <v>559</v>
      </c>
      <c r="AZ382">
        <v>15152</v>
      </c>
      <c r="BA382" t="s">
        <v>560</v>
      </c>
      <c r="BB382" t="s">
        <v>561</v>
      </c>
      <c r="BC382">
        <v>1982</v>
      </c>
      <c r="BD382" t="s">
        <v>562</v>
      </c>
    </row>
    <row r="383" spans="1:56" x14ac:dyDescent="0.35">
      <c r="A383">
        <v>78591</v>
      </c>
      <c r="B383" t="s">
        <v>555</v>
      </c>
      <c r="D383" t="s">
        <v>57</v>
      </c>
      <c r="E383">
        <v>97</v>
      </c>
      <c r="F383" t="s">
        <v>58</v>
      </c>
      <c r="G383" t="s">
        <v>59</v>
      </c>
      <c r="H383" t="s">
        <v>60</v>
      </c>
      <c r="J383">
        <v>30</v>
      </c>
      <c r="K383" t="s">
        <v>61</v>
      </c>
      <c r="L383" t="s">
        <v>74</v>
      </c>
      <c r="M383" t="s">
        <v>63</v>
      </c>
      <c r="N383" t="s">
        <v>64</v>
      </c>
      <c r="P383" t="s">
        <v>65</v>
      </c>
      <c r="R383">
        <v>228</v>
      </c>
      <c r="W383" t="s">
        <v>66</v>
      </c>
      <c r="X383" t="s">
        <v>67</v>
      </c>
      <c r="Y383" t="s">
        <v>67</v>
      </c>
      <c r="Z383" t="s">
        <v>68</v>
      </c>
      <c r="AB383">
        <v>4</v>
      </c>
      <c r="AC383" t="s">
        <v>61</v>
      </c>
      <c r="AJ383" t="s">
        <v>69</v>
      </c>
      <c r="AY383" t="s">
        <v>75</v>
      </c>
      <c r="AZ383">
        <v>3217</v>
      </c>
      <c r="BA383" t="s">
        <v>76</v>
      </c>
      <c r="BB383" t="s">
        <v>77</v>
      </c>
      <c r="BC383">
        <v>1990</v>
      </c>
      <c r="BD383" t="s">
        <v>73</v>
      </c>
    </row>
    <row r="384" spans="1:56" x14ac:dyDescent="0.35">
      <c r="A384">
        <v>78591</v>
      </c>
      <c r="B384" t="s">
        <v>555</v>
      </c>
      <c r="D384" t="s">
        <v>85</v>
      </c>
      <c r="E384" t="s">
        <v>86</v>
      </c>
      <c r="F384" t="s">
        <v>58</v>
      </c>
      <c r="G384" t="s">
        <v>59</v>
      </c>
      <c r="H384" t="s">
        <v>60</v>
      </c>
      <c r="J384">
        <v>5</v>
      </c>
      <c r="K384" t="s">
        <v>320</v>
      </c>
      <c r="L384" t="s">
        <v>62</v>
      </c>
      <c r="M384" t="s">
        <v>63</v>
      </c>
      <c r="N384" t="s">
        <v>64</v>
      </c>
      <c r="P384" t="s">
        <v>100</v>
      </c>
      <c r="R384">
        <v>240</v>
      </c>
      <c r="W384" t="s">
        <v>66</v>
      </c>
      <c r="X384" t="s">
        <v>67</v>
      </c>
      <c r="Y384" t="s">
        <v>67</v>
      </c>
      <c r="Z384" t="s">
        <v>68</v>
      </c>
      <c r="AB384">
        <v>4</v>
      </c>
      <c r="AC384" t="s">
        <v>61</v>
      </c>
      <c r="AJ384" t="s">
        <v>69</v>
      </c>
      <c r="AY384" t="s">
        <v>563</v>
      </c>
      <c r="AZ384">
        <v>60679</v>
      </c>
      <c r="BA384" t="s">
        <v>564</v>
      </c>
      <c r="BB384" t="s">
        <v>565</v>
      </c>
      <c r="BC384">
        <v>1981</v>
      </c>
      <c r="BD384" t="s">
        <v>324</v>
      </c>
    </row>
    <row r="385" spans="1:56" x14ac:dyDescent="0.35">
      <c r="A385">
        <v>78591</v>
      </c>
      <c r="B385" t="s">
        <v>555</v>
      </c>
      <c r="D385" t="s">
        <v>57</v>
      </c>
      <c r="E385">
        <v>98</v>
      </c>
      <c r="F385" t="s">
        <v>58</v>
      </c>
      <c r="G385" t="s">
        <v>59</v>
      </c>
      <c r="H385" t="s">
        <v>60</v>
      </c>
      <c r="J385">
        <v>30</v>
      </c>
      <c r="K385" t="s">
        <v>61</v>
      </c>
      <c r="L385" t="s">
        <v>74</v>
      </c>
      <c r="M385" t="s">
        <v>63</v>
      </c>
      <c r="N385" t="s">
        <v>64</v>
      </c>
      <c r="P385" t="s">
        <v>65</v>
      </c>
      <c r="R385">
        <v>253</v>
      </c>
      <c r="T385">
        <v>228</v>
      </c>
      <c r="V385">
        <v>280</v>
      </c>
      <c r="W385" t="s">
        <v>66</v>
      </c>
      <c r="X385" t="s">
        <v>67</v>
      </c>
      <c r="Y385" t="s">
        <v>67</v>
      </c>
      <c r="Z385" t="s">
        <v>68</v>
      </c>
      <c r="AB385">
        <v>4</v>
      </c>
      <c r="AC385" t="s">
        <v>61</v>
      </c>
      <c r="AJ385" t="s">
        <v>69</v>
      </c>
      <c r="AY385" t="s">
        <v>309</v>
      </c>
      <c r="AZ385">
        <v>17138</v>
      </c>
      <c r="BA385" t="s">
        <v>310</v>
      </c>
      <c r="BB385" t="s">
        <v>311</v>
      </c>
      <c r="BC385">
        <v>1991</v>
      </c>
      <c r="BD385" t="s">
        <v>73</v>
      </c>
    </row>
    <row r="386" spans="1:56" x14ac:dyDescent="0.35">
      <c r="A386">
        <v>78591</v>
      </c>
      <c r="B386" t="s">
        <v>555</v>
      </c>
      <c r="D386" t="s">
        <v>85</v>
      </c>
      <c r="E386">
        <v>98</v>
      </c>
      <c r="F386" t="s">
        <v>58</v>
      </c>
      <c r="G386" t="s">
        <v>59</v>
      </c>
      <c r="H386" t="s">
        <v>60</v>
      </c>
      <c r="J386">
        <v>30</v>
      </c>
      <c r="K386" t="s">
        <v>61</v>
      </c>
      <c r="L386" t="s">
        <v>62</v>
      </c>
      <c r="M386" t="s">
        <v>63</v>
      </c>
      <c r="N386" t="s">
        <v>64</v>
      </c>
      <c r="P386" t="s">
        <v>65</v>
      </c>
      <c r="R386">
        <v>319</v>
      </c>
      <c r="T386">
        <v>285</v>
      </c>
      <c r="V386">
        <v>356</v>
      </c>
      <c r="W386" t="s">
        <v>66</v>
      </c>
      <c r="X386" t="s">
        <v>67</v>
      </c>
      <c r="Y386" t="s">
        <v>67</v>
      </c>
      <c r="Z386" t="s">
        <v>68</v>
      </c>
      <c r="AB386">
        <v>4</v>
      </c>
      <c r="AC386" t="s">
        <v>61</v>
      </c>
      <c r="AJ386" t="s">
        <v>69</v>
      </c>
      <c r="AY386" t="s">
        <v>309</v>
      </c>
      <c r="AZ386">
        <v>17138</v>
      </c>
      <c r="BA386" t="s">
        <v>310</v>
      </c>
      <c r="BB386" t="s">
        <v>311</v>
      </c>
      <c r="BC386">
        <v>1991</v>
      </c>
      <c r="BD386" t="s">
        <v>73</v>
      </c>
    </row>
    <row r="387" spans="1:56" x14ac:dyDescent="0.35">
      <c r="A387">
        <v>78591</v>
      </c>
      <c r="B387" t="s">
        <v>555</v>
      </c>
      <c r="D387" t="s">
        <v>57</v>
      </c>
      <c r="E387">
        <v>98</v>
      </c>
      <c r="F387" t="s">
        <v>58</v>
      </c>
      <c r="G387" t="s">
        <v>59</v>
      </c>
      <c r="H387" t="s">
        <v>60</v>
      </c>
      <c r="J387">
        <v>30</v>
      </c>
      <c r="K387" t="s">
        <v>61</v>
      </c>
      <c r="L387" t="s">
        <v>62</v>
      </c>
      <c r="M387" t="s">
        <v>63</v>
      </c>
      <c r="N387" t="s">
        <v>64</v>
      </c>
      <c r="P387" t="s">
        <v>65</v>
      </c>
      <c r="R387">
        <v>240</v>
      </c>
      <c r="T387">
        <v>213</v>
      </c>
      <c r="V387">
        <v>271</v>
      </c>
      <c r="W387" t="s">
        <v>66</v>
      </c>
      <c r="X387" t="s">
        <v>67</v>
      </c>
      <c r="Y387" t="s">
        <v>67</v>
      </c>
      <c r="Z387" t="s">
        <v>68</v>
      </c>
      <c r="AB387">
        <v>4</v>
      </c>
      <c r="AC387" t="s">
        <v>61</v>
      </c>
      <c r="AJ387" t="s">
        <v>69</v>
      </c>
      <c r="AY387" t="s">
        <v>309</v>
      </c>
      <c r="AZ387">
        <v>17138</v>
      </c>
      <c r="BA387" t="s">
        <v>310</v>
      </c>
      <c r="BB387" t="s">
        <v>311</v>
      </c>
      <c r="BC387">
        <v>1991</v>
      </c>
      <c r="BD387" t="s">
        <v>73</v>
      </c>
    </row>
    <row r="388" spans="1:56" x14ac:dyDescent="0.35">
      <c r="A388">
        <v>78591</v>
      </c>
      <c r="B388" t="s">
        <v>555</v>
      </c>
      <c r="D388" t="s">
        <v>57</v>
      </c>
      <c r="E388">
        <v>100</v>
      </c>
      <c r="F388" t="s">
        <v>58</v>
      </c>
      <c r="G388" t="s">
        <v>59</v>
      </c>
      <c r="H388" t="s">
        <v>60</v>
      </c>
      <c r="J388">
        <v>3</v>
      </c>
      <c r="K388" t="s">
        <v>196</v>
      </c>
      <c r="L388" t="s">
        <v>74</v>
      </c>
      <c r="M388" t="s">
        <v>63</v>
      </c>
      <c r="N388" t="s">
        <v>64</v>
      </c>
      <c r="P388" t="s">
        <v>65</v>
      </c>
      <c r="R388">
        <v>145</v>
      </c>
      <c r="T388">
        <v>132</v>
      </c>
      <c r="V388">
        <v>159</v>
      </c>
      <c r="W388" t="s">
        <v>66</v>
      </c>
      <c r="X388" t="s">
        <v>67</v>
      </c>
      <c r="Y388" t="s">
        <v>67</v>
      </c>
      <c r="Z388" t="s">
        <v>68</v>
      </c>
      <c r="AB388">
        <v>4</v>
      </c>
      <c r="AC388" t="s">
        <v>61</v>
      </c>
      <c r="AJ388" t="s">
        <v>69</v>
      </c>
      <c r="AY388" t="s">
        <v>559</v>
      </c>
      <c r="AZ388">
        <v>15152</v>
      </c>
      <c r="BA388" t="s">
        <v>560</v>
      </c>
      <c r="BB388" t="s">
        <v>561</v>
      </c>
      <c r="BC388">
        <v>1982</v>
      </c>
      <c r="BD388" t="s">
        <v>200</v>
      </c>
    </row>
    <row r="389" spans="1:56" x14ac:dyDescent="0.35">
      <c r="A389">
        <v>78795</v>
      </c>
      <c r="B389" t="s">
        <v>566</v>
      </c>
      <c r="D389" t="s">
        <v>85</v>
      </c>
      <c r="E389" t="s">
        <v>86</v>
      </c>
      <c r="F389" t="s">
        <v>58</v>
      </c>
      <c r="G389" t="s">
        <v>59</v>
      </c>
      <c r="H389" t="s">
        <v>60</v>
      </c>
      <c r="J389">
        <v>1</v>
      </c>
      <c r="K389" t="s">
        <v>61</v>
      </c>
      <c r="L389" t="s">
        <v>62</v>
      </c>
      <c r="M389" t="s">
        <v>63</v>
      </c>
      <c r="N389" t="s">
        <v>64</v>
      </c>
      <c r="P389" t="s">
        <v>100</v>
      </c>
      <c r="R389">
        <v>77</v>
      </c>
      <c r="W389" t="s">
        <v>66</v>
      </c>
      <c r="X389" t="s">
        <v>67</v>
      </c>
      <c r="Y389" t="s">
        <v>67</v>
      </c>
      <c r="Z389" t="s">
        <v>68</v>
      </c>
      <c r="AB389">
        <v>4</v>
      </c>
      <c r="AC389" t="s">
        <v>61</v>
      </c>
      <c r="AJ389" t="s">
        <v>69</v>
      </c>
      <c r="AY389" t="s">
        <v>168</v>
      </c>
      <c r="AZ389">
        <v>728</v>
      </c>
      <c r="BA389" t="s">
        <v>426</v>
      </c>
      <c r="BB389" t="s">
        <v>427</v>
      </c>
      <c r="BC389">
        <v>1966</v>
      </c>
      <c r="BD389" t="s">
        <v>73</v>
      </c>
    </row>
    <row r="390" spans="1:56" x14ac:dyDescent="0.35">
      <c r="A390">
        <v>78795</v>
      </c>
      <c r="B390" t="s">
        <v>566</v>
      </c>
      <c r="D390" t="s">
        <v>85</v>
      </c>
      <c r="E390" t="s">
        <v>86</v>
      </c>
      <c r="F390" t="s">
        <v>58</v>
      </c>
      <c r="G390" t="s">
        <v>59</v>
      </c>
      <c r="H390" t="s">
        <v>60</v>
      </c>
      <c r="J390" t="s">
        <v>86</v>
      </c>
      <c r="L390" t="s">
        <v>62</v>
      </c>
      <c r="M390" t="s">
        <v>63</v>
      </c>
      <c r="N390" t="s">
        <v>64</v>
      </c>
      <c r="P390" t="s">
        <v>100</v>
      </c>
      <c r="R390">
        <v>74.83</v>
      </c>
      <c r="T390">
        <v>58.75</v>
      </c>
      <c r="V390">
        <v>95.32</v>
      </c>
      <c r="W390" t="s">
        <v>66</v>
      </c>
      <c r="X390" t="s">
        <v>67</v>
      </c>
      <c r="Y390" t="s">
        <v>67</v>
      </c>
      <c r="Z390" t="s">
        <v>68</v>
      </c>
      <c r="AB390">
        <v>4</v>
      </c>
      <c r="AC390" t="s">
        <v>61</v>
      </c>
      <c r="AJ390" t="s">
        <v>69</v>
      </c>
      <c r="AY390" t="s">
        <v>168</v>
      </c>
      <c r="AZ390">
        <v>728</v>
      </c>
      <c r="BA390" t="s">
        <v>426</v>
      </c>
      <c r="BB390" t="s">
        <v>427</v>
      </c>
      <c r="BC390">
        <v>1966</v>
      </c>
      <c r="BD390" t="s">
        <v>90</v>
      </c>
    </row>
    <row r="391" spans="1:56" x14ac:dyDescent="0.35">
      <c r="A391">
        <v>78795</v>
      </c>
      <c r="B391" t="s">
        <v>566</v>
      </c>
      <c r="D391" t="s">
        <v>85</v>
      </c>
      <c r="E391" t="s">
        <v>86</v>
      </c>
      <c r="F391" t="s">
        <v>58</v>
      </c>
      <c r="G391" t="s">
        <v>59</v>
      </c>
      <c r="H391" t="s">
        <v>60</v>
      </c>
      <c r="J391" t="s">
        <v>86</v>
      </c>
      <c r="L391" t="s">
        <v>62</v>
      </c>
      <c r="M391" t="s">
        <v>63</v>
      </c>
      <c r="N391" t="s">
        <v>64</v>
      </c>
      <c r="P391" t="s">
        <v>100</v>
      </c>
      <c r="R391">
        <v>86.51</v>
      </c>
      <c r="T391">
        <v>74.19</v>
      </c>
      <c r="V391">
        <v>97.96</v>
      </c>
      <c r="W391" t="s">
        <v>66</v>
      </c>
      <c r="X391" t="s">
        <v>67</v>
      </c>
      <c r="Y391" t="s">
        <v>67</v>
      </c>
      <c r="Z391" t="s">
        <v>68</v>
      </c>
      <c r="AB391">
        <v>4</v>
      </c>
      <c r="AC391" t="s">
        <v>61</v>
      </c>
      <c r="AJ391" t="s">
        <v>69</v>
      </c>
      <c r="AY391" t="s">
        <v>168</v>
      </c>
      <c r="AZ391">
        <v>728</v>
      </c>
      <c r="BA391" t="s">
        <v>426</v>
      </c>
      <c r="BB391" t="s">
        <v>427</v>
      </c>
      <c r="BC391">
        <v>1966</v>
      </c>
      <c r="BD391" t="s">
        <v>90</v>
      </c>
    </row>
    <row r="392" spans="1:56" x14ac:dyDescent="0.35">
      <c r="A392">
        <v>78795</v>
      </c>
      <c r="B392" t="s">
        <v>566</v>
      </c>
      <c r="D392" t="s">
        <v>85</v>
      </c>
      <c r="E392" t="s">
        <v>86</v>
      </c>
      <c r="F392" t="s">
        <v>58</v>
      </c>
      <c r="G392" t="s">
        <v>59</v>
      </c>
      <c r="H392" t="s">
        <v>60</v>
      </c>
      <c r="I392" t="s">
        <v>211</v>
      </c>
      <c r="J392" t="s">
        <v>86</v>
      </c>
      <c r="L392" t="s">
        <v>62</v>
      </c>
      <c r="M392" t="s">
        <v>63</v>
      </c>
      <c r="N392" t="s">
        <v>64</v>
      </c>
      <c r="P392" t="s">
        <v>100</v>
      </c>
      <c r="R392">
        <v>75</v>
      </c>
      <c r="W392" t="s">
        <v>66</v>
      </c>
      <c r="X392" t="s">
        <v>67</v>
      </c>
      <c r="Y392" t="s">
        <v>67</v>
      </c>
      <c r="Z392" t="s">
        <v>68</v>
      </c>
      <c r="AB392">
        <v>4</v>
      </c>
      <c r="AC392" t="s">
        <v>61</v>
      </c>
      <c r="AJ392" t="s">
        <v>69</v>
      </c>
      <c r="AY392" t="s">
        <v>168</v>
      </c>
      <c r="AZ392">
        <v>728</v>
      </c>
      <c r="BA392" t="s">
        <v>426</v>
      </c>
      <c r="BB392" t="s">
        <v>427</v>
      </c>
      <c r="BC392">
        <v>1966</v>
      </c>
      <c r="BD392" t="s">
        <v>90</v>
      </c>
    </row>
    <row r="393" spans="1:56" x14ac:dyDescent="0.35">
      <c r="A393">
        <v>78795</v>
      </c>
      <c r="B393" t="s">
        <v>566</v>
      </c>
      <c r="D393" t="s">
        <v>85</v>
      </c>
      <c r="E393" t="s">
        <v>86</v>
      </c>
      <c r="F393" t="s">
        <v>58</v>
      </c>
      <c r="G393" t="s">
        <v>59</v>
      </c>
      <c r="H393" t="s">
        <v>60</v>
      </c>
      <c r="J393">
        <v>10</v>
      </c>
      <c r="K393" t="s">
        <v>61</v>
      </c>
      <c r="L393" t="s">
        <v>62</v>
      </c>
      <c r="M393" t="s">
        <v>63</v>
      </c>
      <c r="N393" t="s">
        <v>64</v>
      </c>
      <c r="P393" t="s">
        <v>100</v>
      </c>
      <c r="R393">
        <v>78</v>
      </c>
      <c r="W393" t="s">
        <v>66</v>
      </c>
      <c r="X393" t="s">
        <v>67</v>
      </c>
      <c r="Y393" t="s">
        <v>67</v>
      </c>
      <c r="Z393" t="s">
        <v>68</v>
      </c>
      <c r="AB393">
        <v>4</v>
      </c>
      <c r="AC393" t="s">
        <v>61</v>
      </c>
      <c r="AJ393" t="s">
        <v>69</v>
      </c>
      <c r="AY393" t="s">
        <v>168</v>
      </c>
      <c r="AZ393">
        <v>728</v>
      </c>
      <c r="BA393" t="s">
        <v>426</v>
      </c>
      <c r="BB393" t="s">
        <v>427</v>
      </c>
      <c r="BC393">
        <v>1966</v>
      </c>
      <c r="BD393" t="s">
        <v>73</v>
      </c>
    </row>
    <row r="394" spans="1:56" x14ac:dyDescent="0.35">
      <c r="A394">
        <v>78795</v>
      </c>
      <c r="B394" t="s">
        <v>566</v>
      </c>
      <c r="D394" t="s">
        <v>85</v>
      </c>
      <c r="E394" t="s">
        <v>86</v>
      </c>
      <c r="F394" t="s">
        <v>58</v>
      </c>
      <c r="G394" t="s">
        <v>59</v>
      </c>
      <c r="H394" t="s">
        <v>60</v>
      </c>
      <c r="J394">
        <v>1</v>
      </c>
      <c r="K394" t="s">
        <v>61</v>
      </c>
      <c r="L394" t="s">
        <v>62</v>
      </c>
      <c r="M394" t="s">
        <v>63</v>
      </c>
      <c r="N394" t="s">
        <v>64</v>
      </c>
      <c r="P394" t="s">
        <v>100</v>
      </c>
      <c r="R394">
        <v>75</v>
      </c>
      <c r="W394" t="s">
        <v>66</v>
      </c>
      <c r="X394" t="s">
        <v>67</v>
      </c>
      <c r="Y394" t="s">
        <v>67</v>
      </c>
      <c r="Z394" t="s">
        <v>68</v>
      </c>
      <c r="AB394">
        <v>4</v>
      </c>
      <c r="AC394" t="s">
        <v>61</v>
      </c>
      <c r="AJ394" t="s">
        <v>69</v>
      </c>
      <c r="AY394" t="s">
        <v>168</v>
      </c>
      <c r="AZ394">
        <v>728</v>
      </c>
      <c r="BA394" t="s">
        <v>426</v>
      </c>
      <c r="BB394" t="s">
        <v>427</v>
      </c>
      <c r="BC394">
        <v>1966</v>
      </c>
      <c r="BD394" t="s">
        <v>73</v>
      </c>
    </row>
    <row r="395" spans="1:56" x14ac:dyDescent="0.35">
      <c r="A395">
        <v>78795</v>
      </c>
      <c r="B395" t="s">
        <v>566</v>
      </c>
      <c r="D395" t="s">
        <v>85</v>
      </c>
      <c r="E395" t="s">
        <v>86</v>
      </c>
      <c r="F395" t="s">
        <v>58</v>
      </c>
      <c r="G395" t="s">
        <v>59</v>
      </c>
      <c r="H395" t="s">
        <v>60</v>
      </c>
      <c r="J395">
        <v>2</v>
      </c>
      <c r="K395" t="s">
        <v>61</v>
      </c>
      <c r="L395" t="s">
        <v>62</v>
      </c>
      <c r="M395" t="s">
        <v>63</v>
      </c>
      <c r="N395" t="s">
        <v>64</v>
      </c>
      <c r="P395" t="s">
        <v>100</v>
      </c>
      <c r="R395">
        <v>75</v>
      </c>
      <c r="W395" t="s">
        <v>66</v>
      </c>
      <c r="X395" t="s">
        <v>67</v>
      </c>
      <c r="Y395" t="s">
        <v>67</v>
      </c>
      <c r="Z395" t="s">
        <v>68</v>
      </c>
      <c r="AB395">
        <v>4</v>
      </c>
      <c r="AC395" t="s">
        <v>61</v>
      </c>
      <c r="AJ395" t="s">
        <v>69</v>
      </c>
      <c r="AY395" t="s">
        <v>168</v>
      </c>
      <c r="AZ395">
        <v>728</v>
      </c>
      <c r="BA395" t="s">
        <v>426</v>
      </c>
      <c r="BB395" t="s">
        <v>427</v>
      </c>
      <c r="BC395">
        <v>1966</v>
      </c>
      <c r="BD395" t="s">
        <v>73</v>
      </c>
    </row>
    <row r="396" spans="1:56" x14ac:dyDescent="0.35">
      <c r="A396">
        <v>78795</v>
      </c>
      <c r="B396" t="s">
        <v>566</v>
      </c>
      <c r="D396" t="s">
        <v>85</v>
      </c>
      <c r="E396" t="s">
        <v>86</v>
      </c>
      <c r="F396" t="s">
        <v>58</v>
      </c>
      <c r="G396" t="s">
        <v>59</v>
      </c>
      <c r="H396" t="s">
        <v>60</v>
      </c>
      <c r="J396">
        <v>1</v>
      </c>
      <c r="K396" t="s">
        <v>61</v>
      </c>
      <c r="L396" t="s">
        <v>62</v>
      </c>
      <c r="M396" t="s">
        <v>63</v>
      </c>
      <c r="N396" t="s">
        <v>64</v>
      </c>
      <c r="P396" t="s">
        <v>100</v>
      </c>
      <c r="R396">
        <v>85</v>
      </c>
      <c r="W396" t="s">
        <v>66</v>
      </c>
      <c r="X396" t="s">
        <v>67</v>
      </c>
      <c r="Y396" t="s">
        <v>67</v>
      </c>
      <c r="Z396" t="s">
        <v>68</v>
      </c>
      <c r="AB396">
        <v>4</v>
      </c>
      <c r="AC396" t="s">
        <v>61</v>
      </c>
      <c r="AJ396" t="s">
        <v>69</v>
      </c>
      <c r="AY396" t="s">
        <v>168</v>
      </c>
      <c r="AZ396">
        <v>728</v>
      </c>
      <c r="BA396" t="s">
        <v>426</v>
      </c>
      <c r="BB396" t="s">
        <v>427</v>
      </c>
      <c r="BC396">
        <v>1966</v>
      </c>
      <c r="BD396" t="s">
        <v>73</v>
      </c>
    </row>
    <row r="397" spans="1:56" x14ac:dyDescent="0.35">
      <c r="A397">
        <v>78795</v>
      </c>
      <c r="B397" t="s">
        <v>566</v>
      </c>
      <c r="D397" t="s">
        <v>85</v>
      </c>
      <c r="E397" t="s">
        <v>86</v>
      </c>
      <c r="F397" t="s">
        <v>58</v>
      </c>
      <c r="G397" t="s">
        <v>59</v>
      </c>
      <c r="H397" t="s">
        <v>60</v>
      </c>
      <c r="J397">
        <v>10</v>
      </c>
      <c r="K397" t="s">
        <v>61</v>
      </c>
      <c r="L397" t="s">
        <v>62</v>
      </c>
      <c r="M397" t="s">
        <v>63</v>
      </c>
      <c r="N397" t="s">
        <v>64</v>
      </c>
      <c r="P397" t="s">
        <v>100</v>
      </c>
      <c r="R397">
        <v>75</v>
      </c>
      <c r="W397" t="s">
        <v>66</v>
      </c>
      <c r="X397" t="s">
        <v>67</v>
      </c>
      <c r="Y397" t="s">
        <v>67</v>
      </c>
      <c r="Z397" t="s">
        <v>68</v>
      </c>
      <c r="AB397">
        <v>4</v>
      </c>
      <c r="AC397" t="s">
        <v>61</v>
      </c>
      <c r="AJ397" t="s">
        <v>69</v>
      </c>
      <c r="AY397" t="s">
        <v>168</v>
      </c>
      <c r="AZ397">
        <v>728</v>
      </c>
      <c r="BA397" t="s">
        <v>426</v>
      </c>
      <c r="BB397" t="s">
        <v>427</v>
      </c>
      <c r="BC397">
        <v>1966</v>
      </c>
      <c r="BD397" t="s">
        <v>73</v>
      </c>
    </row>
    <row r="398" spans="1:56" x14ac:dyDescent="0.35">
      <c r="A398">
        <v>78795</v>
      </c>
      <c r="B398" t="s">
        <v>566</v>
      </c>
      <c r="D398" t="s">
        <v>85</v>
      </c>
      <c r="E398" t="s">
        <v>86</v>
      </c>
      <c r="F398" t="s">
        <v>58</v>
      </c>
      <c r="G398" t="s">
        <v>59</v>
      </c>
      <c r="H398" t="s">
        <v>60</v>
      </c>
      <c r="J398">
        <v>1</v>
      </c>
      <c r="K398" t="s">
        <v>61</v>
      </c>
      <c r="L398" t="s">
        <v>62</v>
      </c>
      <c r="M398" t="s">
        <v>63</v>
      </c>
      <c r="N398" t="s">
        <v>64</v>
      </c>
      <c r="P398" t="s">
        <v>100</v>
      </c>
      <c r="R398">
        <v>80</v>
      </c>
      <c r="W398" t="s">
        <v>66</v>
      </c>
      <c r="X398" t="s">
        <v>67</v>
      </c>
      <c r="Y398" t="s">
        <v>67</v>
      </c>
      <c r="Z398" t="s">
        <v>68</v>
      </c>
      <c r="AB398">
        <v>4</v>
      </c>
      <c r="AC398" t="s">
        <v>61</v>
      </c>
      <c r="AJ398" t="s">
        <v>69</v>
      </c>
      <c r="AY398" t="s">
        <v>168</v>
      </c>
      <c r="AZ398">
        <v>728</v>
      </c>
      <c r="BA398" t="s">
        <v>426</v>
      </c>
      <c r="BB398" t="s">
        <v>427</v>
      </c>
      <c r="BC398">
        <v>1966</v>
      </c>
      <c r="BD398" t="s">
        <v>73</v>
      </c>
    </row>
    <row r="399" spans="1:56" x14ac:dyDescent="0.35">
      <c r="A399">
        <v>78795</v>
      </c>
      <c r="B399" t="s">
        <v>566</v>
      </c>
      <c r="D399" t="s">
        <v>85</v>
      </c>
      <c r="E399" t="s">
        <v>86</v>
      </c>
      <c r="F399" t="s">
        <v>58</v>
      </c>
      <c r="G399" t="s">
        <v>59</v>
      </c>
      <c r="H399" t="s">
        <v>60</v>
      </c>
      <c r="I399" t="s">
        <v>211</v>
      </c>
      <c r="J399" t="s">
        <v>86</v>
      </c>
      <c r="L399" t="s">
        <v>62</v>
      </c>
      <c r="M399" t="s">
        <v>63</v>
      </c>
      <c r="N399" t="s">
        <v>64</v>
      </c>
      <c r="P399" t="s">
        <v>100</v>
      </c>
      <c r="R399">
        <v>75</v>
      </c>
      <c r="W399" t="s">
        <v>66</v>
      </c>
      <c r="X399" t="s">
        <v>67</v>
      </c>
      <c r="Y399" t="s">
        <v>67</v>
      </c>
      <c r="Z399" t="s">
        <v>68</v>
      </c>
      <c r="AB399">
        <v>4</v>
      </c>
      <c r="AC399" t="s">
        <v>61</v>
      </c>
      <c r="AJ399" t="s">
        <v>69</v>
      </c>
      <c r="AY399" t="s">
        <v>168</v>
      </c>
      <c r="AZ399">
        <v>728</v>
      </c>
      <c r="BA399" t="s">
        <v>426</v>
      </c>
      <c r="BB399" t="s">
        <v>427</v>
      </c>
      <c r="BC399">
        <v>1966</v>
      </c>
      <c r="BD399" t="s">
        <v>90</v>
      </c>
    </row>
    <row r="400" spans="1:56" x14ac:dyDescent="0.35">
      <c r="A400">
        <v>78795</v>
      </c>
      <c r="B400" t="s">
        <v>566</v>
      </c>
      <c r="D400" t="s">
        <v>85</v>
      </c>
      <c r="E400" t="s">
        <v>86</v>
      </c>
      <c r="F400" t="s">
        <v>58</v>
      </c>
      <c r="G400" t="s">
        <v>59</v>
      </c>
      <c r="H400" t="s">
        <v>60</v>
      </c>
      <c r="J400">
        <v>2</v>
      </c>
      <c r="K400" t="s">
        <v>61</v>
      </c>
      <c r="L400" t="s">
        <v>62</v>
      </c>
      <c r="M400" t="s">
        <v>63</v>
      </c>
      <c r="N400" t="s">
        <v>64</v>
      </c>
      <c r="P400" t="s">
        <v>100</v>
      </c>
      <c r="R400">
        <v>80</v>
      </c>
      <c r="W400" t="s">
        <v>66</v>
      </c>
      <c r="X400" t="s">
        <v>67</v>
      </c>
      <c r="Y400" t="s">
        <v>67</v>
      </c>
      <c r="Z400" t="s">
        <v>68</v>
      </c>
      <c r="AB400">
        <v>4</v>
      </c>
      <c r="AC400" t="s">
        <v>61</v>
      </c>
      <c r="AJ400" t="s">
        <v>69</v>
      </c>
      <c r="AY400" t="s">
        <v>168</v>
      </c>
      <c r="AZ400">
        <v>728</v>
      </c>
      <c r="BA400" t="s">
        <v>426</v>
      </c>
      <c r="BB400" t="s">
        <v>427</v>
      </c>
      <c r="BC400">
        <v>1966</v>
      </c>
      <c r="BD400" t="s">
        <v>73</v>
      </c>
    </row>
    <row r="401" spans="1:56" x14ac:dyDescent="0.35">
      <c r="A401">
        <v>78831</v>
      </c>
      <c r="B401" t="s">
        <v>567</v>
      </c>
      <c r="D401" t="s">
        <v>57</v>
      </c>
      <c r="E401">
        <v>99</v>
      </c>
      <c r="F401" t="s">
        <v>58</v>
      </c>
      <c r="G401" t="s">
        <v>59</v>
      </c>
      <c r="H401" t="s">
        <v>60</v>
      </c>
      <c r="J401">
        <v>30</v>
      </c>
      <c r="K401" t="s">
        <v>61</v>
      </c>
      <c r="L401" t="s">
        <v>74</v>
      </c>
      <c r="M401" t="s">
        <v>63</v>
      </c>
      <c r="N401" t="s">
        <v>64</v>
      </c>
      <c r="P401" t="s">
        <v>65</v>
      </c>
      <c r="R401">
        <v>1430</v>
      </c>
      <c r="T401">
        <v>1370</v>
      </c>
      <c r="V401">
        <v>1490</v>
      </c>
      <c r="W401" t="s">
        <v>66</v>
      </c>
      <c r="X401" t="s">
        <v>67</v>
      </c>
      <c r="Y401" t="s">
        <v>67</v>
      </c>
      <c r="Z401" t="s">
        <v>68</v>
      </c>
      <c r="AB401">
        <v>4</v>
      </c>
      <c r="AC401" t="s">
        <v>61</v>
      </c>
      <c r="AJ401" t="s">
        <v>69</v>
      </c>
      <c r="AY401" t="s">
        <v>286</v>
      </c>
      <c r="AZ401">
        <v>12448</v>
      </c>
      <c r="BA401" t="s">
        <v>287</v>
      </c>
      <c r="BB401" t="s">
        <v>288</v>
      </c>
      <c r="BC401">
        <v>1984</v>
      </c>
      <c r="BD401" t="s">
        <v>73</v>
      </c>
    </row>
    <row r="402" spans="1:56" x14ac:dyDescent="0.35">
      <c r="A402">
        <v>78831</v>
      </c>
      <c r="B402" t="s">
        <v>567</v>
      </c>
      <c r="E402" t="s">
        <v>407</v>
      </c>
      <c r="F402" t="s">
        <v>58</v>
      </c>
      <c r="G402" t="s">
        <v>59</v>
      </c>
      <c r="H402" t="s">
        <v>60</v>
      </c>
      <c r="J402" t="s">
        <v>86</v>
      </c>
      <c r="L402" t="s">
        <v>74</v>
      </c>
      <c r="M402" t="s">
        <v>63</v>
      </c>
      <c r="P402" t="s">
        <v>65</v>
      </c>
      <c r="R402">
        <v>1513.5875759999999</v>
      </c>
      <c r="W402" t="s">
        <v>66</v>
      </c>
      <c r="X402" t="s">
        <v>67</v>
      </c>
      <c r="Y402" t="s">
        <v>67</v>
      </c>
      <c r="Z402" t="s">
        <v>68</v>
      </c>
      <c r="AB402">
        <v>4</v>
      </c>
      <c r="AC402" t="s">
        <v>61</v>
      </c>
      <c r="AJ402" t="s">
        <v>69</v>
      </c>
      <c r="AY402" t="s">
        <v>408</v>
      </c>
      <c r="AZ402">
        <v>5876</v>
      </c>
      <c r="BA402" t="s">
        <v>409</v>
      </c>
      <c r="BB402" t="s">
        <v>410</v>
      </c>
      <c r="BC402">
        <v>1988</v>
      </c>
      <c r="BD402" t="s">
        <v>90</v>
      </c>
    </row>
    <row r="403" spans="1:56" x14ac:dyDescent="0.35">
      <c r="A403">
        <v>78831</v>
      </c>
      <c r="B403" t="s">
        <v>567</v>
      </c>
      <c r="D403" t="s">
        <v>57</v>
      </c>
      <c r="E403" t="s">
        <v>86</v>
      </c>
      <c r="F403" t="s">
        <v>58</v>
      </c>
      <c r="G403" t="s">
        <v>59</v>
      </c>
      <c r="H403" t="s">
        <v>60</v>
      </c>
      <c r="J403" t="s">
        <v>86</v>
      </c>
      <c r="L403" t="s">
        <v>74</v>
      </c>
      <c r="M403" t="s">
        <v>63</v>
      </c>
      <c r="N403" t="s">
        <v>64</v>
      </c>
      <c r="P403" t="s">
        <v>65</v>
      </c>
      <c r="R403">
        <v>1510</v>
      </c>
      <c r="T403">
        <v>1370</v>
      </c>
      <c r="V403">
        <v>1670</v>
      </c>
      <c r="W403" t="s">
        <v>66</v>
      </c>
      <c r="X403" t="s">
        <v>67</v>
      </c>
      <c r="Y403" t="s">
        <v>67</v>
      </c>
      <c r="Z403" t="s">
        <v>68</v>
      </c>
      <c r="AB403">
        <v>4</v>
      </c>
      <c r="AC403" t="s">
        <v>61</v>
      </c>
      <c r="AJ403" t="s">
        <v>69</v>
      </c>
      <c r="AY403" t="s">
        <v>401</v>
      </c>
      <c r="AZ403">
        <v>12004</v>
      </c>
      <c r="BA403" t="s">
        <v>402</v>
      </c>
      <c r="BB403" t="s">
        <v>403</v>
      </c>
      <c r="BC403">
        <v>1985</v>
      </c>
      <c r="BD403" t="s">
        <v>90</v>
      </c>
    </row>
    <row r="404" spans="1:56" x14ac:dyDescent="0.35">
      <c r="A404">
        <v>78875</v>
      </c>
      <c r="B404" t="s">
        <v>568</v>
      </c>
      <c r="D404" t="s">
        <v>57</v>
      </c>
      <c r="E404">
        <v>99</v>
      </c>
      <c r="F404" t="s">
        <v>58</v>
      </c>
      <c r="G404" t="s">
        <v>59</v>
      </c>
      <c r="H404" t="s">
        <v>60</v>
      </c>
      <c r="J404">
        <v>31</v>
      </c>
      <c r="K404" t="s">
        <v>61</v>
      </c>
      <c r="L404" t="s">
        <v>74</v>
      </c>
      <c r="M404" t="s">
        <v>63</v>
      </c>
      <c r="N404" t="s">
        <v>64</v>
      </c>
      <c r="O404">
        <v>6</v>
      </c>
      <c r="P404" t="s">
        <v>65</v>
      </c>
      <c r="R404">
        <v>127</v>
      </c>
      <c r="T404">
        <v>119</v>
      </c>
      <c r="V404">
        <v>135</v>
      </c>
      <c r="W404" t="s">
        <v>66</v>
      </c>
      <c r="X404" t="s">
        <v>67</v>
      </c>
      <c r="Y404" t="s">
        <v>67</v>
      </c>
      <c r="Z404" t="s">
        <v>68</v>
      </c>
      <c r="AB404">
        <v>4</v>
      </c>
      <c r="AC404" t="s">
        <v>61</v>
      </c>
      <c r="AJ404" t="s">
        <v>69</v>
      </c>
      <c r="AY404" t="s">
        <v>141</v>
      </c>
      <c r="AZ404">
        <v>12447</v>
      </c>
      <c r="BA404" t="s">
        <v>142</v>
      </c>
      <c r="BB404" t="s">
        <v>143</v>
      </c>
      <c r="BC404">
        <v>1985</v>
      </c>
      <c r="BD404" t="s">
        <v>73</v>
      </c>
    </row>
    <row r="405" spans="1:56" x14ac:dyDescent="0.35">
      <c r="A405">
        <v>78875</v>
      </c>
      <c r="B405" t="s">
        <v>568</v>
      </c>
      <c r="D405" t="s">
        <v>57</v>
      </c>
      <c r="E405" t="s">
        <v>86</v>
      </c>
      <c r="F405" t="s">
        <v>58</v>
      </c>
      <c r="G405" t="s">
        <v>59</v>
      </c>
      <c r="H405" t="s">
        <v>60</v>
      </c>
      <c r="J405" t="s">
        <v>86</v>
      </c>
      <c r="K405" t="s">
        <v>61</v>
      </c>
      <c r="L405" t="s">
        <v>74</v>
      </c>
      <c r="M405" t="s">
        <v>63</v>
      </c>
      <c r="N405" t="s">
        <v>64</v>
      </c>
      <c r="P405" t="s">
        <v>65</v>
      </c>
      <c r="R405">
        <v>140</v>
      </c>
      <c r="T405">
        <v>131</v>
      </c>
      <c r="V405">
        <v>150</v>
      </c>
      <c r="W405" t="s">
        <v>66</v>
      </c>
      <c r="X405" t="s">
        <v>67</v>
      </c>
      <c r="Y405" t="s">
        <v>67</v>
      </c>
      <c r="Z405" t="s">
        <v>68</v>
      </c>
      <c r="AB405">
        <v>4</v>
      </c>
      <c r="AC405" t="s">
        <v>61</v>
      </c>
      <c r="AJ405" t="s">
        <v>69</v>
      </c>
      <c r="AY405" t="s">
        <v>404</v>
      </c>
      <c r="AZ405">
        <v>11227</v>
      </c>
      <c r="BA405" t="s">
        <v>405</v>
      </c>
      <c r="BB405" t="s">
        <v>406</v>
      </c>
      <c r="BC405">
        <v>1983</v>
      </c>
      <c r="BD405" t="s">
        <v>127</v>
      </c>
    </row>
    <row r="406" spans="1:56" x14ac:dyDescent="0.35">
      <c r="A406">
        <v>78900</v>
      </c>
      <c r="B406" t="s">
        <v>569</v>
      </c>
      <c r="D406" t="s">
        <v>57</v>
      </c>
      <c r="E406" t="s">
        <v>253</v>
      </c>
      <c r="F406" t="s">
        <v>58</v>
      </c>
      <c r="G406" t="s">
        <v>59</v>
      </c>
      <c r="H406" t="s">
        <v>60</v>
      </c>
      <c r="I406" t="s">
        <v>129</v>
      </c>
      <c r="J406" t="s">
        <v>86</v>
      </c>
      <c r="K406" t="s">
        <v>61</v>
      </c>
      <c r="L406" t="s">
        <v>74</v>
      </c>
      <c r="M406" t="s">
        <v>63</v>
      </c>
      <c r="N406" t="s">
        <v>64</v>
      </c>
      <c r="P406" t="s">
        <v>65</v>
      </c>
      <c r="R406">
        <v>1267</v>
      </c>
      <c r="W406" t="s">
        <v>66</v>
      </c>
      <c r="X406" t="s">
        <v>67</v>
      </c>
      <c r="Y406" t="s">
        <v>67</v>
      </c>
      <c r="Z406" t="s">
        <v>68</v>
      </c>
      <c r="AB406">
        <v>4</v>
      </c>
      <c r="AC406" t="s">
        <v>61</v>
      </c>
      <c r="AJ406" t="s">
        <v>69</v>
      </c>
      <c r="AY406" t="s">
        <v>134</v>
      </c>
      <c r="AZ406">
        <v>15031</v>
      </c>
      <c r="BA406" t="s">
        <v>135</v>
      </c>
      <c r="BB406" t="s">
        <v>136</v>
      </c>
      <c r="BC406">
        <v>1995</v>
      </c>
      <c r="BD406" t="s">
        <v>133</v>
      </c>
    </row>
    <row r="407" spans="1:56" x14ac:dyDescent="0.35">
      <c r="A407">
        <v>78900</v>
      </c>
      <c r="B407" t="s">
        <v>569</v>
      </c>
      <c r="D407" t="s">
        <v>57</v>
      </c>
      <c r="E407">
        <v>99</v>
      </c>
      <c r="F407" t="s">
        <v>58</v>
      </c>
      <c r="G407" t="s">
        <v>59</v>
      </c>
      <c r="H407" t="s">
        <v>60</v>
      </c>
      <c r="J407">
        <v>35</v>
      </c>
      <c r="K407" t="s">
        <v>61</v>
      </c>
      <c r="L407" t="s">
        <v>74</v>
      </c>
      <c r="M407" t="s">
        <v>63</v>
      </c>
      <c r="N407" t="s">
        <v>64</v>
      </c>
      <c r="P407" t="s">
        <v>65</v>
      </c>
      <c r="R407">
        <v>1010</v>
      </c>
      <c r="T407">
        <v>862</v>
      </c>
      <c r="V407">
        <v>1180</v>
      </c>
      <c r="W407" t="s">
        <v>66</v>
      </c>
      <c r="X407" t="s">
        <v>67</v>
      </c>
      <c r="Y407" t="s">
        <v>67</v>
      </c>
      <c r="Z407" t="s">
        <v>68</v>
      </c>
      <c r="AB407">
        <v>4</v>
      </c>
      <c r="AC407" t="s">
        <v>61</v>
      </c>
      <c r="AJ407" t="s">
        <v>69</v>
      </c>
      <c r="AY407" t="s">
        <v>286</v>
      </c>
      <c r="AZ407">
        <v>12448</v>
      </c>
      <c r="BA407" t="s">
        <v>287</v>
      </c>
      <c r="BB407" t="s">
        <v>288</v>
      </c>
      <c r="BC407">
        <v>1984</v>
      </c>
      <c r="BD407" t="s">
        <v>73</v>
      </c>
    </row>
    <row r="408" spans="1:56" x14ac:dyDescent="0.35">
      <c r="A408">
        <v>78922</v>
      </c>
      <c r="B408" t="s">
        <v>570</v>
      </c>
      <c r="D408" t="s">
        <v>57</v>
      </c>
      <c r="E408">
        <v>99</v>
      </c>
      <c r="F408" t="s">
        <v>58</v>
      </c>
      <c r="G408" t="s">
        <v>59</v>
      </c>
      <c r="H408" t="s">
        <v>60</v>
      </c>
      <c r="J408">
        <v>30</v>
      </c>
      <c r="K408" t="s">
        <v>61</v>
      </c>
      <c r="L408" t="s">
        <v>74</v>
      </c>
      <c r="M408" t="s">
        <v>63</v>
      </c>
      <c r="N408" t="s">
        <v>64</v>
      </c>
      <c r="P408" t="s">
        <v>65</v>
      </c>
      <c r="R408">
        <v>3670</v>
      </c>
      <c r="T408">
        <v>3380</v>
      </c>
      <c r="V408">
        <v>3990</v>
      </c>
      <c r="W408" t="s">
        <v>66</v>
      </c>
      <c r="X408" t="s">
        <v>67</v>
      </c>
      <c r="Y408" t="s">
        <v>67</v>
      </c>
      <c r="Z408" t="s">
        <v>68</v>
      </c>
      <c r="AB408">
        <v>4</v>
      </c>
      <c r="AC408" t="s">
        <v>61</v>
      </c>
      <c r="AJ408" t="s">
        <v>69</v>
      </c>
      <c r="AY408" t="s">
        <v>263</v>
      </c>
      <c r="AZ408">
        <v>12858</v>
      </c>
      <c r="BA408" t="s">
        <v>264</v>
      </c>
      <c r="BB408" t="s">
        <v>265</v>
      </c>
      <c r="BC408">
        <v>1986</v>
      </c>
      <c r="BD408" t="s">
        <v>73</v>
      </c>
    </row>
    <row r="409" spans="1:56" x14ac:dyDescent="0.35">
      <c r="A409">
        <v>78933</v>
      </c>
      <c r="B409" t="s">
        <v>571</v>
      </c>
      <c r="D409" t="s">
        <v>57</v>
      </c>
      <c r="E409" t="s">
        <v>79</v>
      </c>
      <c r="F409" t="s">
        <v>58</v>
      </c>
      <c r="G409" t="s">
        <v>59</v>
      </c>
      <c r="H409" t="s">
        <v>60</v>
      </c>
      <c r="J409">
        <v>31</v>
      </c>
      <c r="K409" t="s">
        <v>61</v>
      </c>
      <c r="L409" t="s">
        <v>74</v>
      </c>
      <c r="M409" t="s">
        <v>63</v>
      </c>
      <c r="N409" t="s">
        <v>64</v>
      </c>
      <c r="P409" t="s">
        <v>65</v>
      </c>
      <c r="R409">
        <v>3220</v>
      </c>
      <c r="T409">
        <v>3130</v>
      </c>
      <c r="V409">
        <v>3320</v>
      </c>
      <c r="W409" t="s">
        <v>66</v>
      </c>
      <c r="X409" t="s">
        <v>67</v>
      </c>
      <c r="Y409" t="s">
        <v>67</v>
      </c>
      <c r="Z409" t="s">
        <v>68</v>
      </c>
      <c r="AB409">
        <v>4</v>
      </c>
      <c r="AC409" t="s">
        <v>61</v>
      </c>
      <c r="AJ409" t="s">
        <v>69</v>
      </c>
      <c r="AY409" t="s">
        <v>286</v>
      </c>
      <c r="AZ409">
        <v>12448</v>
      </c>
      <c r="BA409" t="s">
        <v>287</v>
      </c>
      <c r="BB409" t="s">
        <v>288</v>
      </c>
      <c r="BC409">
        <v>1984</v>
      </c>
      <c r="BD409" t="s">
        <v>73</v>
      </c>
    </row>
    <row r="410" spans="1:56" x14ac:dyDescent="0.35">
      <c r="A410">
        <v>78966</v>
      </c>
      <c r="B410" t="s">
        <v>572</v>
      </c>
      <c r="D410" t="s">
        <v>85</v>
      </c>
      <c r="E410" t="s">
        <v>86</v>
      </c>
      <c r="F410" t="s">
        <v>58</v>
      </c>
      <c r="G410" t="s">
        <v>59</v>
      </c>
      <c r="H410" t="s">
        <v>60</v>
      </c>
      <c r="J410">
        <v>29</v>
      </c>
      <c r="K410" t="s">
        <v>61</v>
      </c>
      <c r="L410" t="s">
        <v>74</v>
      </c>
      <c r="M410" t="s">
        <v>63</v>
      </c>
      <c r="N410" t="s">
        <v>64</v>
      </c>
      <c r="O410">
        <v>6</v>
      </c>
      <c r="P410" t="s">
        <v>100</v>
      </c>
      <c r="R410">
        <v>327</v>
      </c>
      <c r="W410" t="s">
        <v>66</v>
      </c>
      <c r="X410" t="s">
        <v>67</v>
      </c>
      <c r="Y410" t="s">
        <v>67</v>
      </c>
      <c r="Z410" t="s">
        <v>68</v>
      </c>
      <c r="AB410">
        <v>4</v>
      </c>
      <c r="AC410" t="s">
        <v>61</v>
      </c>
      <c r="AJ410" t="s">
        <v>69</v>
      </c>
      <c r="AY410" t="s">
        <v>138</v>
      </c>
      <c r="AZ410">
        <v>120927</v>
      </c>
      <c r="BA410" t="s">
        <v>356</v>
      </c>
      <c r="BB410" t="s">
        <v>573</v>
      </c>
      <c r="BC410">
        <v>1980</v>
      </c>
      <c r="BD410" t="s">
        <v>73</v>
      </c>
    </row>
    <row r="411" spans="1:56" x14ac:dyDescent="0.35">
      <c r="A411">
        <v>78966</v>
      </c>
      <c r="B411" t="s">
        <v>572</v>
      </c>
      <c r="D411" t="s">
        <v>57</v>
      </c>
      <c r="E411">
        <v>95</v>
      </c>
      <c r="F411" t="s">
        <v>58</v>
      </c>
      <c r="G411" t="s">
        <v>59</v>
      </c>
      <c r="H411" t="s">
        <v>60</v>
      </c>
      <c r="J411">
        <v>30</v>
      </c>
      <c r="K411" t="s">
        <v>61</v>
      </c>
      <c r="L411" t="s">
        <v>74</v>
      </c>
      <c r="M411" t="s">
        <v>63</v>
      </c>
      <c r="N411" t="s">
        <v>64</v>
      </c>
      <c r="P411" t="s">
        <v>65</v>
      </c>
      <c r="R411">
        <v>2520</v>
      </c>
      <c r="T411">
        <v>2390</v>
      </c>
      <c r="V411">
        <v>2650</v>
      </c>
      <c r="W411" t="s">
        <v>66</v>
      </c>
      <c r="X411" t="s">
        <v>67</v>
      </c>
      <c r="Y411" t="s">
        <v>67</v>
      </c>
      <c r="Z411" t="s">
        <v>68</v>
      </c>
      <c r="AB411">
        <v>4</v>
      </c>
      <c r="AC411" t="s">
        <v>61</v>
      </c>
      <c r="AJ411" t="s">
        <v>69</v>
      </c>
      <c r="AY411" t="s">
        <v>286</v>
      </c>
      <c r="AZ411">
        <v>12448</v>
      </c>
      <c r="BA411" t="s">
        <v>287</v>
      </c>
      <c r="BB411" t="s">
        <v>288</v>
      </c>
      <c r="BC411">
        <v>1984</v>
      </c>
      <c r="BD411" t="s">
        <v>73</v>
      </c>
    </row>
    <row r="412" spans="1:56" x14ac:dyDescent="0.35">
      <c r="A412">
        <v>78977</v>
      </c>
      <c r="B412" t="s">
        <v>574</v>
      </c>
      <c r="C412" t="s">
        <v>464</v>
      </c>
      <c r="D412" t="s">
        <v>85</v>
      </c>
      <c r="E412" t="s">
        <v>86</v>
      </c>
      <c r="F412" t="s">
        <v>58</v>
      </c>
      <c r="G412" t="s">
        <v>59</v>
      </c>
      <c r="H412" t="s">
        <v>60</v>
      </c>
      <c r="J412" t="s">
        <v>86</v>
      </c>
      <c r="L412" t="s">
        <v>62</v>
      </c>
      <c r="M412" t="s">
        <v>63</v>
      </c>
      <c r="N412" t="s">
        <v>64</v>
      </c>
      <c r="P412" t="s">
        <v>65</v>
      </c>
      <c r="R412">
        <v>0.9</v>
      </c>
      <c r="W412" t="s">
        <v>66</v>
      </c>
      <c r="X412" t="s">
        <v>67</v>
      </c>
      <c r="Y412" t="s">
        <v>67</v>
      </c>
      <c r="Z412" t="s">
        <v>68</v>
      </c>
      <c r="AB412">
        <v>4</v>
      </c>
      <c r="AC412" t="s">
        <v>61</v>
      </c>
      <c r="AJ412" t="s">
        <v>69</v>
      </c>
      <c r="AY412" t="s">
        <v>465</v>
      </c>
      <c r="AZ412">
        <v>923</v>
      </c>
      <c r="BA412" t="s">
        <v>466</v>
      </c>
      <c r="BB412" t="s">
        <v>467</v>
      </c>
      <c r="BC412">
        <v>1961</v>
      </c>
      <c r="BD412" t="s">
        <v>468</v>
      </c>
    </row>
    <row r="413" spans="1:56" x14ac:dyDescent="0.35">
      <c r="A413">
        <v>78977</v>
      </c>
      <c r="B413" t="s">
        <v>574</v>
      </c>
      <c r="C413" t="s">
        <v>464</v>
      </c>
      <c r="D413" t="s">
        <v>85</v>
      </c>
      <c r="E413" t="s">
        <v>86</v>
      </c>
      <c r="F413" t="s">
        <v>58</v>
      </c>
      <c r="G413" t="s">
        <v>59</v>
      </c>
      <c r="H413" t="s">
        <v>60</v>
      </c>
      <c r="J413" t="s">
        <v>86</v>
      </c>
      <c r="L413" t="s">
        <v>62</v>
      </c>
      <c r="M413" t="s">
        <v>63</v>
      </c>
      <c r="N413" t="s">
        <v>64</v>
      </c>
      <c r="P413" t="s">
        <v>65</v>
      </c>
      <c r="R413">
        <v>0.9</v>
      </c>
      <c r="W413" t="s">
        <v>66</v>
      </c>
      <c r="X413" t="s">
        <v>67</v>
      </c>
      <c r="Y413" t="s">
        <v>67</v>
      </c>
      <c r="Z413" t="s">
        <v>68</v>
      </c>
      <c r="AB413">
        <v>4</v>
      </c>
      <c r="AC413" t="s">
        <v>61</v>
      </c>
      <c r="AJ413" t="s">
        <v>69</v>
      </c>
      <c r="AY413" t="s">
        <v>465</v>
      </c>
      <c r="AZ413">
        <v>923</v>
      </c>
      <c r="BA413" t="s">
        <v>466</v>
      </c>
      <c r="BB413" t="s">
        <v>467</v>
      </c>
      <c r="BC413">
        <v>1961</v>
      </c>
      <c r="BD413" t="s">
        <v>468</v>
      </c>
    </row>
    <row r="414" spans="1:56" x14ac:dyDescent="0.35">
      <c r="A414">
        <v>78977</v>
      </c>
      <c r="B414" t="s">
        <v>574</v>
      </c>
      <c r="C414" t="s">
        <v>464</v>
      </c>
      <c r="D414" t="s">
        <v>85</v>
      </c>
      <c r="E414" t="s">
        <v>86</v>
      </c>
      <c r="F414" t="s">
        <v>58</v>
      </c>
      <c r="G414" t="s">
        <v>59</v>
      </c>
      <c r="H414" t="s">
        <v>60</v>
      </c>
      <c r="J414" t="s">
        <v>86</v>
      </c>
      <c r="L414" t="s">
        <v>74</v>
      </c>
      <c r="M414" t="s">
        <v>63</v>
      </c>
      <c r="N414" t="s">
        <v>64</v>
      </c>
      <c r="P414" t="s">
        <v>65</v>
      </c>
      <c r="R414">
        <v>0.71</v>
      </c>
      <c r="W414" t="s">
        <v>66</v>
      </c>
      <c r="X414" t="s">
        <v>67</v>
      </c>
      <c r="Y414" t="s">
        <v>67</v>
      </c>
      <c r="Z414" t="s">
        <v>68</v>
      </c>
      <c r="AB414">
        <v>4</v>
      </c>
      <c r="AC414" t="s">
        <v>61</v>
      </c>
      <c r="AJ414" t="s">
        <v>69</v>
      </c>
      <c r="AY414" t="s">
        <v>465</v>
      </c>
      <c r="AZ414">
        <v>923</v>
      </c>
      <c r="BA414" t="s">
        <v>466</v>
      </c>
      <c r="BB414" t="s">
        <v>467</v>
      </c>
      <c r="BC414">
        <v>1961</v>
      </c>
      <c r="BD414" t="s">
        <v>468</v>
      </c>
    </row>
    <row r="415" spans="1:56" x14ac:dyDescent="0.35">
      <c r="A415">
        <v>79005</v>
      </c>
      <c r="B415" t="s">
        <v>575</v>
      </c>
      <c r="D415" t="s">
        <v>57</v>
      </c>
      <c r="E415" t="s">
        <v>86</v>
      </c>
      <c r="F415" t="s">
        <v>58</v>
      </c>
      <c r="G415" t="s">
        <v>59</v>
      </c>
      <c r="H415" t="s">
        <v>60</v>
      </c>
      <c r="J415" t="s">
        <v>86</v>
      </c>
      <c r="K415" t="s">
        <v>61</v>
      </c>
      <c r="L415" t="s">
        <v>74</v>
      </c>
      <c r="M415" t="s">
        <v>63</v>
      </c>
      <c r="N415" t="s">
        <v>64</v>
      </c>
      <c r="P415" t="s">
        <v>65</v>
      </c>
      <c r="R415">
        <v>81.599999999999994</v>
      </c>
      <c r="W415" t="s">
        <v>66</v>
      </c>
      <c r="X415" t="s">
        <v>67</v>
      </c>
      <c r="Y415" t="s">
        <v>67</v>
      </c>
      <c r="Z415" t="s">
        <v>68</v>
      </c>
      <c r="AB415">
        <v>4</v>
      </c>
      <c r="AC415" t="s">
        <v>61</v>
      </c>
      <c r="AJ415" t="s">
        <v>69</v>
      </c>
      <c r="AY415" t="s">
        <v>404</v>
      </c>
      <c r="AZ415">
        <v>11227</v>
      </c>
      <c r="BA415" t="s">
        <v>405</v>
      </c>
      <c r="BB415" t="s">
        <v>406</v>
      </c>
      <c r="BC415">
        <v>1983</v>
      </c>
      <c r="BD415" t="s">
        <v>127</v>
      </c>
    </row>
    <row r="416" spans="1:56" x14ac:dyDescent="0.35">
      <c r="A416">
        <v>79005</v>
      </c>
      <c r="B416" t="s">
        <v>575</v>
      </c>
      <c r="D416" t="s">
        <v>57</v>
      </c>
      <c r="E416">
        <v>98</v>
      </c>
      <c r="F416" t="s">
        <v>58</v>
      </c>
      <c r="G416" t="s">
        <v>59</v>
      </c>
      <c r="H416" t="s">
        <v>60</v>
      </c>
      <c r="J416">
        <v>31</v>
      </c>
      <c r="K416" t="s">
        <v>61</v>
      </c>
      <c r="L416" t="s">
        <v>74</v>
      </c>
      <c r="M416" t="s">
        <v>63</v>
      </c>
      <c r="N416" t="s">
        <v>64</v>
      </c>
      <c r="O416">
        <v>6</v>
      </c>
      <c r="P416" t="s">
        <v>65</v>
      </c>
      <c r="R416">
        <v>81.599999999999994</v>
      </c>
      <c r="W416" t="s">
        <v>66</v>
      </c>
      <c r="X416" t="s">
        <v>67</v>
      </c>
      <c r="Y416" t="s">
        <v>67</v>
      </c>
      <c r="Z416" t="s">
        <v>68</v>
      </c>
      <c r="AB416">
        <v>4</v>
      </c>
      <c r="AC416" t="s">
        <v>61</v>
      </c>
      <c r="AJ416" t="s">
        <v>69</v>
      </c>
      <c r="AY416" t="s">
        <v>141</v>
      </c>
      <c r="AZ416">
        <v>12447</v>
      </c>
      <c r="BA416" t="s">
        <v>142</v>
      </c>
      <c r="BB416" t="s">
        <v>143</v>
      </c>
      <c r="BC416">
        <v>1985</v>
      </c>
      <c r="BD416" t="s">
        <v>73</v>
      </c>
    </row>
    <row r="417" spans="1:56" x14ac:dyDescent="0.35">
      <c r="A417">
        <v>79016</v>
      </c>
      <c r="B417" t="s">
        <v>576</v>
      </c>
      <c r="D417" t="s">
        <v>57</v>
      </c>
      <c r="E417">
        <v>98</v>
      </c>
      <c r="F417" t="s">
        <v>58</v>
      </c>
      <c r="G417" t="s">
        <v>59</v>
      </c>
      <c r="H417" t="s">
        <v>60</v>
      </c>
      <c r="J417">
        <v>31</v>
      </c>
      <c r="K417" t="s">
        <v>61</v>
      </c>
      <c r="L417" t="s">
        <v>74</v>
      </c>
      <c r="M417" t="s">
        <v>63</v>
      </c>
      <c r="N417" t="s">
        <v>64</v>
      </c>
      <c r="P417" t="s">
        <v>65</v>
      </c>
      <c r="R417">
        <v>44.1</v>
      </c>
      <c r="T417">
        <v>41.3</v>
      </c>
      <c r="V417">
        <v>47.2</v>
      </c>
      <c r="W417" t="s">
        <v>66</v>
      </c>
      <c r="X417" t="s">
        <v>67</v>
      </c>
      <c r="Y417" t="s">
        <v>67</v>
      </c>
      <c r="Z417" t="s">
        <v>68</v>
      </c>
      <c r="AB417">
        <v>4</v>
      </c>
      <c r="AC417" t="s">
        <v>61</v>
      </c>
      <c r="AJ417" t="s">
        <v>69</v>
      </c>
      <c r="AY417" t="s">
        <v>141</v>
      </c>
      <c r="AZ417">
        <v>12447</v>
      </c>
      <c r="BA417" t="s">
        <v>142</v>
      </c>
      <c r="BB417" t="s">
        <v>143</v>
      </c>
      <c r="BC417">
        <v>1985</v>
      </c>
      <c r="BD417" t="s">
        <v>73</v>
      </c>
    </row>
    <row r="418" spans="1:56" x14ac:dyDescent="0.35">
      <c r="A418">
        <v>79016</v>
      </c>
      <c r="B418" t="s">
        <v>576</v>
      </c>
      <c r="D418" t="s">
        <v>57</v>
      </c>
      <c r="E418" t="s">
        <v>128</v>
      </c>
      <c r="F418" t="s">
        <v>58</v>
      </c>
      <c r="G418" t="s">
        <v>59</v>
      </c>
      <c r="H418" t="s">
        <v>60</v>
      </c>
      <c r="I418" t="s">
        <v>129</v>
      </c>
      <c r="J418" t="s">
        <v>86</v>
      </c>
      <c r="K418" t="s">
        <v>61</v>
      </c>
      <c r="L418" t="s">
        <v>74</v>
      </c>
      <c r="M418" t="s">
        <v>63</v>
      </c>
      <c r="N418" t="s">
        <v>64</v>
      </c>
      <c r="O418">
        <v>6</v>
      </c>
      <c r="P418" t="s">
        <v>65</v>
      </c>
      <c r="R418">
        <v>55.2</v>
      </c>
      <c r="W418" t="s">
        <v>66</v>
      </c>
      <c r="X418" t="s">
        <v>67</v>
      </c>
      <c r="Y418" t="s">
        <v>67</v>
      </c>
      <c r="Z418" t="s">
        <v>68</v>
      </c>
      <c r="AB418">
        <v>4</v>
      </c>
      <c r="AC418" t="s">
        <v>61</v>
      </c>
      <c r="AJ418" t="s">
        <v>69</v>
      </c>
      <c r="AY418" t="s">
        <v>130</v>
      </c>
      <c r="AZ418">
        <v>86254</v>
      </c>
      <c r="BA418" t="s">
        <v>131</v>
      </c>
      <c r="BB418" t="s">
        <v>132</v>
      </c>
      <c r="BC418">
        <v>2005</v>
      </c>
      <c r="BD418" t="s">
        <v>133</v>
      </c>
    </row>
    <row r="419" spans="1:56" x14ac:dyDescent="0.35">
      <c r="A419">
        <v>79016</v>
      </c>
      <c r="B419" t="s">
        <v>576</v>
      </c>
      <c r="D419" t="s">
        <v>57</v>
      </c>
      <c r="E419" t="s">
        <v>86</v>
      </c>
      <c r="F419" t="s">
        <v>58</v>
      </c>
      <c r="G419" t="s">
        <v>59</v>
      </c>
      <c r="H419" t="s">
        <v>60</v>
      </c>
      <c r="I419" t="s">
        <v>211</v>
      </c>
      <c r="J419" t="s">
        <v>86</v>
      </c>
      <c r="L419" t="s">
        <v>74</v>
      </c>
      <c r="M419" t="s">
        <v>63</v>
      </c>
      <c r="N419" t="s">
        <v>64</v>
      </c>
      <c r="P419" t="s">
        <v>65</v>
      </c>
      <c r="R419">
        <v>40.700000000000003</v>
      </c>
      <c r="T419">
        <v>31.4</v>
      </c>
      <c r="V419">
        <v>71.8</v>
      </c>
      <c r="W419" t="s">
        <v>66</v>
      </c>
      <c r="X419" t="s">
        <v>67</v>
      </c>
      <c r="Y419" t="s">
        <v>67</v>
      </c>
      <c r="Z419" t="s">
        <v>68</v>
      </c>
      <c r="AB419">
        <v>4</v>
      </c>
      <c r="AC419" t="s">
        <v>61</v>
      </c>
      <c r="AJ419" t="s">
        <v>69</v>
      </c>
      <c r="AY419" t="s">
        <v>430</v>
      </c>
      <c r="AZ419">
        <v>973</v>
      </c>
      <c r="BA419" t="s">
        <v>431</v>
      </c>
      <c r="BB419" t="s">
        <v>432</v>
      </c>
      <c r="BC419">
        <v>1978</v>
      </c>
      <c r="BD419" t="s">
        <v>90</v>
      </c>
    </row>
    <row r="420" spans="1:56" x14ac:dyDescent="0.35">
      <c r="A420">
        <v>79016</v>
      </c>
      <c r="B420" t="s">
        <v>576</v>
      </c>
      <c r="D420" t="s">
        <v>57</v>
      </c>
      <c r="E420" t="s">
        <v>86</v>
      </c>
      <c r="F420" t="s">
        <v>58</v>
      </c>
      <c r="G420" t="s">
        <v>59</v>
      </c>
      <c r="H420" t="s">
        <v>60</v>
      </c>
      <c r="J420" t="s">
        <v>86</v>
      </c>
      <c r="K420" t="s">
        <v>61</v>
      </c>
      <c r="L420" t="s">
        <v>74</v>
      </c>
      <c r="M420" t="s">
        <v>63</v>
      </c>
      <c r="N420" t="s">
        <v>64</v>
      </c>
      <c r="P420" t="s">
        <v>65</v>
      </c>
      <c r="R420">
        <v>45</v>
      </c>
      <c r="T420">
        <v>41.9</v>
      </c>
      <c r="V420">
        <v>48.4</v>
      </c>
      <c r="W420" t="s">
        <v>66</v>
      </c>
      <c r="X420" t="s">
        <v>67</v>
      </c>
      <c r="Y420" t="s">
        <v>67</v>
      </c>
      <c r="Z420" t="s">
        <v>68</v>
      </c>
      <c r="AB420">
        <v>4</v>
      </c>
      <c r="AC420" t="s">
        <v>61</v>
      </c>
      <c r="AJ420" t="s">
        <v>69</v>
      </c>
      <c r="AY420" t="s">
        <v>404</v>
      </c>
      <c r="AZ420">
        <v>11227</v>
      </c>
      <c r="BA420" t="s">
        <v>405</v>
      </c>
      <c r="BB420" t="s">
        <v>406</v>
      </c>
      <c r="BC420">
        <v>1983</v>
      </c>
      <c r="BD420" t="s">
        <v>127</v>
      </c>
    </row>
    <row r="421" spans="1:56" x14ac:dyDescent="0.35">
      <c r="A421">
        <v>79016</v>
      </c>
      <c r="B421" t="s">
        <v>576</v>
      </c>
      <c r="D421" t="s">
        <v>57</v>
      </c>
      <c r="E421" t="s">
        <v>128</v>
      </c>
      <c r="F421" t="s">
        <v>58</v>
      </c>
      <c r="G421" t="s">
        <v>59</v>
      </c>
      <c r="H421" t="s">
        <v>60</v>
      </c>
      <c r="I421" t="s">
        <v>129</v>
      </c>
      <c r="J421" t="s">
        <v>86</v>
      </c>
      <c r="K421" t="s">
        <v>61</v>
      </c>
      <c r="L421" t="s">
        <v>74</v>
      </c>
      <c r="M421" t="s">
        <v>63</v>
      </c>
      <c r="N421" t="s">
        <v>64</v>
      </c>
      <c r="O421">
        <v>6</v>
      </c>
      <c r="P421" t="s">
        <v>65</v>
      </c>
      <c r="R421">
        <v>40.5</v>
      </c>
      <c r="T421">
        <v>30.2</v>
      </c>
      <c r="V421">
        <v>54.2</v>
      </c>
      <c r="W421" t="s">
        <v>66</v>
      </c>
      <c r="X421" t="s">
        <v>67</v>
      </c>
      <c r="Y421" t="s">
        <v>67</v>
      </c>
      <c r="Z421" t="s">
        <v>68</v>
      </c>
      <c r="AB421">
        <v>4</v>
      </c>
      <c r="AC421" t="s">
        <v>61</v>
      </c>
      <c r="AJ421" t="s">
        <v>69</v>
      </c>
      <c r="AY421" t="s">
        <v>130</v>
      </c>
      <c r="AZ421">
        <v>86254</v>
      </c>
      <c r="BA421" t="s">
        <v>131</v>
      </c>
      <c r="BB421" t="s">
        <v>132</v>
      </c>
      <c r="BC421">
        <v>2005</v>
      </c>
      <c r="BD421" t="s">
        <v>133</v>
      </c>
    </row>
    <row r="422" spans="1:56" x14ac:dyDescent="0.35">
      <c r="A422">
        <v>79016</v>
      </c>
      <c r="B422" t="s">
        <v>576</v>
      </c>
      <c r="D422" t="s">
        <v>57</v>
      </c>
      <c r="E422" t="s">
        <v>128</v>
      </c>
      <c r="F422" t="s">
        <v>58</v>
      </c>
      <c r="G422" t="s">
        <v>59</v>
      </c>
      <c r="H422" t="s">
        <v>60</v>
      </c>
      <c r="I422" t="s">
        <v>129</v>
      </c>
      <c r="J422" t="s">
        <v>86</v>
      </c>
      <c r="K422" t="s">
        <v>61</v>
      </c>
      <c r="L422" t="s">
        <v>74</v>
      </c>
      <c r="M422" t="s">
        <v>63</v>
      </c>
      <c r="N422" t="s">
        <v>64</v>
      </c>
      <c r="O422">
        <v>6</v>
      </c>
      <c r="P422" t="s">
        <v>65</v>
      </c>
      <c r="R422">
        <v>45.7</v>
      </c>
      <c r="T422">
        <v>38.799999999999997</v>
      </c>
      <c r="V422">
        <v>53.9</v>
      </c>
      <c r="W422" t="s">
        <v>66</v>
      </c>
      <c r="X422" t="s">
        <v>67</v>
      </c>
      <c r="Y422" t="s">
        <v>67</v>
      </c>
      <c r="Z422" t="s">
        <v>68</v>
      </c>
      <c r="AB422">
        <v>4</v>
      </c>
      <c r="AC422" t="s">
        <v>61</v>
      </c>
      <c r="AJ422" t="s">
        <v>69</v>
      </c>
      <c r="AY422" t="s">
        <v>130</v>
      </c>
      <c r="AZ422">
        <v>86254</v>
      </c>
      <c r="BA422" t="s">
        <v>131</v>
      </c>
      <c r="BB422" t="s">
        <v>132</v>
      </c>
      <c r="BC422">
        <v>2005</v>
      </c>
      <c r="BD422" t="s">
        <v>133</v>
      </c>
    </row>
    <row r="423" spans="1:56" x14ac:dyDescent="0.35">
      <c r="A423">
        <v>79016</v>
      </c>
      <c r="B423" t="s">
        <v>576</v>
      </c>
      <c r="D423" t="s">
        <v>85</v>
      </c>
      <c r="E423" t="s">
        <v>86</v>
      </c>
      <c r="F423" t="s">
        <v>58</v>
      </c>
      <c r="G423" t="s">
        <v>59</v>
      </c>
      <c r="H423" t="s">
        <v>60</v>
      </c>
      <c r="I423" t="s">
        <v>211</v>
      </c>
      <c r="J423" t="s">
        <v>86</v>
      </c>
      <c r="L423" t="s">
        <v>62</v>
      </c>
      <c r="M423" t="s">
        <v>63</v>
      </c>
      <c r="N423" t="s">
        <v>64</v>
      </c>
      <c r="P423" t="s">
        <v>100</v>
      </c>
      <c r="R423">
        <v>66.8</v>
      </c>
      <c r="T423">
        <v>59.6</v>
      </c>
      <c r="V423">
        <v>74.7</v>
      </c>
      <c r="W423" t="s">
        <v>66</v>
      </c>
      <c r="X423" t="s">
        <v>67</v>
      </c>
      <c r="Y423" t="s">
        <v>67</v>
      </c>
      <c r="Z423" t="s">
        <v>68</v>
      </c>
      <c r="AB423">
        <v>4</v>
      </c>
      <c r="AC423" t="s">
        <v>61</v>
      </c>
      <c r="AJ423" t="s">
        <v>69</v>
      </c>
      <c r="AY423" t="s">
        <v>430</v>
      </c>
      <c r="AZ423">
        <v>973</v>
      </c>
      <c r="BA423" t="s">
        <v>431</v>
      </c>
      <c r="BB423" t="s">
        <v>432</v>
      </c>
      <c r="BC423">
        <v>1978</v>
      </c>
      <c r="BD423" t="s">
        <v>90</v>
      </c>
    </row>
    <row r="424" spans="1:56" x14ac:dyDescent="0.35">
      <c r="A424">
        <v>79061</v>
      </c>
      <c r="B424" t="s">
        <v>577</v>
      </c>
      <c r="D424" t="s">
        <v>57</v>
      </c>
      <c r="E424">
        <v>97</v>
      </c>
      <c r="F424" t="s">
        <v>58</v>
      </c>
      <c r="G424" t="s">
        <v>59</v>
      </c>
      <c r="H424" t="s">
        <v>60</v>
      </c>
      <c r="J424">
        <v>30</v>
      </c>
      <c r="K424" t="s">
        <v>61</v>
      </c>
      <c r="L424" t="s">
        <v>74</v>
      </c>
      <c r="M424" t="s">
        <v>63</v>
      </c>
      <c r="N424" t="s">
        <v>64</v>
      </c>
      <c r="P424" t="s">
        <v>65</v>
      </c>
      <c r="R424">
        <v>109</v>
      </c>
      <c r="T424">
        <v>103</v>
      </c>
      <c r="V424">
        <v>115.3</v>
      </c>
      <c r="W424" t="s">
        <v>66</v>
      </c>
      <c r="X424" t="s">
        <v>67</v>
      </c>
      <c r="Y424" t="s">
        <v>67</v>
      </c>
      <c r="Z424" t="s">
        <v>68</v>
      </c>
      <c r="AB424">
        <v>4</v>
      </c>
      <c r="AC424" t="s">
        <v>61</v>
      </c>
      <c r="AJ424" t="s">
        <v>69</v>
      </c>
      <c r="AY424" t="s">
        <v>70</v>
      </c>
      <c r="AZ424">
        <v>14339</v>
      </c>
      <c r="BA424" t="s">
        <v>71</v>
      </c>
      <c r="BB424" t="s">
        <v>72</v>
      </c>
      <c r="BC424">
        <v>1987</v>
      </c>
      <c r="BD424" t="s">
        <v>73</v>
      </c>
    </row>
    <row r="425" spans="1:56" x14ac:dyDescent="0.35">
      <c r="A425">
        <v>79061</v>
      </c>
      <c r="B425" t="s">
        <v>577</v>
      </c>
      <c r="D425" t="s">
        <v>57</v>
      </c>
      <c r="E425">
        <v>97</v>
      </c>
      <c r="F425" t="s">
        <v>58</v>
      </c>
      <c r="G425" t="s">
        <v>59</v>
      </c>
      <c r="H425" t="s">
        <v>60</v>
      </c>
      <c r="J425">
        <v>30</v>
      </c>
      <c r="K425" t="s">
        <v>61</v>
      </c>
      <c r="L425" t="s">
        <v>62</v>
      </c>
      <c r="M425" t="s">
        <v>63</v>
      </c>
      <c r="N425" t="s">
        <v>64</v>
      </c>
      <c r="P425" t="s">
        <v>65</v>
      </c>
      <c r="R425">
        <v>151</v>
      </c>
      <c r="T425">
        <v>127.1</v>
      </c>
      <c r="V425">
        <v>179.3</v>
      </c>
      <c r="W425" t="s">
        <v>66</v>
      </c>
      <c r="X425" t="s">
        <v>67</v>
      </c>
      <c r="Y425" t="s">
        <v>67</v>
      </c>
      <c r="Z425" t="s">
        <v>68</v>
      </c>
      <c r="AB425">
        <v>4</v>
      </c>
      <c r="AC425" t="s">
        <v>61</v>
      </c>
      <c r="AJ425" t="s">
        <v>69</v>
      </c>
      <c r="AY425" t="s">
        <v>70</v>
      </c>
      <c r="AZ425">
        <v>14339</v>
      </c>
      <c r="BA425" t="s">
        <v>71</v>
      </c>
      <c r="BB425" t="s">
        <v>72</v>
      </c>
      <c r="BC425">
        <v>1987</v>
      </c>
      <c r="BD425" t="s">
        <v>73</v>
      </c>
    </row>
    <row r="426" spans="1:56" x14ac:dyDescent="0.35">
      <c r="A426">
        <v>79061</v>
      </c>
      <c r="B426" t="s">
        <v>577</v>
      </c>
      <c r="D426" t="s">
        <v>57</v>
      </c>
      <c r="E426">
        <v>97</v>
      </c>
      <c r="F426" t="s">
        <v>58</v>
      </c>
      <c r="G426" t="s">
        <v>59</v>
      </c>
      <c r="H426" t="s">
        <v>60</v>
      </c>
      <c r="J426">
        <v>30</v>
      </c>
      <c r="K426" t="s">
        <v>61</v>
      </c>
      <c r="L426" t="s">
        <v>74</v>
      </c>
      <c r="M426" t="s">
        <v>63</v>
      </c>
      <c r="N426" t="s">
        <v>64</v>
      </c>
      <c r="P426" t="s">
        <v>65</v>
      </c>
      <c r="R426">
        <v>109</v>
      </c>
      <c r="T426">
        <v>103</v>
      </c>
      <c r="V426">
        <v>115</v>
      </c>
      <c r="W426" t="s">
        <v>66</v>
      </c>
      <c r="X426" t="s">
        <v>67</v>
      </c>
      <c r="Y426" t="s">
        <v>67</v>
      </c>
      <c r="Z426" t="s">
        <v>68</v>
      </c>
      <c r="AB426">
        <v>4</v>
      </c>
      <c r="AC426" t="s">
        <v>61</v>
      </c>
      <c r="AJ426" t="s">
        <v>69</v>
      </c>
      <c r="AY426" t="s">
        <v>75</v>
      </c>
      <c r="AZ426">
        <v>3217</v>
      </c>
      <c r="BA426" t="s">
        <v>76</v>
      </c>
      <c r="BB426" t="s">
        <v>77</v>
      </c>
      <c r="BC426">
        <v>1990</v>
      </c>
      <c r="BD426" t="s">
        <v>73</v>
      </c>
    </row>
    <row r="427" spans="1:56" x14ac:dyDescent="0.35">
      <c r="A427">
        <v>79061</v>
      </c>
      <c r="B427" t="s">
        <v>577</v>
      </c>
      <c r="C427" t="s">
        <v>578</v>
      </c>
      <c r="D427" t="s">
        <v>85</v>
      </c>
      <c r="E427" t="s">
        <v>79</v>
      </c>
      <c r="F427" t="s">
        <v>58</v>
      </c>
      <c r="G427" t="s">
        <v>59</v>
      </c>
      <c r="H427" t="s">
        <v>60</v>
      </c>
      <c r="J427" t="s">
        <v>86</v>
      </c>
      <c r="L427" t="s">
        <v>74</v>
      </c>
      <c r="M427" t="s">
        <v>63</v>
      </c>
      <c r="N427" t="s">
        <v>64</v>
      </c>
      <c r="P427" t="s">
        <v>65</v>
      </c>
      <c r="R427">
        <v>120</v>
      </c>
      <c r="T427">
        <v>77</v>
      </c>
      <c r="V427">
        <v>160</v>
      </c>
      <c r="W427" t="s">
        <v>66</v>
      </c>
      <c r="X427" t="s">
        <v>67</v>
      </c>
      <c r="Y427" t="s">
        <v>67</v>
      </c>
      <c r="Z427" t="s">
        <v>68</v>
      </c>
      <c r="AB427">
        <v>4</v>
      </c>
      <c r="AC427" t="s">
        <v>61</v>
      </c>
      <c r="AJ427" t="s">
        <v>69</v>
      </c>
      <c r="AY427" t="s">
        <v>579</v>
      </c>
      <c r="AZ427">
        <v>12290</v>
      </c>
      <c r="BA427" t="s">
        <v>580</v>
      </c>
      <c r="BB427" t="s">
        <v>581</v>
      </c>
      <c r="BC427">
        <v>1986</v>
      </c>
      <c r="BD427" t="s">
        <v>90</v>
      </c>
    </row>
    <row r="428" spans="1:56" x14ac:dyDescent="0.35">
      <c r="A428">
        <v>79061</v>
      </c>
      <c r="B428" t="s">
        <v>577</v>
      </c>
      <c r="D428" t="s">
        <v>85</v>
      </c>
      <c r="E428" t="s">
        <v>86</v>
      </c>
      <c r="F428" t="s">
        <v>58</v>
      </c>
      <c r="G428" t="s">
        <v>59</v>
      </c>
      <c r="H428" t="s">
        <v>60</v>
      </c>
      <c r="J428" t="s">
        <v>86</v>
      </c>
      <c r="L428" t="s">
        <v>62</v>
      </c>
      <c r="M428" t="s">
        <v>63</v>
      </c>
      <c r="N428" t="s">
        <v>64</v>
      </c>
      <c r="P428" t="s">
        <v>100</v>
      </c>
      <c r="R428">
        <v>124</v>
      </c>
      <c r="W428" t="s">
        <v>66</v>
      </c>
      <c r="X428" t="s">
        <v>67</v>
      </c>
      <c r="Y428" t="s">
        <v>67</v>
      </c>
      <c r="Z428" t="s">
        <v>68</v>
      </c>
      <c r="AB428">
        <v>4</v>
      </c>
      <c r="AC428" t="s">
        <v>61</v>
      </c>
      <c r="AJ428" t="s">
        <v>69</v>
      </c>
      <c r="AY428" t="s">
        <v>382</v>
      </c>
      <c r="AZ428">
        <v>6925</v>
      </c>
      <c r="BA428" t="s">
        <v>582</v>
      </c>
      <c r="BB428" t="s">
        <v>583</v>
      </c>
      <c r="BC428">
        <v>1976</v>
      </c>
      <c r="BD428" t="s">
        <v>90</v>
      </c>
    </row>
    <row r="429" spans="1:56" x14ac:dyDescent="0.35">
      <c r="A429">
        <v>79196</v>
      </c>
      <c r="B429" t="s">
        <v>584</v>
      </c>
      <c r="D429" t="s">
        <v>57</v>
      </c>
      <c r="E429" t="s">
        <v>86</v>
      </c>
      <c r="F429" t="s">
        <v>58</v>
      </c>
      <c r="G429" t="s">
        <v>59</v>
      </c>
      <c r="H429" t="s">
        <v>60</v>
      </c>
      <c r="J429" t="s">
        <v>86</v>
      </c>
      <c r="L429" t="s">
        <v>62</v>
      </c>
      <c r="M429" t="s">
        <v>63</v>
      </c>
      <c r="N429" t="s">
        <v>64</v>
      </c>
      <c r="P429" t="s">
        <v>65</v>
      </c>
      <c r="R429">
        <v>20.8</v>
      </c>
      <c r="T429">
        <v>15.7</v>
      </c>
      <c r="V429">
        <v>29.3</v>
      </c>
      <c r="W429" t="s">
        <v>66</v>
      </c>
      <c r="X429" t="s">
        <v>67</v>
      </c>
      <c r="Y429" t="s">
        <v>67</v>
      </c>
      <c r="Z429" t="s">
        <v>68</v>
      </c>
      <c r="AB429">
        <v>4</v>
      </c>
      <c r="AC429" t="s">
        <v>61</v>
      </c>
      <c r="AJ429" t="s">
        <v>69</v>
      </c>
      <c r="AY429" t="s">
        <v>304</v>
      </c>
      <c r="AZ429">
        <v>2966</v>
      </c>
      <c r="BA429" t="s">
        <v>305</v>
      </c>
      <c r="BB429" t="s">
        <v>306</v>
      </c>
      <c r="BC429">
        <v>1981</v>
      </c>
      <c r="BD429" t="s">
        <v>90</v>
      </c>
    </row>
    <row r="430" spans="1:56" x14ac:dyDescent="0.35">
      <c r="A430">
        <v>79196</v>
      </c>
      <c r="B430" t="s">
        <v>584</v>
      </c>
      <c r="D430" t="s">
        <v>85</v>
      </c>
      <c r="E430" t="s">
        <v>86</v>
      </c>
      <c r="F430" t="s">
        <v>58</v>
      </c>
      <c r="G430" t="s">
        <v>59</v>
      </c>
      <c r="H430" t="s">
        <v>60</v>
      </c>
      <c r="J430" t="s">
        <v>86</v>
      </c>
      <c r="L430" t="s">
        <v>62</v>
      </c>
      <c r="M430" t="s">
        <v>63</v>
      </c>
      <c r="N430" t="s">
        <v>64</v>
      </c>
      <c r="O430" t="s">
        <v>267</v>
      </c>
      <c r="P430" t="s">
        <v>100</v>
      </c>
      <c r="R430">
        <v>20.8</v>
      </c>
      <c r="T430">
        <v>15.7</v>
      </c>
      <c r="V430">
        <v>29.3</v>
      </c>
      <c r="W430" t="s">
        <v>66</v>
      </c>
      <c r="X430" t="s">
        <v>67</v>
      </c>
      <c r="Y430" t="s">
        <v>67</v>
      </c>
      <c r="Z430" t="s">
        <v>68</v>
      </c>
      <c r="AB430">
        <v>4</v>
      </c>
      <c r="AC430" t="s">
        <v>61</v>
      </c>
      <c r="AJ430" t="s">
        <v>69</v>
      </c>
      <c r="AY430" t="s">
        <v>268</v>
      </c>
      <c r="AZ430">
        <v>2965</v>
      </c>
      <c r="BA430" t="s">
        <v>269</v>
      </c>
      <c r="BB430" t="s">
        <v>270</v>
      </c>
      <c r="BC430">
        <v>1981</v>
      </c>
      <c r="BD430" t="s">
        <v>90</v>
      </c>
    </row>
    <row r="431" spans="1:56" x14ac:dyDescent="0.35">
      <c r="A431">
        <v>79209</v>
      </c>
      <c r="B431" t="s">
        <v>585</v>
      </c>
      <c r="D431" t="s">
        <v>57</v>
      </c>
      <c r="E431" t="s">
        <v>128</v>
      </c>
      <c r="F431" t="s">
        <v>58</v>
      </c>
      <c r="G431" t="s">
        <v>59</v>
      </c>
      <c r="H431" t="s">
        <v>60</v>
      </c>
      <c r="I431" t="s">
        <v>129</v>
      </c>
      <c r="J431" t="s">
        <v>86</v>
      </c>
      <c r="K431" t="s">
        <v>61</v>
      </c>
      <c r="L431" t="s">
        <v>74</v>
      </c>
      <c r="M431" t="s">
        <v>63</v>
      </c>
      <c r="N431" t="s">
        <v>64</v>
      </c>
      <c r="P431" t="s">
        <v>65</v>
      </c>
      <c r="R431">
        <v>408</v>
      </c>
      <c r="W431" t="s">
        <v>66</v>
      </c>
      <c r="X431" t="s">
        <v>67</v>
      </c>
      <c r="Y431" t="s">
        <v>67</v>
      </c>
      <c r="Z431" t="s">
        <v>68</v>
      </c>
      <c r="AB431">
        <v>4</v>
      </c>
      <c r="AC431" t="s">
        <v>61</v>
      </c>
      <c r="AJ431" t="s">
        <v>69</v>
      </c>
      <c r="AY431" t="s">
        <v>134</v>
      </c>
      <c r="AZ431">
        <v>15031</v>
      </c>
      <c r="BA431" t="s">
        <v>135</v>
      </c>
      <c r="BB431" t="s">
        <v>136</v>
      </c>
      <c r="BC431">
        <v>1995</v>
      </c>
      <c r="BD431" t="s">
        <v>133</v>
      </c>
    </row>
    <row r="432" spans="1:56" x14ac:dyDescent="0.35">
      <c r="A432">
        <v>79209</v>
      </c>
      <c r="B432" t="s">
        <v>585</v>
      </c>
      <c r="D432" t="s">
        <v>57</v>
      </c>
      <c r="E432">
        <v>99</v>
      </c>
      <c r="F432" t="s">
        <v>58</v>
      </c>
      <c r="G432" t="s">
        <v>59</v>
      </c>
      <c r="H432" t="s">
        <v>60</v>
      </c>
      <c r="J432">
        <v>32</v>
      </c>
      <c r="K432" t="s">
        <v>61</v>
      </c>
      <c r="L432" t="s">
        <v>74</v>
      </c>
      <c r="M432" t="s">
        <v>63</v>
      </c>
      <c r="N432" t="s">
        <v>64</v>
      </c>
      <c r="P432" t="s">
        <v>65</v>
      </c>
      <c r="R432">
        <v>399</v>
      </c>
      <c r="T432">
        <v>378</v>
      </c>
      <c r="V432">
        <v>422</v>
      </c>
      <c r="W432" t="s">
        <v>66</v>
      </c>
      <c r="X432" t="s">
        <v>67</v>
      </c>
      <c r="Y432" t="s">
        <v>67</v>
      </c>
      <c r="Z432" t="s">
        <v>68</v>
      </c>
      <c r="AB432">
        <v>4</v>
      </c>
      <c r="AC432" t="s">
        <v>61</v>
      </c>
      <c r="AJ432" t="s">
        <v>69</v>
      </c>
      <c r="AY432" t="s">
        <v>141</v>
      </c>
      <c r="AZ432">
        <v>12447</v>
      </c>
      <c r="BA432" t="s">
        <v>142</v>
      </c>
      <c r="BB432" t="s">
        <v>143</v>
      </c>
      <c r="BC432">
        <v>1985</v>
      </c>
      <c r="BD432" t="s">
        <v>73</v>
      </c>
    </row>
    <row r="433" spans="1:56" x14ac:dyDescent="0.35">
      <c r="A433">
        <v>79209</v>
      </c>
      <c r="B433" t="s">
        <v>585</v>
      </c>
      <c r="D433" t="s">
        <v>57</v>
      </c>
      <c r="E433">
        <v>99</v>
      </c>
      <c r="F433" t="s">
        <v>58</v>
      </c>
      <c r="G433" t="s">
        <v>59</v>
      </c>
      <c r="H433" t="s">
        <v>60</v>
      </c>
      <c r="J433" t="s">
        <v>86</v>
      </c>
      <c r="K433" t="s">
        <v>61</v>
      </c>
      <c r="L433" t="s">
        <v>74</v>
      </c>
      <c r="M433" t="s">
        <v>63</v>
      </c>
      <c r="N433" t="s">
        <v>64</v>
      </c>
      <c r="P433" t="s">
        <v>65</v>
      </c>
      <c r="R433">
        <v>320</v>
      </c>
      <c r="T433">
        <v>295</v>
      </c>
      <c r="V433">
        <v>348</v>
      </c>
      <c r="W433" t="s">
        <v>66</v>
      </c>
      <c r="X433" t="s">
        <v>67</v>
      </c>
      <c r="Y433" t="s">
        <v>67</v>
      </c>
      <c r="Z433" t="s">
        <v>68</v>
      </c>
      <c r="AB433">
        <v>4</v>
      </c>
      <c r="AC433" t="s">
        <v>61</v>
      </c>
      <c r="AJ433" t="s">
        <v>69</v>
      </c>
      <c r="AY433" t="s">
        <v>286</v>
      </c>
      <c r="AZ433">
        <v>12448</v>
      </c>
      <c r="BA433" t="s">
        <v>287</v>
      </c>
      <c r="BB433" t="s">
        <v>288</v>
      </c>
      <c r="BC433">
        <v>1984</v>
      </c>
      <c r="BD433" t="s">
        <v>363</v>
      </c>
    </row>
    <row r="434" spans="1:56" x14ac:dyDescent="0.35">
      <c r="A434">
        <v>79345</v>
      </c>
      <c r="B434" t="s">
        <v>586</v>
      </c>
      <c r="D434" t="s">
        <v>57</v>
      </c>
      <c r="E434">
        <v>98</v>
      </c>
      <c r="F434" t="s">
        <v>58</v>
      </c>
      <c r="G434" t="s">
        <v>59</v>
      </c>
      <c r="H434" t="s">
        <v>60</v>
      </c>
      <c r="J434">
        <v>32</v>
      </c>
      <c r="K434" t="s">
        <v>61</v>
      </c>
      <c r="L434" t="s">
        <v>74</v>
      </c>
      <c r="M434" t="s">
        <v>63</v>
      </c>
      <c r="N434" t="s">
        <v>64</v>
      </c>
      <c r="P434" t="s">
        <v>65</v>
      </c>
      <c r="R434">
        <v>20.3</v>
      </c>
      <c r="T434">
        <v>19.899999999999999</v>
      </c>
      <c r="V434">
        <v>20.7</v>
      </c>
      <c r="W434" t="s">
        <v>66</v>
      </c>
      <c r="X434" t="s">
        <v>67</v>
      </c>
      <c r="Y434" t="s">
        <v>67</v>
      </c>
      <c r="Z434" t="s">
        <v>68</v>
      </c>
      <c r="AB434">
        <v>4</v>
      </c>
      <c r="AC434" t="s">
        <v>61</v>
      </c>
      <c r="AJ434" t="s">
        <v>69</v>
      </c>
      <c r="AY434" t="s">
        <v>141</v>
      </c>
      <c r="AZ434">
        <v>12447</v>
      </c>
      <c r="BA434" t="s">
        <v>142</v>
      </c>
      <c r="BB434" t="s">
        <v>143</v>
      </c>
      <c r="BC434">
        <v>1985</v>
      </c>
      <c r="BD434" t="s">
        <v>73</v>
      </c>
    </row>
    <row r="435" spans="1:56" x14ac:dyDescent="0.35">
      <c r="A435">
        <v>79345</v>
      </c>
      <c r="B435" t="s">
        <v>586</v>
      </c>
      <c r="D435" t="s">
        <v>57</v>
      </c>
      <c r="E435" t="s">
        <v>86</v>
      </c>
      <c r="F435" t="s">
        <v>58</v>
      </c>
      <c r="G435" t="s">
        <v>59</v>
      </c>
      <c r="H435" t="s">
        <v>60</v>
      </c>
      <c r="J435" t="s">
        <v>86</v>
      </c>
      <c r="K435" t="s">
        <v>61</v>
      </c>
      <c r="L435" t="s">
        <v>74</v>
      </c>
      <c r="M435" t="s">
        <v>63</v>
      </c>
      <c r="N435" t="s">
        <v>64</v>
      </c>
      <c r="P435" t="s">
        <v>65</v>
      </c>
      <c r="R435">
        <v>20.399999999999999</v>
      </c>
      <c r="T435">
        <v>20</v>
      </c>
      <c r="V435">
        <v>20.9</v>
      </c>
      <c r="W435" t="s">
        <v>66</v>
      </c>
      <c r="X435" t="s">
        <v>67</v>
      </c>
      <c r="Y435" t="s">
        <v>67</v>
      </c>
      <c r="Z435" t="s">
        <v>68</v>
      </c>
      <c r="AB435">
        <v>4</v>
      </c>
      <c r="AC435" t="s">
        <v>61</v>
      </c>
      <c r="AJ435" t="s">
        <v>69</v>
      </c>
      <c r="AY435" t="s">
        <v>404</v>
      </c>
      <c r="AZ435">
        <v>11227</v>
      </c>
      <c r="BA435" t="s">
        <v>405</v>
      </c>
      <c r="BB435" t="s">
        <v>406</v>
      </c>
      <c r="BC435">
        <v>1983</v>
      </c>
      <c r="BD435" t="s">
        <v>127</v>
      </c>
    </row>
    <row r="436" spans="1:56" x14ac:dyDescent="0.35">
      <c r="A436">
        <v>79469</v>
      </c>
      <c r="B436" t="s">
        <v>587</v>
      </c>
      <c r="D436" t="s">
        <v>57</v>
      </c>
      <c r="E436" t="s">
        <v>86</v>
      </c>
      <c r="F436" t="s">
        <v>58</v>
      </c>
      <c r="G436" t="s">
        <v>59</v>
      </c>
      <c r="H436" t="s">
        <v>60</v>
      </c>
      <c r="J436" t="s">
        <v>86</v>
      </c>
      <c r="L436" t="s">
        <v>62</v>
      </c>
      <c r="M436" t="s">
        <v>63</v>
      </c>
      <c r="N436" t="s">
        <v>64</v>
      </c>
      <c r="P436" t="s">
        <v>65</v>
      </c>
      <c r="Q436" t="s">
        <v>435</v>
      </c>
      <c r="R436">
        <v>210</v>
      </c>
      <c r="W436" t="s">
        <v>66</v>
      </c>
      <c r="X436" t="s">
        <v>67</v>
      </c>
      <c r="Y436" t="s">
        <v>67</v>
      </c>
      <c r="Z436" t="s">
        <v>68</v>
      </c>
      <c r="AB436">
        <v>4</v>
      </c>
      <c r="AC436" t="s">
        <v>61</v>
      </c>
      <c r="AJ436" t="s">
        <v>69</v>
      </c>
      <c r="AY436" t="s">
        <v>304</v>
      </c>
      <c r="AZ436">
        <v>2966</v>
      </c>
      <c r="BA436" t="s">
        <v>305</v>
      </c>
      <c r="BB436" t="s">
        <v>306</v>
      </c>
      <c r="BC436">
        <v>1981</v>
      </c>
      <c r="BD436" t="s">
        <v>90</v>
      </c>
    </row>
    <row r="437" spans="1:56" x14ac:dyDescent="0.35">
      <c r="A437">
        <v>79776</v>
      </c>
      <c r="B437" t="s">
        <v>588</v>
      </c>
      <c r="D437" t="s">
        <v>57</v>
      </c>
      <c r="E437">
        <v>98</v>
      </c>
      <c r="F437" t="s">
        <v>58</v>
      </c>
      <c r="G437" t="s">
        <v>59</v>
      </c>
      <c r="H437" t="s">
        <v>60</v>
      </c>
      <c r="J437">
        <v>29</v>
      </c>
      <c r="K437" t="s">
        <v>61</v>
      </c>
      <c r="L437" t="s">
        <v>74</v>
      </c>
      <c r="M437" t="s">
        <v>63</v>
      </c>
      <c r="N437" t="s">
        <v>64</v>
      </c>
      <c r="P437" t="s">
        <v>65</v>
      </c>
      <c r="R437">
        <v>5.09</v>
      </c>
      <c r="T437">
        <v>4.75</v>
      </c>
      <c r="V437">
        <v>5.44</v>
      </c>
      <c r="W437" t="s">
        <v>66</v>
      </c>
      <c r="X437" t="s">
        <v>67</v>
      </c>
      <c r="Y437" t="s">
        <v>67</v>
      </c>
      <c r="Z437" t="s">
        <v>68</v>
      </c>
      <c r="AB437">
        <v>4</v>
      </c>
      <c r="AC437" t="s">
        <v>61</v>
      </c>
      <c r="AJ437" t="s">
        <v>69</v>
      </c>
      <c r="AY437" t="s">
        <v>80</v>
      </c>
      <c r="AZ437">
        <v>12859</v>
      </c>
      <c r="BA437" t="s">
        <v>81</v>
      </c>
      <c r="BB437" t="s">
        <v>82</v>
      </c>
      <c r="BC437">
        <v>1988</v>
      </c>
      <c r="BD437" t="s">
        <v>73</v>
      </c>
    </row>
    <row r="438" spans="1:56" x14ac:dyDescent="0.35">
      <c r="A438">
        <v>79947</v>
      </c>
      <c r="B438" t="s">
        <v>589</v>
      </c>
      <c r="D438" t="s">
        <v>57</v>
      </c>
      <c r="E438">
        <v>97.7</v>
      </c>
      <c r="F438" t="s">
        <v>58</v>
      </c>
      <c r="G438" t="s">
        <v>59</v>
      </c>
      <c r="H438" t="s">
        <v>60</v>
      </c>
      <c r="J438">
        <v>30</v>
      </c>
      <c r="K438" t="s">
        <v>61</v>
      </c>
      <c r="L438" t="s">
        <v>62</v>
      </c>
      <c r="M438" t="s">
        <v>63</v>
      </c>
      <c r="N438" t="s">
        <v>64</v>
      </c>
      <c r="P438" t="s">
        <v>65</v>
      </c>
      <c r="R438">
        <v>0.89</v>
      </c>
      <c r="W438" t="s">
        <v>66</v>
      </c>
      <c r="X438" t="s">
        <v>67</v>
      </c>
      <c r="Y438" t="s">
        <v>67</v>
      </c>
      <c r="Z438" t="s">
        <v>68</v>
      </c>
      <c r="AB438">
        <v>4</v>
      </c>
      <c r="AC438" t="s">
        <v>61</v>
      </c>
      <c r="AJ438" t="s">
        <v>69</v>
      </c>
      <c r="AY438" t="s">
        <v>309</v>
      </c>
      <c r="AZ438">
        <v>17138</v>
      </c>
      <c r="BA438" t="s">
        <v>310</v>
      </c>
      <c r="BB438" t="s">
        <v>311</v>
      </c>
      <c r="BC438">
        <v>1991</v>
      </c>
      <c r="BD438" t="s">
        <v>73</v>
      </c>
    </row>
    <row r="439" spans="1:56" x14ac:dyDescent="0.35">
      <c r="A439">
        <v>79947</v>
      </c>
      <c r="B439" t="s">
        <v>589</v>
      </c>
      <c r="D439" t="s">
        <v>57</v>
      </c>
      <c r="E439">
        <v>97.7</v>
      </c>
      <c r="F439" t="s">
        <v>58</v>
      </c>
      <c r="G439" t="s">
        <v>59</v>
      </c>
      <c r="H439" t="s">
        <v>60</v>
      </c>
      <c r="J439">
        <v>26</v>
      </c>
      <c r="K439" t="s">
        <v>61</v>
      </c>
      <c r="L439" t="s">
        <v>74</v>
      </c>
      <c r="M439" t="s">
        <v>63</v>
      </c>
      <c r="N439" t="s">
        <v>64</v>
      </c>
      <c r="P439" t="s">
        <v>65</v>
      </c>
      <c r="R439">
        <v>1.04</v>
      </c>
      <c r="T439">
        <v>0.999</v>
      </c>
      <c r="V439">
        <v>1.1000000000000001</v>
      </c>
      <c r="W439" t="s">
        <v>66</v>
      </c>
      <c r="X439" t="s">
        <v>67</v>
      </c>
      <c r="Y439" t="s">
        <v>67</v>
      </c>
      <c r="Z439" t="s">
        <v>68</v>
      </c>
      <c r="AB439">
        <v>4</v>
      </c>
      <c r="AC439" t="s">
        <v>61</v>
      </c>
      <c r="AJ439" t="s">
        <v>69</v>
      </c>
      <c r="AY439" t="s">
        <v>309</v>
      </c>
      <c r="AZ439">
        <v>17138</v>
      </c>
      <c r="BA439" t="s">
        <v>310</v>
      </c>
      <c r="BB439" t="s">
        <v>311</v>
      </c>
      <c r="BC439">
        <v>1991</v>
      </c>
      <c r="BD439" t="s">
        <v>73</v>
      </c>
    </row>
    <row r="440" spans="1:56" x14ac:dyDescent="0.35">
      <c r="A440">
        <v>79947</v>
      </c>
      <c r="B440" t="s">
        <v>589</v>
      </c>
      <c r="D440" t="s">
        <v>85</v>
      </c>
      <c r="E440">
        <v>97.7</v>
      </c>
      <c r="F440" t="s">
        <v>58</v>
      </c>
      <c r="G440" t="s">
        <v>59</v>
      </c>
      <c r="H440" t="s">
        <v>60</v>
      </c>
      <c r="J440">
        <v>30</v>
      </c>
      <c r="K440" t="s">
        <v>61</v>
      </c>
      <c r="L440" t="s">
        <v>62</v>
      </c>
      <c r="M440" t="s">
        <v>63</v>
      </c>
      <c r="N440" t="s">
        <v>64</v>
      </c>
      <c r="P440" t="s">
        <v>65</v>
      </c>
      <c r="R440">
        <v>0.71</v>
      </c>
      <c r="W440" t="s">
        <v>66</v>
      </c>
      <c r="X440" t="s">
        <v>67</v>
      </c>
      <c r="Y440" t="s">
        <v>67</v>
      </c>
      <c r="Z440" t="s">
        <v>68</v>
      </c>
      <c r="AB440">
        <v>4</v>
      </c>
      <c r="AC440" t="s">
        <v>61</v>
      </c>
      <c r="AJ440" t="s">
        <v>69</v>
      </c>
      <c r="AY440" t="s">
        <v>309</v>
      </c>
      <c r="AZ440">
        <v>17138</v>
      </c>
      <c r="BA440" t="s">
        <v>310</v>
      </c>
      <c r="BB440" t="s">
        <v>311</v>
      </c>
      <c r="BC440">
        <v>1991</v>
      </c>
      <c r="BD440" t="s">
        <v>73</v>
      </c>
    </row>
    <row r="441" spans="1:56" x14ac:dyDescent="0.35">
      <c r="A441">
        <v>79947</v>
      </c>
      <c r="B441" t="s">
        <v>589</v>
      </c>
      <c r="D441" t="s">
        <v>57</v>
      </c>
      <c r="E441">
        <v>100</v>
      </c>
      <c r="F441" t="s">
        <v>58</v>
      </c>
      <c r="G441" t="s">
        <v>59</v>
      </c>
      <c r="H441" t="s">
        <v>60</v>
      </c>
      <c r="J441" t="s">
        <v>86</v>
      </c>
      <c r="L441" t="s">
        <v>74</v>
      </c>
      <c r="M441" t="s">
        <v>63</v>
      </c>
      <c r="N441" t="s">
        <v>64</v>
      </c>
      <c r="O441">
        <v>7</v>
      </c>
      <c r="P441" t="s">
        <v>65</v>
      </c>
      <c r="R441">
        <v>0.54</v>
      </c>
      <c r="T441">
        <v>0.45</v>
      </c>
      <c r="V441">
        <v>0.63</v>
      </c>
      <c r="W441" t="s">
        <v>66</v>
      </c>
      <c r="X441" t="s">
        <v>67</v>
      </c>
      <c r="Y441" t="s">
        <v>67</v>
      </c>
      <c r="Z441" t="s">
        <v>68</v>
      </c>
      <c r="AB441">
        <v>4</v>
      </c>
      <c r="AC441" t="s">
        <v>61</v>
      </c>
      <c r="AJ441" t="s">
        <v>69</v>
      </c>
      <c r="AY441" t="s">
        <v>590</v>
      </c>
      <c r="AZ441">
        <v>180457</v>
      </c>
      <c r="BA441" t="s">
        <v>591</v>
      </c>
      <c r="BB441" t="s">
        <v>592</v>
      </c>
      <c r="BC441">
        <v>2000</v>
      </c>
      <c r="BD441" t="s">
        <v>90</v>
      </c>
    </row>
    <row r="442" spans="1:56" x14ac:dyDescent="0.35">
      <c r="A442">
        <v>79947</v>
      </c>
      <c r="B442" t="s">
        <v>589</v>
      </c>
      <c r="D442" t="s">
        <v>85</v>
      </c>
      <c r="E442" t="s">
        <v>86</v>
      </c>
      <c r="F442" t="s">
        <v>58</v>
      </c>
      <c r="G442" t="s">
        <v>59</v>
      </c>
      <c r="H442" t="s">
        <v>60</v>
      </c>
      <c r="J442" t="s">
        <v>86</v>
      </c>
      <c r="L442" t="s">
        <v>476</v>
      </c>
      <c r="M442" t="s">
        <v>63</v>
      </c>
      <c r="N442" t="s">
        <v>64</v>
      </c>
      <c r="O442">
        <v>3</v>
      </c>
      <c r="P442" t="s">
        <v>100</v>
      </c>
      <c r="Q442" t="s">
        <v>435</v>
      </c>
      <c r="R442">
        <v>750</v>
      </c>
      <c r="W442" t="s">
        <v>66</v>
      </c>
      <c r="X442" t="s">
        <v>67</v>
      </c>
      <c r="Y442" t="s">
        <v>67</v>
      </c>
      <c r="Z442" t="s">
        <v>68</v>
      </c>
      <c r="AB442">
        <v>4</v>
      </c>
      <c r="AC442" t="s">
        <v>61</v>
      </c>
      <c r="AJ442" t="s">
        <v>69</v>
      </c>
      <c r="AY442" t="s">
        <v>593</v>
      </c>
      <c r="AZ442">
        <v>180440</v>
      </c>
      <c r="BA442" t="s">
        <v>594</v>
      </c>
      <c r="BB442" t="s">
        <v>595</v>
      </c>
      <c r="BC442">
        <v>1992</v>
      </c>
      <c r="BD442" t="s">
        <v>596</v>
      </c>
    </row>
    <row r="443" spans="1:56" x14ac:dyDescent="0.35">
      <c r="A443">
        <v>79947</v>
      </c>
      <c r="B443" t="s">
        <v>589</v>
      </c>
      <c r="D443" t="s">
        <v>57</v>
      </c>
      <c r="E443">
        <v>97.7</v>
      </c>
      <c r="F443" t="s">
        <v>58</v>
      </c>
      <c r="G443" t="s">
        <v>59</v>
      </c>
      <c r="H443" t="s">
        <v>60</v>
      </c>
      <c r="J443">
        <v>30</v>
      </c>
      <c r="K443" t="s">
        <v>61</v>
      </c>
      <c r="L443" t="s">
        <v>62</v>
      </c>
      <c r="M443" t="s">
        <v>63</v>
      </c>
      <c r="N443" t="s">
        <v>64</v>
      </c>
      <c r="P443" t="s">
        <v>65</v>
      </c>
      <c r="R443">
        <v>0.06</v>
      </c>
      <c r="W443" t="s">
        <v>66</v>
      </c>
      <c r="X443" t="s">
        <v>67</v>
      </c>
      <c r="Y443" t="s">
        <v>67</v>
      </c>
      <c r="Z443" t="s">
        <v>68</v>
      </c>
      <c r="AB443">
        <v>4</v>
      </c>
      <c r="AC443" t="s">
        <v>61</v>
      </c>
      <c r="AJ443" t="s">
        <v>69</v>
      </c>
      <c r="AY443" t="s">
        <v>309</v>
      </c>
      <c r="AZ443">
        <v>17138</v>
      </c>
      <c r="BA443" t="s">
        <v>310</v>
      </c>
      <c r="BB443" t="s">
        <v>311</v>
      </c>
      <c r="BC443">
        <v>1991</v>
      </c>
      <c r="BD443" t="s">
        <v>73</v>
      </c>
    </row>
    <row r="444" spans="1:56" x14ac:dyDescent="0.35">
      <c r="A444">
        <v>79958</v>
      </c>
      <c r="B444" t="s">
        <v>597</v>
      </c>
      <c r="D444" t="s">
        <v>57</v>
      </c>
      <c r="E444">
        <v>98</v>
      </c>
      <c r="F444" t="s">
        <v>58</v>
      </c>
      <c r="G444" t="s">
        <v>59</v>
      </c>
      <c r="H444" t="s">
        <v>60</v>
      </c>
      <c r="J444">
        <v>31</v>
      </c>
      <c r="K444" t="s">
        <v>61</v>
      </c>
      <c r="L444" t="s">
        <v>74</v>
      </c>
      <c r="M444" t="s">
        <v>63</v>
      </c>
      <c r="N444" t="s">
        <v>64</v>
      </c>
      <c r="P444" t="s">
        <v>65</v>
      </c>
      <c r="R444">
        <v>1.33</v>
      </c>
      <c r="T444">
        <v>1.22</v>
      </c>
      <c r="V444">
        <v>1.45</v>
      </c>
      <c r="W444" t="s">
        <v>66</v>
      </c>
      <c r="X444" t="s">
        <v>67</v>
      </c>
      <c r="Y444" t="s">
        <v>67</v>
      </c>
      <c r="Z444" t="s">
        <v>68</v>
      </c>
      <c r="AB444">
        <v>4</v>
      </c>
      <c r="AC444" t="s">
        <v>61</v>
      </c>
      <c r="AJ444" t="s">
        <v>69</v>
      </c>
      <c r="AY444" t="s">
        <v>80</v>
      </c>
      <c r="AZ444">
        <v>12859</v>
      </c>
      <c r="BA444" t="s">
        <v>81</v>
      </c>
      <c r="BB444" t="s">
        <v>82</v>
      </c>
      <c r="BC444">
        <v>1988</v>
      </c>
      <c r="BD444" t="s">
        <v>73</v>
      </c>
    </row>
    <row r="445" spans="1:56" x14ac:dyDescent="0.35">
      <c r="A445">
        <v>80057</v>
      </c>
      <c r="B445" t="s">
        <v>598</v>
      </c>
      <c r="D445" t="s">
        <v>57</v>
      </c>
      <c r="E445">
        <v>99.93</v>
      </c>
      <c r="F445" t="s">
        <v>58</v>
      </c>
      <c r="G445" t="s">
        <v>59</v>
      </c>
      <c r="H445" t="s">
        <v>60</v>
      </c>
      <c r="J445" t="s">
        <v>86</v>
      </c>
      <c r="L445" t="s">
        <v>62</v>
      </c>
      <c r="M445" t="s">
        <v>63</v>
      </c>
      <c r="N445" t="s">
        <v>64</v>
      </c>
      <c r="P445" t="s">
        <v>65</v>
      </c>
      <c r="R445">
        <v>4.7</v>
      </c>
      <c r="T445">
        <v>4</v>
      </c>
      <c r="V445">
        <v>5.5</v>
      </c>
      <c r="W445" t="s">
        <v>66</v>
      </c>
      <c r="X445" t="s">
        <v>67</v>
      </c>
      <c r="Y445" t="s">
        <v>67</v>
      </c>
      <c r="Z445" t="s">
        <v>68</v>
      </c>
      <c r="AB445">
        <v>4</v>
      </c>
      <c r="AC445" t="s">
        <v>61</v>
      </c>
      <c r="AJ445" t="s">
        <v>69</v>
      </c>
      <c r="AY445" t="s">
        <v>599</v>
      </c>
      <c r="AZ445">
        <v>494</v>
      </c>
      <c r="BA445" t="s">
        <v>600</v>
      </c>
      <c r="BB445" t="s">
        <v>601</v>
      </c>
      <c r="BC445">
        <v>1988</v>
      </c>
      <c r="BD445" t="s">
        <v>90</v>
      </c>
    </row>
    <row r="446" spans="1:56" x14ac:dyDescent="0.35">
      <c r="A446">
        <v>80057</v>
      </c>
      <c r="B446" t="s">
        <v>598</v>
      </c>
      <c r="D446" t="s">
        <v>85</v>
      </c>
      <c r="E446" t="s">
        <v>86</v>
      </c>
      <c r="F446" t="s">
        <v>58</v>
      </c>
      <c r="G446" t="s">
        <v>59</v>
      </c>
      <c r="H446" t="s">
        <v>60</v>
      </c>
      <c r="I446" t="s">
        <v>188</v>
      </c>
      <c r="J446" t="s">
        <v>289</v>
      </c>
      <c r="K446" t="s">
        <v>495</v>
      </c>
      <c r="M446" t="s">
        <v>63</v>
      </c>
      <c r="N446" t="s">
        <v>64</v>
      </c>
      <c r="P446" t="s">
        <v>100</v>
      </c>
      <c r="R446">
        <v>4.2</v>
      </c>
      <c r="W446" t="s">
        <v>66</v>
      </c>
      <c r="X446" t="s">
        <v>67</v>
      </c>
      <c r="Y446" t="s">
        <v>67</v>
      </c>
      <c r="Z446" t="s">
        <v>68</v>
      </c>
      <c r="AB446">
        <v>4</v>
      </c>
      <c r="AC446" t="s">
        <v>61</v>
      </c>
      <c r="AJ446" t="s">
        <v>69</v>
      </c>
      <c r="AY446" t="s">
        <v>496</v>
      </c>
      <c r="AZ446">
        <v>177136</v>
      </c>
      <c r="BA446" t="s">
        <v>497</v>
      </c>
      <c r="BB446" t="s">
        <v>498</v>
      </c>
      <c r="BC446">
        <v>2017</v>
      </c>
      <c r="BD446" t="s">
        <v>499</v>
      </c>
    </row>
    <row r="447" spans="1:56" x14ac:dyDescent="0.35">
      <c r="A447">
        <v>80057</v>
      </c>
      <c r="B447" t="s">
        <v>598</v>
      </c>
      <c r="D447" t="s">
        <v>57</v>
      </c>
      <c r="E447">
        <v>99.93</v>
      </c>
      <c r="F447" t="s">
        <v>58</v>
      </c>
      <c r="G447" t="s">
        <v>59</v>
      </c>
      <c r="H447" t="s">
        <v>60</v>
      </c>
      <c r="J447" t="s">
        <v>86</v>
      </c>
      <c r="L447" t="s">
        <v>74</v>
      </c>
      <c r="M447" t="s">
        <v>63</v>
      </c>
      <c r="N447" t="s">
        <v>64</v>
      </c>
      <c r="P447" t="s">
        <v>65</v>
      </c>
      <c r="R447">
        <v>4.5999999999999996</v>
      </c>
      <c r="T447">
        <v>3.6</v>
      </c>
      <c r="V447">
        <v>5.4</v>
      </c>
      <c r="W447" t="s">
        <v>66</v>
      </c>
      <c r="X447" t="s">
        <v>67</v>
      </c>
      <c r="Y447" t="s">
        <v>67</v>
      </c>
      <c r="Z447" t="s">
        <v>68</v>
      </c>
      <c r="AB447">
        <v>4</v>
      </c>
      <c r="AC447" t="s">
        <v>61</v>
      </c>
      <c r="AJ447" t="s">
        <v>69</v>
      </c>
      <c r="AY447" t="s">
        <v>599</v>
      </c>
      <c r="AZ447">
        <v>494</v>
      </c>
      <c r="BA447" t="s">
        <v>600</v>
      </c>
      <c r="BB447" t="s">
        <v>601</v>
      </c>
      <c r="BC447">
        <v>1988</v>
      </c>
      <c r="BD447" t="s">
        <v>90</v>
      </c>
    </row>
    <row r="448" spans="1:56" x14ac:dyDescent="0.35">
      <c r="A448">
        <v>80068</v>
      </c>
      <c r="B448" t="s">
        <v>602</v>
      </c>
      <c r="D448" t="s">
        <v>85</v>
      </c>
      <c r="E448" t="s">
        <v>86</v>
      </c>
      <c r="F448" t="s">
        <v>58</v>
      </c>
      <c r="G448" t="s">
        <v>59</v>
      </c>
      <c r="H448" t="s">
        <v>60</v>
      </c>
      <c r="J448" t="s">
        <v>86</v>
      </c>
      <c r="M448" t="s">
        <v>63</v>
      </c>
      <c r="N448" t="s">
        <v>64</v>
      </c>
      <c r="P448" t="s">
        <v>100</v>
      </c>
      <c r="R448">
        <v>1.52</v>
      </c>
      <c r="W448" t="s">
        <v>66</v>
      </c>
      <c r="X448" t="s">
        <v>67</v>
      </c>
      <c r="Y448" t="s">
        <v>67</v>
      </c>
      <c r="Z448" t="s">
        <v>68</v>
      </c>
      <c r="AB448">
        <v>4</v>
      </c>
      <c r="AC448" t="s">
        <v>61</v>
      </c>
      <c r="AJ448" t="s">
        <v>69</v>
      </c>
      <c r="AY448" t="s">
        <v>101</v>
      </c>
      <c r="AZ448">
        <v>70421</v>
      </c>
      <c r="BA448" t="s">
        <v>102</v>
      </c>
      <c r="BB448" t="s">
        <v>103</v>
      </c>
      <c r="BC448">
        <v>1974</v>
      </c>
      <c r="BD448" t="s">
        <v>90</v>
      </c>
    </row>
    <row r="449" spans="1:56" x14ac:dyDescent="0.35">
      <c r="A449">
        <v>80068</v>
      </c>
      <c r="B449" t="s">
        <v>602</v>
      </c>
      <c r="E449">
        <v>100</v>
      </c>
      <c r="F449" t="s">
        <v>58</v>
      </c>
      <c r="G449" t="s">
        <v>59</v>
      </c>
      <c r="H449" t="s">
        <v>60</v>
      </c>
      <c r="J449" t="s">
        <v>86</v>
      </c>
      <c r="L449" t="s">
        <v>62</v>
      </c>
      <c r="M449" t="s">
        <v>63</v>
      </c>
      <c r="N449" t="s">
        <v>64</v>
      </c>
      <c r="P449" t="s">
        <v>65</v>
      </c>
      <c r="R449">
        <v>1.52</v>
      </c>
      <c r="T449">
        <v>0.96</v>
      </c>
      <c r="V449">
        <v>2.41</v>
      </c>
      <c r="W449" t="s">
        <v>66</v>
      </c>
      <c r="X449" t="s">
        <v>67</v>
      </c>
      <c r="Y449" t="s">
        <v>67</v>
      </c>
      <c r="Z449" t="s">
        <v>68</v>
      </c>
      <c r="AB449">
        <v>4</v>
      </c>
      <c r="AC449" t="s">
        <v>61</v>
      </c>
      <c r="AJ449" t="s">
        <v>69</v>
      </c>
      <c r="AY449" t="s">
        <v>96</v>
      </c>
      <c r="AZ449">
        <v>6797</v>
      </c>
      <c r="BA449" t="s">
        <v>97</v>
      </c>
      <c r="BB449" t="s">
        <v>98</v>
      </c>
      <c r="BC449">
        <v>1986</v>
      </c>
      <c r="BD449" t="s">
        <v>90</v>
      </c>
    </row>
    <row r="450" spans="1:56" x14ac:dyDescent="0.35">
      <c r="A450">
        <v>80068</v>
      </c>
      <c r="B450" t="s">
        <v>602</v>
      </c>
      <c r="E450">
        <v>100</v>
      </c>
      <c r="F450" t="s">
        <v>58</v>
      </c>
      <c r="G450" t="s">
        <v>59</v>
      </c>
      <c r="H450" t="s">
        <v>60</v>
      </c>
      <c r="J450" t="s">
        <v>86</v>
      </c>
      <c r="L450" t="s">
        <v>62</v>
      </c>
      <c r="M450" t="s">
        <v>63</v>
      </c>
      <c r="N450" t="s">
        <v>64</v>
      </c>
      <c r="P450" t="s">
        <v>65</v>
      </c>
      <c r="R450">
        <v>1.39</v>
      </c>
      <c r="T450">
        <v>0.95</v>
      </c>
      <c r="V450">
        <v>2.0499999999999998</v>
      </c>
      <c r="W450" t="s">
        <v>66</v>
      </c>
      <c r="X450" t="s">
        <v>67</v>
      </c>
      <c r="Y450" t="s">
        <v>67</v>
      </c>
      <c r="Z450" t="s">
        <v>68</v>
      </c>
      <c r="AB450">
        <v>4</v>
      </c>
      <c r="AC450" t="s">
        <v>61</v>
      </c>
      <c r="AJ450" t="s">
        <v>69</v>
      </c>
      <c r="AY450" t="s">
        <v>96</v>
      </c>
      <c r="AZ450">
        <v>6797</v>
      </c>
      <c r="BA450" t="s">
        <v>97</v>
      </c>
      <c r="BB450" t="s">
        <v>98</v>
      </c>
      <c r="BC450">
        <v>1986</v>
      </c>
      <c r="BD450" t="s">
        <v>90</v>
      </c>
    </row>
    <row r="451" spans="1:56" x14ac:dyDescent="0.35">
      <c r="A451">
        <v>80159</v>
      </c>
      <c r="B451" t="s">
        <v>603</v>
      </c>
      <c r="D451" t="s">
        <v>85</v>
      </c>
      <c r="E451" t="s">
        <v>86</v>
      </c>
      <c r="F451" t="s">
        <v>58</v>
      </c>
      <c r="G451" t="s">
        <v>59</v>
      </c>
      <c r="H451" t="s">
        <v>60</v>
      </c>
      <c r="I451" t="s">
        <v>188</v>
      </c>
      <c r="J451" t="s">
        <v>289</v>
      </c>
      <c r="K451" t="s">
        <v>495</v>
      </c>
      <c r="M451" t="s">
        <v>63</v>
      </c>
      <c r="N451" t="s">
        <v>64</v>
      </c>
      <c r="P451" t="s">
        <v>100</v>
      </c>
      <c r="R451">
        <v>12.7</v>
      </c>
      <c r="W451" t="s">
        <v>66</v>
      </c>
      <c r="X451" t="s">
        <v>67</v>
      </c>
      <c r="Y451" t="s">
        <v>67</v>
      </c>
      <c r="Z451" t="s">
        <v>68</v>
      </c>
      <c r="AB451">
        <v>4</v>
      </c>
      <c r="AC451" t="s">
        <v>61</v>
      </c>
      <c r="AJ451" t="s">
        <v>69</v>
      </c>
      <c r="AY451" t="s">
        <v>496</v>
      </c>
      <c r="AZ451">
        <v>177136</v>
      </c>
      <c r="BA451" t="s">
        <v>497</v>
      </c>
      <c r="BB451" t="s">
        <v>498</v>
      </c>
      <c r="BC451">
        <v>2017</v>
      </c>
      <c r="BD451" t="s">
        <v>499</v>
      </c>
    </row>
    <row r="452" spans="1:56" x14ac:dyDescent="0.35">
      <c r="A452">
        <v>80466</v>
      </c>
      <c r="B452" t="s">
        <v>604</v>
      </c>
      <c r="D452" t="s">
        <v>57</v>
      </c>
      <c r="E452" t="s">
        <v>407</v>
      </c>
      <c r="F452" t="s">
        <v>58</v>
      </c>
      <c r="G452" t="s">
        <v>59</v>
      </c>
      <c r="H452" t="s">
        <v>60</v>
      </c>
      <c r="J452" t="s">
        <v>86</v>
      </c>
      <c r="K452" t="s">
        <v>61</v>
      </c>
      <c r="L452" t="s">
        <v>74</v>
      </c>
      <c r="M452" t="s">
        <v>63</v>
      </c>
      <c r="N452" t="s">
        <v>64</v>
      </c>
      <c r="P452" t="s">
        <v>65</v>
      </c>
      <c r="R452">
        <v>2.5</v>
      </c>
      <c r="T452">
        <v>1.87</v>
      </c>
      <c r="V452">
        <v>3.34</v>
      </c>
      <c r="W452" t="s">
        <v>66</v>
      </c>
      <c r="X452" t="s">
        <v>67</v>
      </c>
      <c r="Y452" t="s">
        <v>67</v>
      </c>
      <c r="Z452" t="s">
        <v>68</v>
      </c>
      <c r="AB452">
        <v>4</v>
      </c>
      <c r="AC452" t="s">
        <v>61</v>
      </c>
      <c r="AJ452" t="s">
        <v>69</v>
      </c>
      <c r="AY452" t="s">
        <v>258</v>
      </c>
      <c r="AZ452">
        <v>10954</v>
      </c>
      <c r="BA452" t="s">
        <v>259</v>
      </c>
      <c r="BB452" t="s">
        <v>260</v>
      </c>
      <c r="BC452">
        <v>1984</v>
      </c>
      <c r="BD452" t="s">
        <v>261</v>
      </c>
    </row>
    <row r="453" spans="1:56" x14ac:dyDescent="0.35">
      <c r="A453">
        <v>80466</v>
      </c>
      <c r="B453" t="s">
        <v>604</v>
      </c>
      <c r="D453" t="s">
        <v>57</v>
      </c>
      <c r="E453" t="s">
        <v>128</v>
      </c>
      <c r="F453" t="s">
        <v>58</v>
      </c>
      <c r="G453" t="s">
        <v>59</v>
      </c>
      <c r="H453" t="s">
        <v>60</v>
      </c>
      <c r="I453" t="s">
        <v>129</v>
      </c>
      <c r="J453" t="s">
        <v>86</v>
      </c>
      <c r="K453" t="s">
        <v>61</v>
      </c>
      <c r="L453" t="s">
        <v>74</v>
      </c>
      <c r="M453" t="s">
        <v>63</v>
      </c>
      <c r="N453" t="s">
        <v>64</v>
      </c>
      <c r="P453" t="s">
        <v>65</v>
      </c>
      <c r="R453">
        <v>2.59</v>
      </c>
      <c r="W453" t="s">
        <v>66</v>
      </c>
      <c r="X453" t="s">
        <v>67</v>
      </c>
      <c r="Y453" t="s">
        <v>67</v>
      </c>
      <c r="Z453" t="s">
        <v>68</v>
      </c>
      <c r="AB453">
        <v>4</v>
      </c>
      <c r="AC453" t="s">
        <v>61</v>
      </c>
      <c r="AJ453" t="s">
        <v>69</v>
      </c>
      <c r="AY453" t="s">
        <v>134</v>
      </c>
      <c r="AZ453">
        <v>15031</v>
      </c>
      <c r="BA453" t="s">
        <v>135</v>
      </c>
      <c r="BB453" t="s">
        <v>136</v>
      </c>
      <c r="BC453">
        <v>1995</v>
      </c>
      <c r="BD453" t="s">
        <v>133</v>
      </c>
    </row>
    <row r="454" spans="1:56" x14ac:dyDescent="0.35">
      <c r="A454">
        <v>80466</v>
      </c>
      <c r="B454" t="s">
        <v>604</v>
      </c>
      <c r="D454" t="s">
        <v>57</v>
      </c>
      <c r="E454">
        <v>98</v>
      </c>
      <c r="F454" t="s">
        <v>58</v>
      </c>
      <c r="G454" t="s">
        <v>59</v>
      </c>
      <c r="H454" t="s">
        <v>60</v>
      </c>
      <c r="J454">
        <v>32</v>
      </c>
      <c r="K454" t="s">
        <v>61</v>
      </c>
      <c r="L454" t="s">
        <v>74</v>
      </c>
      <c r="M454" t="s">
        <v>63</v>
      </c>
      <c r="N454" t="s">
        <v>64</v>
      </c>
      <c r="P454" t="s">
        <v>65</v>
      </c>
      <c r="R454">
        <v>2.59</v>
      </c>
      <c r="W454" t="s">
        <v>66</v>
      </c>
      <c r="X454" t="s">
        <v>67</v>
      </c>
      <c r="Y454" t="s">
        <v>67</v>
      </c>
      <c r="Z454" t="s">
        <v>68</v>
      </c>
      <c r="AB454">
        <v>4</v>
      </c>
      <c r="AC454" t="s">
        <v>61</v>
      </c>
      <c r="AJ454" t="s">
        <v>69</v>
      </c>
      <c r="AY454" t="s">
        <v>141</v>
      </c>
      <c r="AZ454">
        <v>12447</v>
      </c>
      <c r="BA454" t="s">
        <v>142</v>
      </c>
      <c r="BB454" t="s">
        <v>143</v>
      </c>
      <c r="BC454">
        <v>1985</v>
      </c>
      <c r="BD454" t="s">
        <v>73</v>
      </c>
    </row>
    <row r="455" spans="1:56" x14ac:dyDescent="0.35">
      <c r="A455">
        <v>80524</v>
      </c>
      <c r="B455" t="s">
        <v>605</v>
      </c>
      <c r="D455" t="s">
        <v>57</v>
      </c>
      <c r="E455" t="s">
        <v>86</v>
      </c>
      <c r="F455" t="s">
        <v>58</v>
      </c>
      <c r="G455" t="s">
        <v>59</v>
      </c>
      <c r="H455" t="s">
        <v>60</v>
      </c>
      <c r="J455">
        <v>29</v>
      </c>
      <c r="K455" t="s">
        <v>61</v>
      </c>
      <c r="L455" t="s">
        <v>74</v>
      </c>
      <c r="M455" t="s">
        <v>63</v>
      </c>
      <c r="N455" t="s">
        <v>64</v>
      </c>
      <c r="P455" t="s">
        <v>65</v>
      </c>
      <c r="R455">
        <v>65.3</v>
      </c>
      <c r="W455" t="s">
        <v>66</v>
      </c>
      <c r="X455" t="s">
        <v>67</v>
      </c>
      <c r="Y455" t="s">
        <v>67</v>
      </c>
      <c r="Z455" t="s">
        <v>68</v>
      </c>
      <c r="AB455">
        <v>4</v>
      </c>
      <c r="AC455" t="s">
        <v>61</v>
      </c>
      <c r="AJ455" t="s">
        <v>69</v>
      </c>
      <c r="AY455" t="s">
        <v>80</v>
      </c>
      <c r="AZ455">
        <v>12859</v>
      </c>
      <c r="BA455" t="s">
        <v>81</v>
      </c>
      <c r="BB455" t="s">
        <v>82</v>
      </c>
      <c r="BC455">
        <v>1988</v>
      </c>
      <c r="BD455" t="s">
        <v>73</v>
      </c>
    </row>
    <row r="456" spans="1:56" x14ac:dyDescent="0.35">
      <c r="A456">
        <v>80626</v>
      </c>
      <c r="B456" t="s">
        <v>606</v>
      </c>
      <c r="D456" t="s">
        <v>85</v>
      </c>
      <c r="E456" t="s">
        <v>86</v>
      </c>
      <c r="F456" t="s">
        <v>58</v>
      </c>
      <c r="G456" t="s">
        <v>59</v>
      </c>
      <c r="H456" t="s">
        <v>60</v>
      </c>
      <c r="J456">
        <v>1</v>
      </c>
      <c r="K456" t="s">
        <v>61</v>
      </c>
      <c r="L456" t="s">
        <v>62</v>
      </c>
      <c r="M456" t="s">
        <v>63</v>
      </c>
      <c r="N456" t="s">
        <v>64</v>
      </c>
      <c r="P456" t="s">
        <v>100</v>
      </c>
      <c r="R456">
        <v>400</v>
      </c>
      <c r="W456" t="s">
        <v>66</v>
      </c>
      <c r="X456" t="s">
        <v>67</v>
      </c>
      <c r="Y456" t="s">
        <v>67</v>
      </c>
      <c r="Z456" t="s">
        <v>68</v>
      </c>
      <c r="AB456">
        <v>4</v>
      </c>
      <c r="AC456" t="s">
        <v>61</v>
      </c>
      <c r="AJ456" t="s">
        <v>69</v>
      </c>
      <c r="AY456" t="s">
        <v>168</v>
      </c>
      <c r="AZ456">
        <v>728</v>
      </c>
      <c r="BA456" t="s">
        <v>426</v>
      </c>
      <c r="BB456" t="s">
        <v>427</v>
      </c>
      <c r="BC456">
        <v>1966</v>
      </c>
      <c r="BD456" t="s">
        <v>73</v>
      </c>
    </row>
    <row r="457" spans="1:56" x14ac:dyDescent="0.35">
      <c r="A457">
        <v>80626</v>
      </c>
      <c r="B457" t="s">
        <v>606</v>
      </c>
      <c r="D457" t="s">
        <v>85</v>
      </c>
      <c r="E457" t="s">
        <v>86</v>
      </c>
      <c r="F457" t="s">
        <v>58</v>
      </c>
      <c r="G457" t="s">
        <v>59</v>
      </c>
      <c r="H457" t="s">
        <v>60</v>
      </c>
      <c r="J457">
        <v>4</v>
      </c>
      <c r="K457" t="s">
        <v>61</v>
      </c>
      <c r="L457" t="s">
        <v>62</v>
      </c>
      <c r="M457" t="s">
        <v>63</v>
      </c>
      <c r="N457" t="s">
        <v>64</v>
      </c>
      <c r="P457" t="s">
        <v>100</v>
      </c>
      <c r="R457">
        <v>460</v>
      </c>
      <c r="W457" t="s">
        <v>66</v>
      </c>
      <c r="X457" t="s">
        <v>67</v>
      </c>
      <c r="Y457" t="s">
        <v>67</v>
      </c>
      <c r="Z457" t="s">
        <v>68</v>
      </c>
      <c r="AB457">
        <v>4</v>
      </c>
      <c r="AC457" t="s">
        <v>61</v>
      </c>
      <c r="AJ457" t="s">
        <v>69</v>
      </c>
      <c r="AY457" t="s">
        <v>168</v>
      </c>
      <c r="AZ457">
        <v>728</v>
      </c>
      <c r="BA457" t="s">
        <v>426</v>
      </c>
      <c r="BB457" t="s">
        <v>427</v>
      </c>
      <c r="BC457">
        <v>1966</v>
      </c>
      <c r="BD457" t="s">
        <v>73</v>
      </c>
    </row>
    <row r="458" spans="1:56" x14ac:dyDescent="0.35">
      <c r="A458">
        <v>80626</v>
      </c>
      <c r="B458" t="s">
        <v>606</v>
      </c>
      <c r="D458" t="s">
        <v>57</v>
      </c>
      <c r="E458">
        <v>99</v>
      </c>
      <c r="F458" t="s">
        <v>58</v>
      </c>
      <c r="G458" t="s">
        <v>59</v>
      </c>
      <c r="H458" t="s">
        <v>60</v>
      </c>
      <c r="J458">
        <v>31</v>
      </c>
      <c r="K458" t="s">
        <v>61</v>
      </c>
      <c r="L458" t="s">
        <v>74</v>
      </c>
      <c r="M458" t="s">
        <v>63</v>
      </c>
      <c r="N458" t="s">
        <v>64</v>
      </c>
      <c r="P458" t="s">
        <v>65</v>
      </c>
      <c r="R458">
        <v>259</v>
      </c>
      <c r="T458">
        <v>243</v>
      </c>
      <c r="V458">
        <v>275</v>
      </c>
      <c r="W458" t="s">
        <v>66</v>
      </c>
      <c r="X458" t="s">
        <v>67</v>
      </c>
      <c r="Y458" t="s">
        <v>67</v>
      </c>
      <c r="Z458" t="s">
        <v>68</v>
      </c>
      <c r="AB458">
        <v>4</v>
      </c>
      <c r="AC458" t="s">
        <v>61</v>
      </c>
      <c r="AJ458" t="s">
        <v>69</v>
      </c>
      <c r="AY458" t="s">
        <v>75</v>
      </c>
      <c r="AZ458">
        <v>3217</v>
      </c>
      <c r="BA458" t="s">
        <v>76</v>
      </c>
      <c r="BB458" t="s">
        <v>77</v>
      </c>
      <c r="BC458">
        <v>1990</v>
      </c>
      <c r="BD458" t="s">
        <v>73</v>
      </c>
    </row>
    <row r="459" spans="1:56" x14ac:dyDescent="0.35">
      <c r="A459">
        <v>80626</v>
      </c>
      <c r="B459" t="s">
        <v>606</v>
      </c>
      <c r="D459" t="s">
        <v>85</v>
      </c>
      <c r="E459" t="s">
        <v>86</v>
      </c>
      <c r="F459" t="s">
        <v>58</v>
      </c>
      <c r="G459" t="s">
        <v>59</v>
      </c>
      <c r="H459" t="s">
        <v>60</v>
      </c>
      <c r="I459" t="s">
        <v>211</v>
      </c>
      <c r="J459" t="s">
        <v>86</v>
      </c>
      <c r="L459" t="s">
        <v>62</v>
      </c>
      <c r="M459" t="s">
        <v>63</v>
      </c>
      <c r="N459" t="s">
        <v>64</v>
      </c>
      <c r="P459" t="s">
        <v>100</v>
      </c>
      <c r="R459">
        <v>150</v>
      </c>
      <c r="W459" t="s">
        <v>66</v>
      </c>
      <c r="X459" t="s">
        <v>67</v>
      </c>
      <c r="Y459" t="s">
        <v>67</v>
      </c>
      <c r="Z459" t="s">
        <v>68</v>
      </c>
      <c r="AB459">
        <v>4</v>
      </c>
      <c r="AC459" t="s">
        <v>61</v>
      </c>
      <c r="AJ459" t="s">
        <v>69</v>
      </c>
      <c r="AY459" t="s">
        <v>168</v>
      </c>
      <c r="AZ459">
        <v>728</v>
      </c>
      <c r="BA459" t="s">
        <v>426</v>
      </c>
      <c r="BB459" t="s">
        <v>427</v>
      </c>
      <c r="BC459">
        <v>1966</v>
      </c>
      <c r="BD459" t="s">
        <v>90</v>
      </c>
    </row>
    <row r="460" spans="1:56" x14ac:dyDescent="0.35">
      <c r="A460">
        <v>80626</v>
      </c>
      <c r="B460" t="s">
        <v>606</v>
      </c>
      <c r="D460" t="s">
        <v>85</v>
      </c>
      <c r="E460" t="s">
        <v>86</v>
      </c>
      <c r="F460" t="s">
        <v>58</v>
      </c>
      <c r="G460" t="s">
        <v>59</v>
      </c>
      <c r="H460" t="s">
        <v>60</v>
      </c>
      <c r="J460" t="s">
        <v>86</v>
      </c>
      <c r="L460" t="s">
        <v>62</v>
      </c>
      <c r="M460" t="s">
        <v>63</v>
      </c>
      <c r="N460" t="s">
        <v>64</v>
      </c>
      <c r="P460" t="s">
        <v>100</v>
      </c>
      <c r="R460">
        <v>160.19999999999999</v>
      </c>
      <c r="T460">
        <v>136.30000000000001</v>
      </c>
      <c r="V460">
        <v>183.4</v>
      </c>
      <c r="W460" t="s">
        <v>66</v>
      </c>
      <c r="X460" t="s">
        <v>67</v>
      </c>
      <c r="Y460" t="s">
        <v>67</v>
      </c>
      <c r="Z460" t="s">
        <v>68</v>
      </c>
      <c r="AB460">
        <v>4</v>
      </c>
      <c r="AC460" t="s">
        <v>61</v>
      </c>
      <c r="AJ460" t="s">
        <v>69</v>
      </c>
      <c r="AY460" t="s">
        <v>168</v>
      </c>
      <c r="AZ460">
        <v>728</v>
      </c>
      <c r="BA460" t="s">
        <v>426</v>
      </c>
      <c r="BB460" t="s">
        <v>427</v>
      </c>
      <c r="BC460">
        <v>1966</v>
      </c>
      <c r="BD460" t="s">
        <v>90</v>
      </c>
    </row>
    <row r="461" spans="1:56" x14ac:dyDescent="0.35">
      <c r="A461">
        <v>80626</v>
      </c>
      <c r="B461" t="s">
        <v>606</v>
      </c>
      <c r="D461" t="s">
        <v>85</v>
      </c>
      <c r="E461" t="s">
        <v>86</v>
      </c>
      <c r="F461" t="s">
        <v>58</v>
      </c>
      <c r="G461" t="s">
        <v>59</v>
      </c>
      <c r="H461" t="s">
        <v>60</v>
      </c>
      <c r="J461" t="s">
        <v>86</v>
      </c>
      <c r="L461" t="s">
        <v>62</v>
      </c>
      <c r="M461" t="s">
        <v>63</v>
      </c>
      <c r="N461" t="s">
        <v>64</v>
      </c>
      <c r="P461" t="s">
        <v>100</v>
      </c>
      <c r="R461">
        <v>159.1</v>
      </c>
      <c r="T461">
        <v>125.5</v>
      </c>
      <c r="V461">
        <v>190.7</v>
      </c>
      <c r="W461" t="s">
        <v>66</v>
      </c>
      <c r="X461" t="s">
        <v>67</v>
      </c>
      <c r="Y461" t="s">
        <v>67</v>
      </c>
      <c r="Z461" t="s">
        <v>68</v>
      </c>
      <c r="AB461">
        <v>4</v>
      </c>
      <c r="AC461" t="s">
        <v>61</v>
      </c>
      <c r="AJ461" t="s">
        <v>69</v>
      </c>
      <c r="AY461" t="s">
        <v>168</v>
      </c>
      <c r="AZ461">
        <v>728</v>
      </c>
      <c r="BA461" t="s">
        <v>426</v>
      </c>
      <c r="BB461" t="s">
        <v>427</v>
      </c>
      <c r="BC461">
        <v>1966</v>
      </c>
      <c r="BD461" t="s">
        <v>90</v>
      </c>
    </row>
    <row r="462" spans="1:56" x14ac:dyDescent="0.35">
      <c r="A462">
        <v>80626</v>
      </c>
      <c r="B462" t="s">
        <v>606</v>
      </c>
      <c r="D462" t="s">
        <v>85</v>
      </c>
      <c r="E462" t="s">
        <v>86</v>
      </c>
      <c r="F462" t="s">
        <v>58</v>
      </c>
      <c r="G462" t="s">
        <v>59</v>
      </c>
      <c r="H462" t="s">
        <v>60</v>
      </c>
      <c r="I462" t="s">
        <v>211</v>
      </c>
      <c r="J462" t="s">
        <v>86</v>
      </c>
      <c r="L462" t="s">
        <v>62</v>
      </c>
      <c r="M462" t="s">
        <v>63</v>
      </c>
      <c r="N462" t="s">
        <v>64</v>
      </c>
      <c r="P462" t="s">
        <v>100</v>
      </c>
      <c r="R462">
        <v>130</v>
      </c>
      <c r="W462" t="s">
        <v>66</v>
      </c>
      <c r="X462" t="s">
        <v>67</v>
      </c>
      <c r="Y462" t="s">
        <v>67</v>
      </c>
      <c r="Z462" t="s">
        <v>68</v>
      </c>
      <c r="AB462">
        <v>4</v>
      </c>
      <c r="AC462" t="s">
        <v>61</v>
      </c>
      <c r="AJ462" t="s">
        <v>69</v>
      </c>
      <c r="AY462" t="s">
        <v>168</v>
      </c>
      <c r="AZ462">
        <v>728</v>
      </c>
      <c r="BA462" t="s">
        <v>426</v>
      </c>
      <c r="BB462" t="s">
        <v>427</v>
      </c>
      <c r="BC462">
        <v>1966</v>
      </c>
      <c r="BD462" t="s">
        <v>90</v>
      </c>
    </row>
    <row r="463" spans="1:56" x14ac:dyDescent="0.35">
      <c r="A463">
        <v>80626</v>
      </c>
      <c r="B463" t="s">
        <v>606</v>
      </c>
      <c r="D463" t="s">
        <v>85</v>
      </c>
      <c r="E463" t="s">
        <v>86</v>
      </c>
      <c r="F463" t="s">
        <v>58</v>
      </c>
      <c r="G463" t="s">
        <v>59</v>
      </c>
      <c r="H463" t="s">
        <v>60</v>
      </c>
      <c r="I463" t="s">
        <v>211</v>
      </c>
      <c r="J463" t="s">
        <v>86</v>
      </c>
      <c r="L463" t="s">
        <v>62</v>
      </c>
      <c r="M463" t="s">
        <v>63</v>
      </c>
      <c r="N463" t="s">
        <v>64</v>
      </c>
      <c r="P463" t="s">
        <v>100</v>
      </c>
      <c r="R463">
        <v>320</v>
      </c>
      <c r="W463" t="s">
        <v>66</v>
      </c>
      <c r="X463" t="s">
        <v>67</v>
      </c>
      <c r="Y463" t="s">
        <v>67</v>
      </c>
      <c r="Z463" t="s">
        <v>68</v>
      </c>
      <c r="AB463">
        <v>4</v>
      </c>
      <c r="AC463" t="s">
        <v>61</v>
      </c>
      <c r="AJ463" t="s">
        <v>69</v>
      </c>
      <c r="AY463" t="s">
        <v>168</v>
      </c>
      <c r="AZ463">
        <v>728</v>
      </c>
      <c r="BA463" t="s">
        <v>426</v>
      </c>
      <c r="BB463" t="s">
        <v>427</v>
      </c>
      <c r="BC463">
        <v>1966</v>
      </c>
      <c r="BD463" t="s">
        <v>90</v>
      </c>
    </row>
    <row r="464" spans="1:56" x14ac:dyDescent="0.35">
      <c r="A464">
        <v>80626</v>
      </c>
      <c r="B464" t="s">
        <v>606</v>
      </c>
      <c r="D464" t="s">
        <v>85</v>
      </c>
      <c r="E464" t="s">
        <v>86</v>
      </c>
      <c r="F464" t="s">
        <v>58</v>
      </c>
      <c r="G464" t="s">
        <v>59</v>
      </c>
      <c r="H464" t="s">
        <v>60</v>
      </c>
      <c r="J464">
        <v>2</v>
      </c>
      <c r="K464" t="s">
        <v>61</v>
      </c>
      <c r="L464" t="s">
        <v>62</v>
      </c>
      <c r="M464" t="s">
        <v>63</v>
      </c>
      <c r="N464" t="s">
        <v>64</v>
      </c>
      <c r="P464" t="s">
        <v>100</v>
      </c>
      <c r="R464">
        <v>430</v>
      </c>
      <c r="W464" t="s">
        <v>66</v>
      </c>
      <c r="X464" t="s">
        <v>67</v>
      </c>
      <c r="Y464" t="s">
        <v>67</v>
      </c>
      <c r="Z464" t="s">
        <v>68</v>
      </c>
      <c r="AB464">
        <v>4</v>
      </c>
      <c r="AC464" t="s">
        <v>61</v>
      </c>
      <c r="AJ464" t="s">
        <v>69</v>
      </c>
      <c r="AY464" t="s">
        <v>168</v>
      </c>
      <c r="AZ464">
        <v>728</v>
      </c>
      <c r="BA464" t="s">
        <v>426</v>
      </c>
      <c r="BB464" t="s">
        <v>427</v>
      </c>
      <c r="BC464">
        <v>1966</v>
      </c>
      <c r="BD464" t="s">
        <v>73</v>
      </c>
    </row>
    <row r="465" spans="1:56" x14ac:dyDescent="0.35">
      <c r="A465">
        <v>80626</v>
      </c>
      <c r="B465" t="s">
        <v>606</v>
      </c>
      <c r="D465" t="s">
        <v>85</v>
      </c>
      <c r="E465" t="s">
        <v>86</v>
      </c>
      <c r="F465" t="s">
        <v>58</v>
      </c>
      <c r="G465" t="s">
        <v>59</v>
      </c>
      <c r="H465" t="s">
        <v>60</v>
      </c>
      <c r="J465">
        <v>1</v>
      </c>
      <c r="K465" t="s">
        <v>61</v>
      </c>
      <c r="L465" t="s">
        <v>62</v>
      </c>
      <c r="M465" t="s">
        <v>63</v>
      </c>
      <c r="N465" t="s">
        <v>64</v>
      </c>
      <c r="P465" t="s">
        <v>100</v>
      </c>
      <c r="R465">
        <v>410</v>
      </c>
      <c r="W465" t="s">
        <v>66</v>
      </c>
      <c r="X465" t="s">
        <v>67</v>
      </c>
      <c r="Y465" t="s">
        <v>67</v>
      </c>
      <c r="Z465" t="s">
        <v>68</v>
      </c>
      <c r="AB465">
        <v>4</v>
      </c>
      <c r="AC465" t="s">
        <v>61</v>
      </c>
      <c r="AJ465" t="s">
        <v>69</v>
      </c>
      <c r="AY465" t="s">
        <v>168</v>
      </c>
      <c r="AZ465">
        <v>728</v>
      </c>
      <c r="BA465" t="s">
        <v>426</v>
      </c>
      <c r="BB465" t="s">
        <v>427</v>
      </c>
      <c r="BC465">
        <v>1966</v>
      </c>
      <c r="BD465" t="s">
        <v>73</v>
      </c>
    </row>
    <row r="466" spans="1:56" x14ac:dyDescent="0.35">
      <c r="A466">
        <v>80626</v>
      </c>
      <c r="B466" t="s">
        <v>606</v>
      </c>
      <c r="D466" t="s">
        <v>85</v>
      </c>
      <c r="E466" t="s">
        <v>86</v>
      </c>
      <c r="F466" t="s">
        <v>58</v>
      </c>
      <c r="G466" t="s">
        <v>59</v>
      </c>
      <c r="H466" t="s">
        <v>60</v>
      </c>
      <c r="J466">
        <v>2</v>
      </c>
      <c r="K466" t="s">
        <v>61</v>
      </c>
      <c r="L466" t="s">
        <v>62</v>
      </c>
      <c r="M466" t="s">
        <v>63</v>
      </c>
      <c r="N466" t="s">
        <v>64</v>
      </c>
      <c r="P466" t="s">
        <v>100</v>
      </c>
      <c r="R466">
        <v>410</v>
      </c>
      <c r="W466" t="s">
        <v>66</v>
      </c>
      <c r="X466" t="s">
        <v>67</v>
      </c>
      <c r="Y466" t="s">
        <v>67</v>
      </c>
      <c r="Z466" t="s">
        <v>68</v>
      </c>
      <c r="AB466">
        <v>4</v>
      </c>
      <c r="AC466" t="s">
        <v>61</v>
      </c>
      <c r="AJ466" t="s">
        <v>69</v>
      </c>
      <c r="AY466" t="s">
        <v>168</v>
      </c>
      <c r="AZ466">
        <v>728</v>
      </c>
      <c r="BA466" t="s">
        <v>426</v>
      </c>
      <c r="BB466" t="s">
        <v>427</v>
      </c>
      <c r="BC466">
        <v>1966</v>
      </c>
      <c r="BD466" t="s">
        <v>73</v>
      </c>
    </row>
    <row r="467" spans="1:56" x14ac:dyDescent="0.35">
      <c r="A467">
        <v>80626</v>
      </c>
      <c r="B467" t="s">
        <v>606</v>
      </c>
      <c r="D467" t="s">
        <v>85</v>
      </c>
      <c r="E467" t="s">
        <v>86</v>
      </c>
      <c r="F467" t="s">
        <v>58</v>
      </c>
      <c r="G467" t="s">
        <v>59</v>
      </c>
      <c r="H467" t="s">
        <v>60</v>
      </c>
      <c r="I467" t="s">
        <v>211</v>
      </c>
      <c r="J467" t="s">
        <v>86</v>
      </c>
      <c r="L467" t="s">
        <v>62</v>
      </c>
      <c r="M467" t="s">
        <v>63</v>
      </c>
      <c r="N467" t="s">
        <v>64</v>
      </c>
      <c r="P467" t="s">
        <v>100</v>
      </c>
      <c r="R467">
        <v>350</v>
      </c>
      <c r="W467" t="s">
        <v>66</v>
      </c>
      <c r="X467" t="s">
        <v>67</v>
      </c>
      <c r="Y467" t="s">
        <v>67</v>
      </c>
      <c r="Z467" t="s">
        <v>68</v>
      </c>
      <c r="AB467">
        <v>4</v>
      </c>
      <c r="AC467" t="s">
        <v>61</v>
      </c>
      <c r="AJ467" t="s">
        <v>69</v>
      </c>
      <c r="AY467" t="s">
        <v>168</v>
      </c>
      <c r="AZ467">
        <v>728</v>
      </c>
      <c r="BA467" t="s">
        <v>426</v>
      </c>
      <c r="BB467" t="s">
        <v>427</v>
      </c>
      <c r="BC467">
        <v>1966</v>
      </c>
      <c r="BD467" t="s">
        <v>90</v>
      </c>
    </row>
    <row r="468" spans="1:56" x14ac:dyDescent="0.35">
      <c r="A468">
        <v>80626</v>
      </c>
      <c r="B468" t="s">
        <v>606</v>
      </c>
      <c r="D468" t="s">
        <v>85</v>
      </c>
      <c r="E468" t="s">
        <v>86</v>
      </c>
      <c r="F468" t="s">
        <v>58</v>
      </c>
      <c r="G468" t="s">
        <v>59</v>
      </c>
      <c r="H468" t="s">
        <v>60</v>
      </c>
      <c r="J468" t="s">
        <v>86</v>
      </c>
      <c r="L468" t="s">
        <v>62</v>
      </c>
      <c r="M468" t="s">
        <v>63</v>
      </c>
      <c r="N468" t="s">
        <v>64</v>
      </c>
      <c r="P468" t="s">
        <v>100</v>
      </c>
      <c r="R468">
        <v>311</v>
      </c>
      <c r="T468">
        <v>248.3</v>
      </c>
      <c r="V468">
        <v>418.7</v>
      </c>
      <c r="W468" t="s">
        <v>66</v>
      </c>
      <c r="X468" t="s">
        <v>67</v>
      </c>
      <c r="Y468" t="s">
        <v>67</v>
      </c>
      <c r="Z468" t="s">
        <v>68</v>
      </c>
      <c r="AB468">
        <v>4</v>
      </c>
      <c r="AC468" t="s">
        <v>61</v>
      </c>
      <c r="AJ468" t="s">
        <v>69</v>
      </c>
      <c r="AY468" t="s">
        <v>168</v>
      </c>
      <c r="AZ468">
        <v>728</v>
      </c>
      <c r="BA468" t="s">
        <v>426</v>
      </c>
      <c r="BB468" t="s">
        <v>427</v>
      </c>
      <c r="BC468">
        <v>1966</v>
      </c>
      <c r="BD468" t="s">
        <v>90</v>
      </c>
    </row>
    <row r="469" spans="1:56" x14ac:dyDescent="0.35">
      <c r="A469">
        <v>80626</v>
      </c>
      <c r="B469" t="s">
        <v>606</v>
      </c>
      <c r="D469" t="s">
        <v>85</v>
      </c>
      <c r="E469" t="s">
        <v>86</v>
      </c>
      <c r="F469" t="s">
        <v>58</v>
      </c>
      <c r="G469" t="s">
        <v>59</v>
      </c>
      <c r="H469" t="s">
        <v>60</v>
      </c>
      <c r="J469" t="s">
        <v>86</v>
      </c>
      <c r="L469" t="s">
        <v>62</v>
      </c>
      <c r="M469" t="s">
        <v>63</v>
      </c>
      <c r="N469" t="s">
        <v>64</v>
      </c>
      <c r="P469" t="s">
        <v>100</v>
      </c>
      <c r="R469">
        <v>320</v>
      </c>
      <c r="T469">
        <v>268.7</v>
      </c>
      <c r="V469">
        <v>381.1</v>
      </c>
      <c r="W469" t="s">
        <v>66</v>
      </c>
      <c r="X469" t="s">
        <v>67</v>
      </c>
      <c r="Y469" t="s">
        <v>67</v>
      </c>
      <c r="Z469" t="s">
        <v>68</v>
      </c>
      <c r="AB469">
        <v>4</v>
      </c>
      <c r="AC469" t="s">
        <v>61</v>
      </c>
      <c r="AJ469" t="s">
        <v>69</v>
      </c>
      <c r="AY469" t="s">
        <v>168</v>
      </c>
      <c r="AZ469">
        <v>728</v>
      </c>
      <c r="BA469" t="s">
        <v>426</v>
      </c>
      <c r="BB469" t="s">
        <v>427</v>
      </c>
      <c r="BC469">
        <v>1966</v>
      </c>
      <c r="BD469" t="s">
        <v>90</v>
      </c>
    </row>
    <row r="470" spans="1:56" x14ac:dyDescent="0.35">
      <c r="A470">
        <v>81196</v>
      </c>
      <c r="B470" t="s">
        <v>607</v>
      </c>
      <c r="D470" t="s">
        <v>57</v>
      </c>
      <c r="E470" t="s">
        <v>86</v>
      </c>
      <c r="F470" t="s">
        <v>58</v>
      </c>
      <c r="G470" t="s">
        <v>59</v>
      </c>
      <c r="H470" t="s">
        <v>60</v>
      </c>
      <c r="J470">
        <v>34</v>
      </c>
      <c r="K470" t="s">
        <v>61</v>
      </c>
      <c r="L470" t="s">
        <v>74</v>
      </c>
      <c r="M470" t="s">
        <v>63</v>
      </c>
      <c r="N470" t="s">
        <v>64</v>
      </c>
      <c r="P470" t="s">
        <v>65</v>
      </c>
      <c r="R470">
        <v>0.97</v>
      </c>
      <c r="T470">
        <v>0.94</v>
      </c>
      <c r="V470">
        <v>1</v>
      </c>
      <c r="W470" t="s">
        <v>66</v>
      </c>
      <c r="X470" t="s">
        <v>67</v>
      </c>
      <c r="Y470" t="s">
        <v>67</v>
      </c>
      <c r="Z470" t="s">
        <v>68</v>
      </c>
      <c r="AB470">
        <v>4</v>
      </c>
      <c r="AC470" t="s">
        <v>61</v>
      </c>
      <c r="AJ470" t="s">
        <v>69</v>
      </c>
      <c r="AY470" t="s">
        <v>246</v>
      </c>
      <c r="AZ470">
        <v>3771</v>
      </c>
      <c r="BA470" t="s">
        <v>247</v>
      </c>
      <c r="BB470" t="s">
        <v>608</v>
      </c>
      <c r="BC470">
        <v>1981</v>
      </c>
      <c r="BD470" t="s">
        <v>73</v>
      </c>
    </row>
    <row r="471" spans="1:56" x14ac:dyDescent="0.35">
      <c r="A471">
        <v>82713</v>
      </c>
      <c r="B471" t="s">
        <v>609</v>
      </c>
      <c r="D471" t="s">
        <v>85</v>
      </c>
      <c r="E471">
        <v>100</v>
      </c>
      <c r="F471" t="s">
        <v>58</v>
      </c>
      <c r="G471" t="s">
        <v>59</v>
      </c>
      <c r="H471" t="s">
        <v>60</v>
      </c>
      <c r="J471" t="s">
        <v>86</v>
      </c>
      <c r="L471" t="s">
        <v>62</v>
      </c>
      <c r="M471" t="s">
        <v>63</v>
      </c>
      <c r="N471" t="s">
        <v>64</v>
      </c>
      <c r="P471" t="s">
        <v>65</v>
      </c>
      <c r="S471" t="s">
        <v>153</v>
      </c>
      <c r="T471">
        <v>7.5</v>
      </c>
      <c r="U471" t="s">
        <v>435</v>
      </c>
      <c r="V471">
        <v>10</v>
      </c>
      <c r="W471" t="s">
        <v>546</v>
      </c>
      <c r="X471" t="s">
        <v>67</v>
      </c>
      <c r="Y471" t="s">
        <v>67</v>
      </c>
      <c r="Z471" t="s">
        <v>68</v>
      </c>
      <c r="AB471">
        <v>4</v>
      </c>
      <c r="AC471" t="s">
        <v>61</v>
      </c>
      <c r="AJ471" t="s">
        <v>69</v>
      </c>
      <c r="AY471" t="s">
        <v>547</v>
      </c>
      <c r="AZ471">
        <v>5968</v>
      </c>
      <c r="BA471" t="s">
        <v>548</v>
      </c>
      <c r="BB471" t="s">
        <v>549</v>
      </c>
      <c r="BC471">
        <v>1975</v>
      </c>
      <c r="BD471" t="s">
        <v>90</v>
      </c>
    </row>
    <row r="472" spans="1:56" x14ac:dyDescent="0.35">
      <c r="A472">
        <v>82713</v>
      </c>
      <c r="B472" t="s">
        <v>609</v>
      </c>
      <c r="D472" t="s">
        <v>85</v>
      </c>
      <c r="E472">
        <v>100</v>
      </c>
      <c r="F472" t="s">
        <v>58</v>
      </c>
      <c r="G472" t="s">
        <v>59</v>
      </c>
      <c r="H472" t="s">
        <v>60</v>
      </c>
      <c r="J472" t="s">
        <v>86</v>
      </c>
      <c r="L472" t="s">
        <v>62</v>
      </c>
      <c r="M472" t="s">
        <v>63</v>
      </c>
      <c r="N472" t="s">
        <v>64</v>
      </c>
      <c r="P472" t="s">
        <v>65</v>
      </c>
      <c r="R472">
        <v>0.3</v>
      </c>
      <c r="T472">
        <v>0.09</v>
      </c>
      <c r="V472">
        <v>1.02</v>
      </c>
      <c r="W472" t="s">
        <v>546</v>
      </c>
      <c r="X472" t="s">
        <v>67</v>
      </c>
      <c r="Y472" t="s">
        <v>67</v>
      </c>
      <c r="Z472" t="s">
        <v>68</v>
      </c>
      <c r="AB472">
        <v>4</v>
      </c>
      <c r="AC472" t="s">
        <v>61</v>
      </c>
      <c r="AJ472" t="s">
        <v>69</v>
      </c>
      <c r="AY472" t="s">
        <v>547</v>
      </c>
      <c r="AZ472">
        <v>5968</v>
      </c>
      <c r="BA472" t="s">
        <v>548</v>
      </c>
      <c r="BB472" t="s">
        <v>549</v>
      </c>
      <c r="BC472">
        <v>1975</v>
      </c>
      <c r="BD472" t="s">
        <v>90</v>
      </c>
    </row>
    <row r="473" spans="1:56" x14ac:dyDescent="0.35">
      <c r="A473">
        <v>83329</v>
      </c>
      <c r="B473" t="s">
        <v>610</v>
      </c>
      <c r="D473" t="s">
        <v>57</v>
      </c>
      <c r="E473">
        <v>99</v>
      </c>
      <c r="F473" t="s">
        <v>58</v>
      </c>
      <c r="G473" t="s">
        <v>59</v>
      </c>
      <c r="H473" t="s">
        <v>60</v>
      </c>
      <c r="J473">
        <v>32</v>
      </c>
      <c r="K473" t="s">
        <v>61</v>
      </c>
      <c r="L473" t="s">
        <v>74</v>
      </c>
      <c r="M473" t="s">
        <v>63</v>
      </c>
      <c r="N473" t="s">
        <v>64</v>
      </c>
      <c r="P473" t="s">
        <v>65</v>
      </c>
      <c r="R473">
        <v>1.73</v>
      </c>
      <c r="T473">
        <v>1.7</v>
      </c>
      <c r="V473">
        <v>1.77</v>
      </c>
      <c r="W473" t="s">
        <v>66</v>
      </c>
      <c r="X473" t="s">
        <v>67</v>
      </c>
      <c r="Y473" t="s">
        <v>67</v>
      </c>
      <c r="Z473" t="s">
        <v>68</v>
      </c>
      <c r="AB473">
        <v>4</v>
      </c>
      <c r="AC473" t="s">
        <v>61</v>
      </c>
      <c r="AJ473" t="s">
        <v>69</v>
      </c>
      <c r="AY473" t="s">
        <v>141</v>
      </c>
      <c r="AZ473">
        <v>12447</v>
      </c>
      <c r="BA473" t="s">
        <v>142</v>
      </c>
      <c r="BB473" t="s">
        <v>143</v>
      </c>
      <c r="BC473">
        <v>1985</v>
      </c>
      <c r="BD473" t="s">
        <v>73</v>
      </c>
    </row>
    <row r="474" spans="1:56" x14ac:dyDescent="0.35">
      <c r="A474">
        <v>83329</v>
      </c>
      <c r="B474" t="s">
        <v>610</v>
      </c>
      <c r="D474" t="s">
        <v>57</v>
      </c>
      <c r="E474">
        <v>99</v>
      </c>
      <c r="F474" t="s">
        <v>58</v>
      </c>
      <c r="G474" t="s">
        <v>59</v>
      </c>
      <c r="H474" t="s">
        <v>60</v>
      </c>
      <c r="J474" t="s">
        <v>86</v>
      </c>
      <c r="L474" t="s">
        <v>74</v>
      </c>
      <c r="M474" t="s">
        <v>63</v>
      </c>
      <c r="N474" t="s">
        <v>64</v>
      </c>
      <c r="O474">
        <v>7</v>
      </c>
      <c r="P474" t="s">
        <v>65</v>
      </c>
      <c r="Q474" t="s">
        <v>153</v>
      </c>
      <c r="R474">
        <v>1.4</v>
      </c>
      <c r="W474" t="s">
        <v>66</v>
      </c>
      <c r="X474" t="s">
        <v>67</v>
      </c>
      <c r="Y474" t="s">
        <v>67</v>
      </c>
      <c r="Z474" t="s">
        <v>68</v>
      </c>
      <c r="AB474">
        <v>4</v>
      </c>
      <c r="AC474" t="s">
        <v>61</v>
      </c>
      <c r="AJ474" t="s">
        <v>69</v>
      </c>
      <c r="AY474" t="s">
        <v>351</v>
      </c>
      <c r="AZ474">
        <v>9994</v>
      </c>
      <c r="BA474" t="s">
        <v>352</v>
      </c>
      <c r="BB474" t="s">
        <v>353</v>
      </c>
      <c r="BC474">
        <v>1982</v>
      </c>
      <c r="BD474" t="s">
        <v>90</v>
      </c>
    </row>
    <row r="475" spans="1:56" x14ac:dyDescent="0.35">
      <c r="A475">
        <v>83329</v>
      </c>
      <c r="B475" t="s">
        <v>610</v>
      </c>
      <c r="D475" t="s">
        <v>57</v>
      </c>
      <c r="E475" t="s">
        <v>86</v>
      </c>
      <c r="F475" t="s">
        <v>58</v>
      </c>
      <c r="G475" t="s">
        <v>59</v>
      </c>
      <c r="H475" t="s">
        <v>60</v>
      </c>
      <c r="J475">
        <v>2</v>
      </c>
      <c r="K475" t="s">
        <v>196</v>
      </c>
      <c r="L475" t="s">
        <v>74</v>
      </c>
      <c r="M475" t="s">
        <v>63</v>
      </c>
      <c r="N475" t="s">
        <v>64</v>
      </c>
      <c r="P475" t="s">
        <v>65</v>
      </c>
      <c r="R475">
        <v>0.60799999999999998</v>
      </c>
      <c r="T475">
        <v>0.52</v>
      </c>
      <c r="V475">
        <v>0.71</v>
      </c>
      <c r="W475" t="s">
        <v>66</v>
      </c>
      <c r="X475" t="s">
        <v>67</v>
      </c>
      <c r="Y475" t="s">
        <v>67</v>
      </c>
      <c r="Z475" t="s">
        <v>68</v>
      </c>
      <c r="AB475">
        <v>4</v>
      </c>
      <c r="AC475" t="s">
        <v>61</v>
      </c>
      <c r="AJ475" t="s">
        <v>69</v>
      </c>
      <c r="AY475" t="s">
        <v>559</v>
      </c>
      <c r="AZ475">
        <v>15152</v>
      </c>
      <c r="BA475" t="s">
        <v>560</v>
      </c>
      <c r="BB475" t="s">
        <v>561</v>
      </c>
      <c r="BC475">
        <v>1982</v>
      </c>
      <c r="BD475" t="s">
        <v>200</v>
      </c>
    </row>
    <row r="476" spans="1:56" x14ac:dyDescent="0.35">
      <c r="A476">
        <v>83329</v>
      </c>
      <c r="B476" t="s">
        <v>610</v>
      </c>
      <c r="D476" t="s">
        <v>57</v>
      </c>
      <c r="E476">
        <v>99</v>
      </c>
      <c r="F476" t="s">
        <v>58</v>
      </c>
      <c r="G476" t="s">
        <v>59</v>
      </c>
      <c r="H476" t="s">
        <v>60</v>
      </c>
      <c r="J476" t="s">
        <v>86</v>
      </c>
      <c r="K476" t="s">
        <v>61</v>
      </c>
      <c r="L476" t="s">
        <v>74</v>
      </c>
      <c r="M476" t="s">
        <v>63</v>
      </c>
      <c r="N476" t="s">
        <v>64</v>
      </c>
      <c r="P476" t="s">
        <v>65</v>
      </c>
      <c r="R476">
        <v>1.6</v>
      </c>
      <c r="T476">
        <v>1.56</v>
      </c>
      <c r="V476">
        <v>1.63</v>
      </c>
      <c r="W476" t="s">
        <v>66</v>
      </c>
      <c r="X476" t="s">
        <v>67</v>
      </c>
      <c r="Y476" t="s">
        <v>67</v>
      </c>
      <c r="Z476" t="s">
        <v>68</v>
      </c>
      <c r="AB476">
        <v>4</v>
      </c>
      <c r="AC476" t="s">
        <v>61</v>
      </c>
      <c r="AJ476" t="s">
        <v>69</v>
      </c>
      <c r="AY476" t="s">
        <v>611</v>
      </c>
      <c r="AZ476">
        <v>10417</v>
      </c>
      <c r="BA476" t="s">
        <v>612</v>
      </c>
      <c r="BB476" t="s">
        <v>613</v>
      </c>
      <c r="BC476">
        <v>1983</v>
      </c>
      <c r="BD476" t="s">
        <v>614</v>
      </c>
    </row>
    <row r="477" spans="1:56" x14ac:dyDescent="0.35">
      <c r="A477">
        <v>83329</v>
      </c>
      <c r="B477" t="s">
        <v>610</v>
      </c>
      <c r="D477" t="s">
        <v>57</v>
      </c>
      <c r="E477">
        <v>99</v>
      </c>
      <c r="F477" t="s">
        <v>58</v>
      </c>
      <c r="G477" t="s">
        <v>59</v>
      </c>
      <c r="H477" t="s">
        <v>60</v>
      </c>
      <c r="J477" t="s">
        <v>86</v>
      </c>
      <c r="L477" t="s">
        <v>62</v>
      </c>
      <c r="M477" t="s">
        <v>63</v>
      </c>
      <c r="N477" t="s">
        <v>64</v>
      </c>
      <c r="O477">
        <v>6</v>
      </c>
      <c r="P477" t="s">
        <v>65</v>
      </c>
      <c r="R477">
        <v>1.5</v>
      </c>
      <c r="T477">
        <v>1.4</v>
      </c>
      <c r="V477">
        <v>1.7</v>
      </c>
      <c r="W477" t="s">
        <v>66</v>
      </c>
      <c r="X477" t="s">
        <v>67</v>
      </c>
      <c r="Y477" t="s">
        <v>67</v>
      </c>
      <c r="Z477" t="s">
        <v>68</v>
      </c>
      <c r="AB477">
        <v>4</v>
      </c>
      <c r="AC477" t="s">
        <v>61</v>
      </c>
      <c r="AJ477" t="s">
        <v>69</v>
      </c>
      <c r="AY477" t="s">
        <v>351</v>
      </c>
      <c r="AZ477">
        <v>9994</v>
      </c>
      <c r="BA477" t="s">
        <v>352</v>
      </c>
      <c r="BB477" t="s">
        <v>353</v>
      </c>
      <c r="BC477">
        <v>1982</v>
      </c>
      <c r="BD477" t="s">
        <v>90</v>
      </c>
    </row>
    <row r="478" spans="1:56" x14ac:dyDescent="0.35">
      <c r="A478">
        <v>83329</v>
      </c>
      <c r="B478" t="s">
        <v>610</v>
      </c>
      <c r="D478" t="s">
        <v>85</v>
      </c>
      <c r="E478" t="s">
        <v>86</v>
      </c>
      <c r="F478" t="s">
        <v>58</v>
      </c>
      <c r="G478" t="s">
        <v>59</v>
      </c>
      <c r="H478" t="s">
        <v>60</v>
      </c>
      <c r="J478">
        <v>5</v>
      </c>
      <c r="K478" t="s">
        <v>320</v>
      </c>
      <c r="L478" t="s">
        <v>62</v>
      </c>
      <c r="M478" t="s">
        <v>63</v>
      </c>
      <c r="N478" t="s">
        <v>64</v>
      </c>
      <c r="P478" t="s">
        <v>100</v>
      </c>
      <c r="R478">
        <v>3.7</v>
      </c>
      <c r="W478" t="s">
        <v>66</v>
      </c>
      <c r="X478" t="s">
        <v>67</v>
      </c>
      <c r="Y478" t="s">
        <v>67</v>
      </c>
      <c r="Z478" t="s">
        <v>68</v>
      </c>
      <c r="AB478">
        <v>4</v>
      </c>
      <c r="AC478" t="s">
        <v>61</v>
      </c>
      <c r="AJ478" t="s">
        <v>69</v>
      </c>
      <c r="AY478" t="s">
        <v>563</v>
      </c>
      <c r="AZ478">
        <v>60679</v>
      </c>
      <c r="BA478" t="s">
        <v>564</v>
      </c>
      <c r="BB478" t="s">
        <v>565</v>
      </c>
      <c r="BC478">
        <v>1981</v>
      </c>
      <c r="BD478" t="s">
        <v>324</v>
      </c>
    </row>
    <row r="479" spans="1:56" x14ac:dyDescent="0.35">
      <c r="A479">
        <v>83329</v>
      </c>
      <c r="B479" t="s">
        <v>610</v>
      </c>
      <c r="D479" t="s">
        <v>57</v>
      </c>
      <c r="E479" t="s">
        <v>86</v>
      </c>
      <c r="F479" t="s">
        <v>58</v>
      </c>
      <c r="G479" t="s">
        <v>59</v>
      </c>
      <c r="H479" t="s">
        <v>60</v>
      </c>
      <c r="I479" t="s">
        <v>177</v>
      </c>
      <c r="J479">
        <v>1</v>
      </c>
      <c r="K479" t="s">
        <v>196</v>
      </c>
      <c r="L479" t="s">
        <v>62</v>
      </c>
      <c r="M479" t="s">
        <v>63</v>
      </c>
      <c r="N479" t="s">
        <v>64</v>
      </c>
      <c r="O479">
        <v>6</v>
      </c>
      <c r="P479" t="s">
        <v>65</v>
      </c>
      <c r="R479">
        <v>3.1</v>
      </c>
      <c r="W479" t="s">
        <v>66</v>
      </c>
      <c r="X479" t="s">
        <v>67</v>
      </c>
      <c r="Y479" t="s">
        <v>67</v>
      </c>
      <c r="Z479" t="s">
        <v>68</v>
      </c>
      <c r="AB479">
        <v>4</v>
      </c>
      <c r="AC479" t="s">
        <v>61</v>
      </c>
      <c r="AJ479" t="s">
        <v>69</v>
      </c>
      <c r="AY479" t="s">
        <v>556</v>
      </c>
      <c r="AZ479">
        <v>150003</v>
      </c>
      <c r="BA479" t="s">
        <v>557</v>
      </c>
      <c r="BB479" t="s">
        <v>558</v>
      </c>
      <c r="BC479">
        <v>1981</v>
      </c>
      <c r="BD479" t="s">
        <v>200</v>
      </c>
    </row>
    <row r="480" spans="1:56" x14ac:dyDescent="0.35">
      <c r="A480">
        <v>83341</v>
      </c>
      <c r="B480" t="s">
        <v>615</v>
      </c>
      <c r="D480" t="s">
        <v>57</v>
      </c>
      <c r="E480">
        <v>98</v>
      </c>
      <c r="F480" t="s">
        <v>58</v>
      </c>
      <c r="G480" t="s">
        <v>59</v>
      </c>
      <c r="H480" t="s">
        <v>60</v>
      </c>
      <c r="J480">
        <v>30</v>
      </c>
      <c r="K480" t="s">
        <v>61</v>
      </c>
      <c r="L480" t="s">
        <v>74</v>
      </c>
      <c r="M480" t="s">
        <v>63</v>
      </c>
      <c r="N480" t="s">
        <v>64</v>
      </c>
      <c r="P480" t="s">
        <v>65</v>
      </c>
      <c r="R480">
        <v>8.84</v>
      </c>
      <c r="T480">
        <v>7.35</v>
      </c>
      <c r="V480">
        <v>10.6</v>
      </c>
      <c r="W480" t="s">
        <v>66</v>
      </c>
      <c r="X480" t="s">
        <v>67</v>
      </c>
      <c r="Y480" t="s">
        <v>67</v>
      </c>
      <c r="Z480" t="s">
        <v>68</v>
      </c>
      <c r="AB480">
        <v>4</v>
      </c>
      <c r="AC480" t="s">
        <v>61</v>
      </c>
      <c r="AJ480" t="s">
        <v>69</v>
      </c>
      <c r="AY480" t="s">
        <v>75</v>
      </c>
      <c r="AZ480">
        <v>3217</v>
      </c>
      <c r="BA480" t="s">
        <v>76</v>
      </c>
      <c r="BB480" t="s">
        <v>77</v>
      </c>
      <c r="BC480">
        <v>1990</v>
      </c>
      <c r="BD480" t="s">
        <v>73</v>
      </c>
    </row>
    <row r="481" spans="1:56" x14ac:dyDescent="0.35">
      <c r="A481">
        <v>83794</v>
      </c>
      <c r="B481" t="s">
        <v>616</v>
      </c>
      <c r="C481" t="s">
        <v>617</v>
      </c>
      <c r="D481" t="s">
        <v>85</v>
      </c>
      <c r="E481" t="s">
        <v>86</v>
      </c>
      <c r="F481" t="s">
        <v>58</v>
      </c>
      <c r="G481" t="s">
        <v>59</v>
      </c>
      <c r="H481" t="s">
        <v>60</v>
      </c>
      <c r="J481" t="s">
        <v>86</v>
      </c>
      <c r="M481" t="s">
        <v>63</v>
      </c>
      <c r="N481" t="s">
        <v>64</v>
      </c>
      <c r="P481" t="s">
        <v>65</v>
      </c>
      <c r="R481">
        <v>6.6000000000000003E-2</v>
      </c>
      <c r="W481" t="s">
        <v>66</v>
      </c>
      <c r="X481" t="s">
        <v>67</v>
      </c>
      <c r="Y481" t="s">
        <v>67</v>
      </c>
      <c r="Z481" t="s">
        <v>68</v>
      </c>
      <c r="AB481">
        <v>4</v>
      </c>
      <c r="AC481" t="s">
        <v>61</v>
      </c>
      <c r="AJ481" t="s">
        <v>69</v>
      </c>
      <c r="AY481" t="s">
        <v>618</v>
      </c>
      <c r="AZ481">
        <v>2082</v>
      </c>
      <c r="BA481" t="s">
        <v>619</v>
      </c>
      <c r="BB481" t="s">
        <v>620</v>
      </c>
      <c r="BC481">
        <v>1960</v>
      </c>
      <c r="BD481" t="s">
        <v>90</v>
      </c>
    </row>
    <row r="482" spans="1:56" x14ac:dyDescent="0.35">
      <c r="A482">
        <v>83794</v>
      </c>
      <c r="B482" t="s">
        <v>616</v>
      </c>
      <c r="D482" t="s">
        <v>85</v>
      </c>
      <c r="E482">
        <v>5</v>
      </c>
      <c r="F482" t="s">
        <v>58</v>
      </c>
      <c r="G482" t="s">
        <v>59</v>
      </c>
      <c r="H482" t="s">
        <v>60</v>
      </c>
      <c r="J482" t="s">
        <v>86</v>
      </c>
      <c r="L482" t="s">
        <v>62</v>
      </c>
      <c r="M482" t="s">
        <v>63</v>
      </c>
      <c r="N482" t="s">
        <v>64</v>
      </c>
      <c r="P482" t="s">
        <v>65</v>
      </c>
      <c r="R482">
        <v>5.5999999999999999E-3</v>
      </c>
      <c r="T482">
        <v>4.7000000000000002E-3</v>
      </c>
      <c r="V482">
        <v>6.4999999999999997E-3</v>
      </c>
      <c r="W482" t="s">
        <v>66</v>
      </c>
      <c r="X482" t="s">
        <v>67</v>
      </c>
      <c r="Y482" t="s">
        <v>67</v>
      </c>
      <c r="Z482" t="s">
        <v>68</v>
      </c>
      <c r="AB482">
        <v>4</v>
      </c>
      <c r="AC482" t="s">
        <v>61</v>
      </c>
      <c r="AJ482" t="s">
        <v>69</v>
      </c>
      <c r="AY482" t="s">
        <v>621</v>
      </c>
      <c r="AZ482">
        <v>15277</v>
      </c>
      <c r="BA482" t="s">
        <v>622</v>
      </c>
      <c r="BB482" t="s">
        <v>623</v>
      </c>
      <c r="BC482">
        <v>1982</v>
      </c>
      <c r="BD482" t="s">
        <v>90</v>
      </c>
    </row>
    <row r="483" spans="1:56" x14ac:dyDescent="0.35">
      <c r="A483">
        <v>83794</v>
      </c>
      <c r="B483" t="s">
        <v>616</v>
      </c>
      <c r="D483" t="s">
        <v>85</v>
      </c>
      <c r="E483">
        <v>5</v>
      </c>
      <c r="F483" t="s">
        <v>58</v>
      </c>
      <c r="G483" t="s">
        <v>59</v>
      </c>
      <c r="H483" t="s">
        <v>60</v>
      </c>
      <c r="J483" t="s">
        <v>86</v>
      </c>
      <c r="L483" t="s">
        <v>62</v>
      </c>
      <c r="M483" t="s">
        <v>63</v>
      </c>
      <c r="N483" t="s">
        <v>64</v>
      </c>
      <c r="P483" t="s">
        <v>65</v>
      </c>
      <c r="R483">
        <v>3.3999999999999998E-3</v>
      </c>
      <c r="T483">
        <v>2.8E-3</v>
      </c>
      <c r="V483">
        <v>4.0000000000000001E-3</v>
      </c>
      <c r="W483" t="s">
        <v>66</v>
      </c>
      <c r="X483" t="s">
        <v>67</v>
      </c>
      <c r="Y483" t="s">
        <v>67</v>
      </c>
      <c r="Z483" t="s">
        <v>68</v>
      </c>
      <c r="AB483">
        <v>4</v>
      </c>
      <c r="AC483" t="s">
        <v>61</v>
      </c>
      <c r="AJ483" t="s">
        <v>69</v>
      </c>
      <c r="AY483" t="s">
        <v>621</v>
      </c>
      <c r="AZ483">
        <v>15277</v>
      </c>
      <c r="BA483" t="s">
        <v>622</v>
      </c>
      <c r="BB483" t="s">
        <v>623</v>
      </c>
      <c r="BC483">
        <v>1982</v>
      </c>
      <c r="BD483" t="s">
        <v>90</v>
      </c>
    </row>
    <row r="484" spans="1:56" x14ac:dyDescent="0.35">
      <c r="A484">
        <v>83794</v>
      </c>
      <c r="B484" t="s">
        <v>616</v>
      </c>
      <c r="D484" t="s">
        <v>57</v>
      </c>
      <c r="E484">
        <v>97</v>
      </c>
      <c r="F484" t="s">
        <v>58</v>
      </c>
      <c r="G484" t="s">
        <v>59</v>
      </c>
      <c r="H484" t="s">
        <v>60</v>
      </c>
      <c r="J484">
        <v>30</v>
      </c>
      <c r="K484" t="s">
        <v>61</v>
      </c>
      <c r="L484" t="s">
        <v>74</v>
      </c>
      <c r="M484" t="s">
        <v>63</v>
      </c>
      <c r="N484" t="s">
        <v>64</v>
      </c>
      <c r="P484" t="s">
        <v>65</v>
      </c>
      <c r="R484">
        <v>4.5100000000000001E-3</v>
      </c>
      <c r="T484">
        <v>4.2300000000000003E-3</v>
      </c>
      <c r="V484">
        <v>4.7999999999999996E-3</v>
      </c>
      <c r="W484" t="s">
        <v>66</v>
      </c>
      <c r="X484" t="s">
        <v>67</v>
      </c>
      <c r="Y484" t="s">
        <v>67</v>
      </c>
      <c r="Z484" t="s">
        <v>68</v>
      </c>
      <c r="AB484">
        <v>4</v>
      </c>
      <c r="AC484" t="s">
        <v>61</v>
      </c>
      <c r="AJ484" t="s">
        <v>69</v>
      </c>
      <c r="AY484" t="s">
        <v>263</v>
      </c>
      <c r="AZ484">
        <v>12858</v>
      </c>
      <c r="BA484" t="s">
        <v>264</v>
      </c>
      <c r="BB484" t="s">
        <v>265</v>
      </c>
      <c r="BC484">
        <v>1986</v>
      </c>
      <c r="BD484" t="s">
        <v>73</v>
      </c>
    </row>
    <row r="485" spans="1:56" x14ac:dyDescent="0.35">
      <c r="A485">
        <v>83794</v>
      </c>
      <c r="B485" t="s">
        <v>616</v>
      </c>
      <c r="D485" t="s">
        <v>85</v>
      </c>
      <c r="E485">
        <v>5</v>
      </c>
      <c r="F485" t="s">
        <v>58</v>
      </c>
      <c r="G485" t="s">
        <v>59</v>
      </c>
      <c r="H485" t="s">
        <v>60</v>
      </c>
      <c r="J485" t="s">
        <v>86</v>
      </c>
      <c r="L485" t="s">
        <v>62</v>
      </c>
      <c r="M485" t="s">
        <v>63</v>
      </c>
      <c r="N485" t="s">
        <v>64</v>
      </c>
      <c r="P485" t="s">
        <v>100</v>
      </c>
      <c r="R485">
        <v>0.14199999999999999</v>
      </c>
      <c r="T485">
        <v>0.115</v>
      </c>
      <c r="V485">
        <v>0.17599999999999999</v>
      </c>
      <c r="W485" t="s">
        <v>66</v>
      </c>
      <c r="X485" t="s">
        <v>67</v>
      </c>
      <c r="Y485" t="s">
        <v>67</v>
      </c>
      <c r="Z485" t="s">
        <v>68</v>
      </c>
      <c r="AB485">
        <v>4</v>
      </c>
      <c r="AC485" t="s">
        <v>61</v>
      </c>
      <c r="AJ485" t="s">
        <v>69</v>
      </c>
      <c r="AY485" t="s">
        <v>624</v>
      </c>
      <c r="AZ485">
        <v>7853</v>
      </c>
      <c r="BA485" t="s">
        <v>625</v>
      </c>
      <c r="BB485" t="s">
        <v>626</v>
      </c>
      <c r="BC485">
        <v>1976</v>
      </c>
      <c r="BD485" t="s">
        <v>90</v>
      </c>
    </row>
    <row r="486" spans="1:56" x14ac:dyDescent="0.35">
      <c r="A486">
        <v>83794</v>
      </c>
      <c r="B486" t="s">
        <v>616</v>
      </c>
      <c r="D486" t="s">
        <v>85</v>
      </c>
      <c r="E486">
        <v>5</v>
      </c>
      <c r="F486" t="s">
        <v>58</v>
      </c>
      <c r="G486" t="s">
        <v>59</v>
      </c>
      <c r="H486" t="s">
        <v>60</v>
      </c>
      <c r="J486" t="s">
        <v>86</v>
      </c>
      <c r="L486" t="s">
        <v>62</v>
      </c>
      <c r="M486" t="s">
        <v>63</v>
      </c>
      <c r="N486" t="s">
        <v>64</v>
      </c>
      <c r="P486" t="s">
        <v>65</v>
      </c>
      <c r="R486">
        <v>4.0000000000000001E-3</v>
      </c>
      <c r="T486">
        <v>3.3E-3</v>
      </c>
      <c r="V486">
        <v>4.7000000000000002E-3</v>
      </c>
      <c r="W486" t="s">
        <v>66</v>
      </c>
      <c r="X486" t="s">
        <v>67</v>
      </c>
      <c r="Y486" t="s">
        <v>67</v>
      </c>
      <c r="Z486" t="s">
        <v>68</v>
      </c>
      <c r="AB486">
        <v>4</v>
      </c>
      <c r="AC486" t="s">
        <v>61</v>
      </c>
      <c r="AJ486" t="s">
        <v>69</v>
      </c>
      <c r="AY486" t="s">
        <v>621</v>
      </c>
      <c r="AZ486">
        <v>15277</v>
      </c>
      <c r="BA486" t="s">
        <v>622</v>
      </c>
      <c r="BB486" t="s">
        <v>623</v>
      </c>
      <c r="BC486">
        <v>1982</v>
      </c>
      <c r="BD486" t="s">
        <v>90</v>
      </c>
    </row>
    <row r="487" spans="1:56" x14ac:dyDescent="0.35">
      <c r="A487">
        <v>83794</v>
      </c>
      <c r="B487" t="s">
        <v>616</v>
      </c>
      <c r="D487" t="s">
        <v>85</v>
      </c>
      <c r="E487">
        <v>5</v>
      </c>
      <c r="F487" t="s">
        <v>58</v>
      </c>
      <c r="G487" t="s">
        <v>59</v>
      </c>
      <c r="H487" t="s">
        <v>60</v>
      </c>
      <c r="J487" t="s">
        <v>86</v>
      </c>
      <c r="L487" t="s">
        <v>62</v>
      </c>
      <c r="M487" t="s">
        <v>63</v>
      </c>
      <c r="N487" t="s">
        <v>64</v>
      </c>
      <c r="P487" t="s">
        <v>65</v>
      </c>
      <c r="R487">
        <v>2.2200000000000001E-2</v>
      </c>
      <c r="T487">
        <v>1.89E-2</v>
      </c>
      <c r="V487">
        <v>2.6100000000000002E-2</v>
      </c>
      <c r="W487" t="s">
        <v>66</v>
      </c>
      <c r="X487" t="s">
        <v>67</v>
      </c>
      <c r="Y487" t="s">
        <v>67</v>
      </c>
      <c r="Z487" t="s">
        <v>68</v>
      </c>
      <c r="AB487">
        <v>4</v>
      </c>
      <c r="AC487" t="s">
        <v>61</v>
      </c>
      <c r="AJ487" t="s">
        <v>69</v>
      </c>
      <c r="AY487" t="s">
        <v>621</v>
      </c>
      <c r="AZ487">
        <v>15277</v>
      </c>
      <c r="BA487" t="s">
        <v>622</v>
      </c>
      <c r="BB487" t="s">
        <v>623</v>
      </c>
      <c r="BC487">
        <v>1982</v>
      </c>
      <c r="BD487" t="s">
        <v>90</v>
      </c>
    </row>
    <row r="488" spans="1:56" x14ac:dyDescent="0.35">
      <c r="A488">
        <v>83794</v>
      </c>
      <c r="B488" t="s">
        <v>616</v>
      </c>
      <c r="D488" t="s">
        <v>57</v>
      </c>
      <c r="E488" t="s">
        <v>86</v>
      </c>
      <c r="F488" t="s">
        <v>58</v>
      </c>
      <c r="G488" t="s">
        <v>59</v>
      </c>
      <c r="H488" t="s">
        <v>60</v>
      </c>
      <c r="J488" t="s">
        <v>86</v>
      </c>
      <c r="L488" t="s">
        <v>74</v>
      </c>
      <c r="M488" t="s">
        <v>63</v>
      </c>
      <c r="N488" t="s">
        <v>64</v>
      </c>
      <c r="P488" t="s">
        <v>65</v>
      </c>
      <c r="R488">
        <v>6.0000000000000001E-3</v>
      </c>
      <c r="T488">
        <v>4.0000000000000001E-3</v>
      </c>
      <c r="V488">
        <v>8.9999999999999993E-3</v>
      </c>
      <c r="W488" t="s">
        <v>66</v>
      </c>
      <c r="X488" t="s">
        <v>67</v>
      </c>
      <c r="Y488" t="s">
        <v>67</v>
      </c>
      <c r="Z488" t="s">
        <v>68</v>
      </c>
      <c r="AB488">
        <v>4</v>
      </c>
      <c r="AC488" t="s">
        <v>61</v>
      </c>
      <c r="AJ488" t="s">
        <v>69</v>
      </c>
      <c r="AY488" t="s">
        <v>144</v>
      </c>
      <c r="AZ488">
        <v>12665</v>
      </c>
      <c r="BA488" t="s">
        <v>145</v>
      </c>
      <c r="BB488" t="s">
        <v>146</v>
      </c>
      <c r="BC488">
        <v>1987</v>
      </c>
      <c r="BD488" t="s">
        <v>90</v>
      </c>
    </row>
    <row r="489" spans="1:56" x14ac:dyDescent="0.35">
      <c r="A489">
        <v>83794</v>
      </c>
      <c r="B489" t="s">
        <v>616</v>
      </c>
      <c r="D489" t="s">
        <v>85</v>
      </c>
      <c r="E489">
        <v>5</v>
      </c>
      <c r="F489" t="s">
        <v>58</v>
      </c>
      <c r="G489" t="s">
        <v>59</v>
      </c>
      <c r="H489" t="s">
        <v>60</v>
      </c>
      <c r="J489" t="s">
        <v>86</v>
      </c>
      <c r="L489" t="s">
        <v>62</v>
      </c>
      <c r="M489" t="s">
        <v>63</v>
      </c>
      <c r="N489" t="s">
        <v>64</v>
      </c>
      <c r="P489" t="s">
        <v>65</v>
      </c>
      <c r="R489">
        <v>1.6899999999999998E-2</v>
      </c>
      <c r="T489">
        <v>1.1599999999999999E-2</v>
      </c>
      <c r="V489">
        <v>2.4500000000000001E-2</v>
      </c>
      <c r="W489" t="s">
        <v>66</v>
      </c>
      <c r="X489" t="s">
        <v>67</v>
      </c>
      <c r="Y489" t="s">
        <v>67</v>
      </c>
      <c r="Z489" t="s">
        <v>68</v>
      </c>
      <c r="AB489">
        <v>4</v>
      </c>
      <c r="AC489" t="s">
        <v>61</v>
      </c>
      <c r="AJ489" t="s">
        <v>69</v>
      </c>
      <c r="AY489" t="s">
        <v>621</v>
      </c>
      <c r="AZ489">
        <v>15277</v>
      </c>
      <c r="BA489" t="s">
        <v>622</v>
      </c>
      <c r="BB489" t="s">
        <v>623</v>
      </c>
      <c r="BC489">
        <v>1982</v>
      </c>
      <c r="BD489" t="s">
        <v>90</v>
      </c>
    </row>
    <row r="490" spans="1:56" x14ac:dyDescent="0.35">
      <c r="A490">
        <v>83794</v>
      </c>
      <c r="B490" t="s">
        <v>616</v>
      </c>
      <c r="D490" t="s">
        <v>85</v>
      </c>
      <c r="E490">
        <v>5</v>
      </c>
      <c r="F490" t="s">
        <v>58</v>
      </c>
      <c r="G490" t="s">
        <v>59</v>
      </c>
      <c r="H490" t="s">
        <v>60</v>
      </c>
      <c r="J490" t="s">
        <v>86</v>
      </c>
      <c r="L490" t="s">
        <v>62</v>
      </c>
      <c r="M490" t="s">
        <v>63</v>
      </c>
      <c r="N490" t="s">
        <v>64</v>
      </c>
      <c r="P490" t="s">
        <v>65</v>
      </c>
      <c r="R490">
        <v>8.0000000000000002E-3</v>
      </c>
      <c r="T490">
        <v>6.0000000000000001E-3</v>
      </c>
      <c r="V490">
        <v>1.0699999999999999E-2</v>
      </c>
      <c r="W490" t="s">
        <v>66</v>
      </c>
      <c r="X490" t="s">
        <v>67</v>
      </c>
      <c r="Y490" t="s">
        <v>67</v>
      </c>
      <c r="Z490" t="s">
        <v>68</v>
      </c>
      <c r="AB490">
        <v>4</v>
      </c>
      <c r="AC490" t="s">
        <v>61</v>
      </c>
      <c r="AJ490" t="s">
        <v>69</v>
      </c>
      <c r="AY490" t="s">
        <v>621</v>
      </c>
      <c r="AZ490">
        <v>15277</v>
      </c>
      <c r="BA490" t="s">
        <v>622</v>
      </c>
      <c r="BB490" t="s">
        <v>623</v>
      </c>
      <c r="BC490">
        <v>1982</v>
      </c>
      <c r="BD490" t="s">
        <v>90</v>
      </c>
    </row>
    <row r="491" spans="1:56" x14ac:dyDescent="0.35">
      <c r="A491">
        <v>83794</v>
      </c>
      <c r="B491" t="s">
        <v>616</v>
      </c>
      <c r="D491" t="s">
        <v>85</v>
      </c>
      <c r="E491">
        <v>5</v>
      </c>
      <c r="F491" t="s">
        <v>58</v>
      </c>
      <c r="G491" t="s">
        <v>59</v>
      </c>
      <c r="H491" t="s">
        <v>60</v>
      </c>
      <c r="J491" t="s">
        <v>86</v>
      </c>
      <c r="L491" t="s">
        <v>62</v>
      </c>
      <c r="M491" t="s">
        <v>63</v>
      </c>
      <c r="N491" t="s">
        <v>64</v>
      </c>
      <c r="P491" t="s">
        <v>65</v>
      </c>
      <c r="R491">
        <v>4.3E-3</v>
      </c>
      <c r="T491">
        <v>3.8E-3</v>
      </c>
      <c r="V491">
        <v>4.8999999999999998E-3</v>
      </c>
      <c r="W491" t="s">
        <v>66</v>
      </c>
      <c r="X491" t="s">
        <v>67</v>
      </c>
      <c r="Y491" t="s">
        <v>67</v>
      </c>
      <c r="Z491" t="s">
        <v>68</v>
      </c>
      <c r="AB491">
        <v>4</v>
      </c>
      <c r="AC491" t="s">
        <v>61</v>
      </c>
      <c r="AJ491" t="s">
        <v>69</v>
      </c>
      <c r="AY491" t="s">
        <v>621</v>
      </c>
      <c r="AZ491">
        <v>15277</v>
      </c>
      <c r="BA491" t="s">
        <v>622</v>
      </c>
      <c r="BB491" t="s">
        <v>623</v>
      </c>
      <c r="BC491">
        <v>1982</v>
      </c>
      <c r="BD491" t="s">
        <v>90</v>
      </c>
    </row>
    <row r="492" spans="1:56" x14ac:dyDescent="0.35">
      <c r="A492">
        <v>83794</v>
      </c>
      <c r="B492" t="s">
        <v>616</v>
      </c>
      <c r="D492" t="s">
        <v>85</v>
      </c>
      <c r="E492">
        <v>5</v>
      </c>
      <c r="F492" t="s">
        <v>58</v>
      </c>
      <c r="G492" t="s">
        <v>59</v>
      </c>
      <c r="H492" t="s">
        <v>60</v>
      </c>
      <c r="J492" t="s">
        <v>86</v>
      </c>
      <c r="L492" t="s">
        <v>62</v>
      </c>
      <c r="M492" t="s">
        <v>63</v>
      </c>
      <c r="N492" t="s">
        <v>64</v>
      </c>
      <c r="P492" t="s">
        <v>65</v>
      </c>
      <c r="R492">
        <v>1.2500000000000001E-2</v>
      </c>
      <c r="T492">
        <v>9.9000000000000008E-3</v>
      </c>
      <c r="V492">
        <v>1.5699999999999999E-2</v>
      </c>
      <c r="W492" t="s">
        <v>66</v>
      </c>
      <c r="X492" t="s">
        <v>67</v>
      </c>
      <c r="Y492" t="s">
        <v>67</v>
      </c>
      <c r="Z492" t="s">
        <v>68</v>
      </c>
      <c r="AB492">
        <v>4</v>
      </c>
      <c r="AC492" t="s">
        <v>61</v>
      </c>
      <c r="AJ492" t="s">
        <v>69</v>
      </c>
      <c r="AY492" t="s">
        <v>621</v>
      </c>
      <c r="AZ492">
        <v>15277</v>
      </c>
      <c r="BA492" t="s">
        <v>622</v>
      </c>
      <c r="BB492" t="s">
        <v>623</v>
      </c>
      <c r="BC492">
        <v>1982</v>
      </c>
      <c r="BD492" t="s">
        <v>90</v>
      </c>
    </row>
    <row r="493" spans="1:56" x14ac:dyDescent="0.35">
      <c r="A493">
        <v>83794</v>
      </c>
      <c r="B493" t="s">
        <v>616</v>
      </c>
      <c r="D493" t="s">
        <v>85</v>
      </c>
      <c r="E493" t="s">
        <v>86</v>
      </c>
      <c r="F493" t="s">
        <v>58</v>
      </c>
      <c r="G493" t="s">
        <v>59</v>
      </c>
      <c r="H493" t="s">
        <v>60</v>
      </c>
      <c r="J493" t="s">
        <v>86</v>
      </c>
      <c r="M493" t="s">
        <v>63</v>
      </c>
      <c r="N493" t="s">
        <v>64</v>
      </c>
      <c r="P493" t="s">
        <v>65</v>
      </c>
      <c r="R493">
        <v>6.0000000000000001E-3</v>
      </c>
      <c r="W493" t="s">
        <v>66</v>
      </c>
      <c r="X493" t="s">
        <v>67</v>
      </c>
      <c r="Y493" t="s">
        <v>67</v>
      </c>
      <c r="Z493" t="s">
        <v>68</v>
      </c>
      <c r="AB493">
        <v>4</v>
      </c>
      <c r="AC493" t="s">
        <v>61</v>
      </c>
      <c r="AJ493" t="s">
        <v>69</v>
      </c>
      <c r="AY493" t="s">
        <v>618</v>
      </c>
      <c r="AZ493">
        <v>2082</v>
      </c>
      <c r="BA493" t="s">
        <v>619</v>
      </c>
      <c r="BB493" t="s">
        <v>620</v>
      </c>
      <c r="BC493">
        <v>1960</v>
      </c>
      <c r="BD493" t="s">
        <v>90</v>
      </c>
    </row>
    <row r="494" spans="1:56" x14ac:dyDescent="0.35">
      <c r="A494">
        <v>83794</v>
      </c>
      <c r="B494" t="s">
        <v>616</v>
      </c>
      <c r="D494" t="s">
        <v>57</v>
      </c>
      <c r="E494" t="s">
        <v>128</v>
      </c>
      <c r="F494" t="s">
        <v>58</v>
      </c>
      <c r="G494" t="s">
        <v>59</v>
      </c>
      <c r="H494" t="s">
        <v>60</v>
      </c>
      <c r="I494" t="s">
        <v>129</v>
      </c>
      <c r="J494" t="s">
        <v>86</v>
      </c>
      <c r="K494" t="s">
        <v>61</v>
      </c>
      <c r="L494" t="s">
        <v>74</v>
      </c>
      <c r="M494" t="s">
        <v>63</v>
      </c>
      <c r="N494" t="s">
        <v>64</v>
      </c>
      <c r="P494" t="s">
        <v>65</v>
      </c>
      <c r="R494">
        <v>4.5999999999999999E-3</v>
      </c>
      <c r="W494" t="s">
        <v>66</v>
      </c>
      <c r="X494" t="s">
        <v>67</v>
      </c>
      <c r="Y494" t="s">
        <v>67</v>
      </c>
      <c r="Z494" t="s">
        <v>68</v>
      </c>
      <c r="AB494">
        <v>4</v>
      </c>
      <c r="AC494" t="s">
        <v>61</v>
      </c>
      <c r="AJ494" t="s">
        <v>69</v>
      </c>
      <c r="AY494" t="s">
        <v>134</v>
      </c>
      <c r="AZ494">
        <v>15031</v>
      </c>
      <c r="BA494" t="s">
        <v>135</v>
      </c>
      <c r="BB494" t="s">
        <v>136</v>
      </c>
      <c r="BC494">
        <v>1995</v>
      </c>
      <c r="BD494" t="s">
        <v>133</v>
      </c>
    </row>
    <row r="495" spans="1:56" x14ac:dyDescent="0.35">
      <c r="A495">
        <v>83794</v>
      </c>
      <c r="B495" t="s">
        <v>616</v>
      </c>
      <c r="D495" t="s">
        <v>57</v>
      </c>
      <c r="E495">
        <v>97</v>
      </c>
      <c r="F495" t="s">
        <v>58</v>
      </c>
      <c r="G495" t="s">
        <v>59</v>
      </c>
      <c r="H495" t="s">
        <v>60</v>
      </c>
      <c r="J495" t="s">
        <v>86</v>
      </c>
      <c r="K495" t="s">
        <v>61</v>
      </c>
      <c r="L495" t="s">
        <v>74</v>
      </c>
      <c r="M495" t="s">
        <v>63</v>
      </c>
      <c r="N495" t="s">
        <v>64</v>
      </c>
      <c r="P495" t="s">
        <v>65</v>
      </c>
      <c r="R495">
        <v>6.0000000000000001E-3</v>
      </c>
      <c r="W495" t="s">
        <v>66</v>
      </c>
      <c r="X495" t="s">
        <v>67</v>
      </c>
      <c r="Y495" t="s">
        <v>67</v>
      </c>
      <c r="Z495" t="s">
        <v>68</v>
      </c>
      <c r="AB495">
        <v>4</v>
      </c>
      <c r="AC495" t="s">
        <v>61</v>
      </c>
      <c r="AJ495" t="s">
        <v>69</v>
      </c>
      <c r="AY495" t="s">
        <v>75</v>
      </c>
      <c r="AZ495">
        <v>3217</v>
      </c>
      <c r="BA495" t="s">
        <v>76</v>
      </c>
      <c r="BB495" t="s">
        <v>77</v>
      </c>
      <c r="BC495">
        <v>1990</v>
      </c>
      <c r="BD495" t="s">
        <v>627</v>
      </c>
    </row>
    <row r="496" spans="1:56" x14ac:dyDescent="0.35">
      <c r="A496">
        <v>84628</v>
      </c>
      <c r="B496" t="s">
        <v>628</v>
      </c>
      <c r="D496" t="s">
        <v>57</v>
      </c>
      <c r="E496">
        <v>98</v>
      </c>
      <c r="F496" t="s">
        <v>58</v>
      </c>
      <c r="G496" t="s">
        <v>59</v>
      </c>
      <c r="H496" t="s">
        <v>60</v>
      </c>
      <c r="J496">
        <v>33</v>
      </c>
      <c r="K496" t="s">
        <v>61</v>
      </c>
      <c r="L496" t="s">
        <v>74</v>
      </c>
      <c r="M496" t="s">
        <v>63</v>
      </c>
      <c r="N496" t="s">
        <v>64</v>
      </c>
      <c r="P496" t="s">
        <v>65</v>
      </c>
      <c r="R496">
        <v>0.08</v>
      </c>
      <c r="W496" t="s">
        <v>66</v>
      </c>
      <c r="X496" t="s">
        <v>67</v>
      </c>
      <c r="Y496" t="s">
        <v>67</v>
      </c>
      <c r="Z496" t="s">
        <v>68</v>
      </c>
      <c r="AB496">
        <v>4</v>
      </c>
      <c r="AC496" t="s">
        <v>61</v>
      </c>
      <c r="AJ496" t="s">
        <v>69</v>
      </c>
      <c r="AY496" t="s">
        <v>141</v>
      </c>
      <c r="AZ496">
        <v>12447</v>
      </c>
      <c r="BA496" t="s">
        <v>142</v>
      </c>
      <c r="BB496" t="s">
        <v>143</v>
      </c>
      <c r="BC496">
        <v>1985</v>
      </c>
      <c r="BD496" t="s">
        <v>73</v>
      </c>
    </row>
    <row r="497" spans="1:56" x14ac:dyDescent="0.35">
      <c r="A497">
        <v>84662</v>
      </c>
      <c r="B497" t="s">
        <v>629</v>
      </c>
      <c r="D497" t="s">
        <v>85</v>
      </c>
      <c r="E497" t="s">
        <v>128</v>
      </c>
      <c r="F497" t="s">
        <v>58</v>
      </c>
      <c r="G497" t="s">
        <v>59</v>
      </c>
      <c r="H497" t="s">
        <v>60</v>
      </c>
      <c r="I497" t="s">
        <v>129</v>
      </c>
      <c r="J497" t="s">
        <v>86</v>
      </c>
      <c r="L497" t="s">
        <v>74</v>
      </c>
      <c r="M497" t="s">
        <v>63</v>
      </c>
      <c r="N497" t="s">
        <v>64</v>
      </c>
      <c r="P497" t="s">
        <v>65</v>
      </c>
      <c r="R497">
        <v>17</v>
      </c>
      <c r="W497" t="s">
        <v>66</v>
      </c>
      <c r="X497" t="s">
        <v>67</v>
      </c>
      <c r="Y497" t="s">
        <v>67</v>
      </c>
      <c r="Z497" t="s">
        <v>68</v>
      </c>
      <c r="AB497">
        <v>4</v>
      </c>
      <c r="AC497" t="s">
        <v>61</v>
      </c>
      <c r="AJ497" t="s">
        <v>69</v>
      </c>
      <c r="AY497" t="s">
        <v>630</v>
      </c>
      <c r="AZ497">
        <v>15040</v>
      </c>
      <c r="BA497" t="s">
        <v>631</v>
      </c>
      <c r="BB497" t="s">
        <v>632</v>
      </c>
      <c r="BC497">
        <v>1995</v>
      </c>
      <c r="BD497" t="s">
        <v>90</v>
      </c>
    </row>
    <row r="498" spans="1:56" x14ac:dyDescent="0.35">
      <c r="A498">
        <v>84662</v>
      </c>
      <c r="B498" t="s">
        <v>629</v>
      </c>
      <c r="D498" t="s">
        <v>85</v>
      </c>
      <c r="E498" t="s">
        <v>128</v>
      </c>
      <c r="F498" t="s">
        <v>58</v>
      </c>
      <c r="G498" t="s">
        <v>59</v>
      </c>
      <c r="H498" t="s">
        <v>60</v>
      </c>
      <c r="I498" t="s">
        <v>129</v>
      </c>
      <c r="J498" t="s">
        <v>86</v>
      </c>
      <c r="L498" t="s">
        <v>62</v>
      </c>
      <c r="M498" t="s">
        <v>63</v>
      </c>
      <c r="N498" t="s">
        <v>64</v>
      </c>
      <c r="P498" t="s">
        <v>65</v>
      </c>
      <c r="R498">
        <v>16.8</v>
      </c>
      <c r="W498" t="s">
        <v>66</v>
      </c>
      <c r="X498" t="s">
        <v>67</v>
      </c>
      <c r="Y498" t="s">
        <v>67</v>
      </c>
      <c r="Z498" t="s">
        <v>68</v>
      </c>
      <c r="AB498">
        <v>4</v>
      </c>
      <c r="AC498" t="s">
        <v>61</v>
      </c>
      <c r="AJ498" t="s">
        <v>69</v>
      </c>
      <c r="AY498" t="s">
        <v>630</v>
      </c>
      <c r="AZ498">
        <v>15040</v>
      </c>
      <c r="BA498" t="s">
        <v>631</v>
      </c>
      <c r="BB498" t="s">
        <v>632</v>
      </c>
      <c r="BC498">
        <v>1995</v>
      </c>
      <c r="BD498" t="s">
        <v>90</v>
      </c>
    </row>
    <row r="499" spans="1:56" x14ac:dyDescent="0.35">
      <c r="A499">
        <v>84662</v>
      </c>
      <c r="B499" t="s">
        <v>629</v>
      </c>
      <c r="D499" t="s">
        <v>57</v>
      </c>
      <c r="E499">
        <v>99</v>
      </c>
      <c r="F499" t="s">
        <v>58</v>
      </c>
      <c r="G499" t="s">
        <v>59</v>
      </c>
      <c r="H499" t="s">
        <v>60</v>
      </c>
      <c r="J499">
        <v>37</v>
      </c>
      <c r="K499" t="s">
        <v>61</v>
      </c>
      <c r="L499" t="s">
        <v>74</v>
      </c>
      <c r="M499" t="s">
        <v>63</v>
      </c>
      <c r="N499" t="s">
        <v>64</v>
      </c>
      <c r="P499" t="s">
        <v>65</v>
      </c>
      <c r="R499">
        <v>31.8</v>
      </c>
      <c r="T499">
        <v>29.6</v>
      </c>
      <c r="V499">
        <v>34.1</v>
      </c>
      <c r="W499" t="s">
        <v>66</v>
      </c>
      <c r="X499" t="s">
        <v>67</v>
      </c>
      <c r="Y499" t="s">
        <v>67</v>
      </c>
      <c r="Z499" t="s">
        <v>68</v>
      </c>
      <c r="AB499">
        <v>4</v>
      </c>
      <c r="AC499" t="s">
        <v>61</v>
      </c>
      <c r="AJ499" t="s">
        <v>69</v>
      </c>
      <c r="AY499" t="s">
        <v>141</v>
      </c>
      <c r="AZ499">
        <v>12447</v>
      </c>
      <c r="BA499" t="s">
        <v>142</v>
      </c>
      <c r="BB499" t="s">
        <v>143</v>
      </c>
      <c r="BC499">
        <v>1985</v>
      </c>
      <c r="BD499" t="s">
        <v>73</v>
      </c>
    </row>
    <row r="500" spans="1:56" x14ac:dyDescent="0.35">
      <c r="A500">
        <v>84662</v>
      </c>
      <c r="B500" t="s">
        <v>629</v>
      </c>
      <c r="D500" t="s">
        <v>57</v>
      </c>
      <c r="E500" t="s">
        <v>86</v>
      </c>
      <c r="F500" t="s">
        <v>58</v>
      </c>
      <c r="G500" t="s">
        <v>59</v>
      </c>
      <c r="H500" t="s">
        <v>60</v>
      </c>
      <c r="J500" t="s">
        <v>86</v>
      </c>
      <c r="L500" t="s">
        <v>62</v>
      </c>
      <c r="M500" t="s">
        <v>63</v>
      </c>
      <c r="N500" t="s">
        <v>64</v>
      </c>
      <c r="O500">
        <v>6</v>
      </c>
      <c r="P500" t="s">
        <v>65</v>
      </c>
      <c r="R500">
        <v>17</v>
      </c>
      <c r="T500">
        <v>8</v>
      </c>
      <c r="V500">
        <v>38</v>
      </c>
      <c r="W500" t="s">
        <v>66</v>
      </c>
      <c r="X500" t="s">
        <v>67</v>
      </c>
      <c r="Y500" t="s">
        <v>67</v>
      </c>
      <c r="Z500" t="s">
        <v>68</v>
      </c>
      <c r="AB500">
        <v>4</v>
      </c>
      <c r="AC500" t="s">
        <v>61</v>
      </c>
      <c r="AJ500" t="s">
        <v>69</v>
      </c>
      <c r="AY500" t="s">
        <v>633</v>
      </c>
      <c r="AZ500">
        <v>180491</v>
      </c>
      <c r="BA500" t="s">
        <v>634</v>
      </c>
      <c r="BB500" t="s">
        <v>635</v>
      </c>
      <c r="BC500">
        <v>2000</v>
      </c>
      <c r="BD500" t="s">
        <v>90</v>
      </c>
    </row>
    <row r="501" spans="1:56" x14ac:dyDescent="0.35">
      <c r="A501">
        <v>84742</v>
      </c>
      <c r="B501" t="s">
        <v>636</v>
      </c>
      <c r="E501">
        <v>100</v>
      </c>
      <c r="F501" t="s">
        <v>58</v>
      </c>
      <c r="G501" t="s">
        <v>59</v>
      </c>
      <c r="H501" t="s">
        <v>60</v>
      </c>
      <c r="J501" t="s">
        <v>86</v>
      </c>
      <c r="L501" t="s">
        <v>74</v>
      </c>
      <c r="M501" t="s">
        <v>63</v>
      </c>
      <c r="N501" t="s">
        <v>64</v>
      </c>
      <c r="P501" t="s">
        <v>65</v>
      </c>
      <c r="R501">
        <v>3.95</v>
      </c>
      <c r="T501">
        <v>3.47</v>
      </c>
      <c r="V501">
        <v>4.5</v>
      </c>
      <c r="W501" t="s">
        <v>66</v>
      </c>
      <c r="X501" t="s">
        <v>67</v>
      </c>
      <c r="Y501" t="s">
        <v>67</v>
      </c>
      <c r="Z501" t="s">
        <v>68</v>
      </c>
      <c r="AB501">
        <v>4</v>
      </c>
      <c r="AC501" t="s">
        <v>61</v>
      </c>
      <c r="AJ501" t="s">
        <v>69</v>
      </c>
      <c r="AY501" t="s">
        <v>96</v>
      </c>
      <c r="AZ501">
        <v>6797</v>
      </c>
      <c r="BA501" t="s">
        <v>97</v>
      </c>
      <c r="BB501" t="s">
        <v>98</v>
      </c>
      <c r="BC501">
        <v>1986</v>
      </c>
      <c r="BD501" t="s">
        <v>90</v>
      </c>
    </row>
    <row r="502" spans="1:56" x14ac:dyDescent="0.35">
      <c r="A502">
        <v>84742</v>
      </c>
      <c r="B502" t="s">
        <v>636</v>
      </c>
      <c r="D502" t="s">
        <v>637</v>
      </c>
      <c r="E502" t="s">
        <v>638</v>
      </c>
      <c r="F502" t="s">
        <v>58</v>
      </c>
      <c r="G502" t="s">
        <v>59</v>
      </c>
      <c r="H502" t="s">
        <v>60</v>
      </c>
      <c r="I502" t="s">
        <v>129</v>
      </c>
      <c r="J502" t="s">
        <v>86</v>
      </c>
      <c r="K502" t="s">
        <v>61</v>
      </c>
      <c r="L502" t="s">
        <v>74</v>
      </c>
      <c r="M502" t="s">
        <v>63</v>
      </c>
      <c r="N502" t="s">
        <v>64</v>
      </c>
      <c r="P502" t="s">
        <v>65</v>
      </c>
      <c r="R502">
        <v>0.85</v>
      </c>
      <c r="T502">
        <v>0.72</v>
      </c>
      <c r="V502">
        <v>1</v>
      </c>
      <c r="W502" t="s">
        <v>66</v>
      </c>
      <c r="X502" t="s">
        <v>67</v>
      </c>
      <c r="Y502" t="s">
        <v>67</v>
      </c>
      <c r="Z502" t="s">
        <v>68</v>
      </c>
      <c r="AB502">
        <v>4</v>
      </c>
      <c r="AC502" t="s">
        <v>61</v>
      </c>
      <c r="AJ502" t="s">
        <v>69</v>
      </c>
      <c r="AY502" t="s">
        <v>639</v>
      </c>
      <c r="AZ502">
        <v>180793</v>
      </c>
      <c r="BA502" t="s">
        <v>640</v>
      </c>
      <c r="BB502" t="s">
        <v>641</v>
      </c>
      <c r="BC502">
        <v>1990</v>
      </c>
      <c r="BD502" t="s">
        <v>642</v>
      </c>
    </row>
    <row r="503" spans="1:56" x14ac:dyDescent="0.35">
      <c r="A503">
        <v>84742</v>
      </c>
      <c r="B503" t="s">
        <v>636</v>
      </c>
      <c r="D503" t="s">
        <v>85</v>
      </c>
      <c r="E503" t="s">
        <v>128</v>
      </c>
      <c r="F503" t="s">
        <v>58</v>
      </c>
      <c r="G503" t="s">
        <v>59</v>
      </c>
      <c r="H503" t="s">
        <v>60</v>
      </c>
      <c r="I503" t="s">
        <v>129</v>
      </c>
      <c r="J503" t="s">
        <v>86</v>
      </c>
      <c r="L503" t="s">
        <v>74</v>
      </c>
      <c r="M503" t="s">
        <v>63</v>
      </c>
      <c r="N503" t="s">
        <v>64</v>
      </c>
      <c r="P503" t="s">
        <v>65</v>
      </c>
      <c r="R503">
        <v>0.92</v>
      </c>
      <c r="W503" t="s">
        <v>66</v>
      </c>
      <c r="X503" t="s">
        <v>67</v>
      </c>
      <c r="Y503" t="s">
        <v>67</v>
      </c>
      <c r="Z503" t="s">
        <v>68</v>
      </c>
      <c r="AB503">
        <v>4</v>
      </c>
      <c r="AC503" t="s">
        <v>61</v>
      </c>
      <c r="AJ503" t="s">
        <v>69</v>
      </c>
      <c r="AY503" t="s">
        <v>630</v>
      </c>
      <c r="AZ503">
        <v>15040</v>
      </c>
      <c r="BA503" t="s">
        <v>631</v>
      </c>
      <c r="BB503" t="s">
        <v>632</v>
      </c>
      <c r="BC503">
        <v>1995</v>
      </c>
      <c r="BD503" t="s">
        <v>90</v>
      </c>
    </row>
    <row r="504" spans="1:56" x14ac:dyDescent="0.35">
      <c r="A504">
        <v>84742</v>
      </c>
      <c r="B504" t="s">
        <v>636</v>
      </c>
      <c r="D504" t="s">
        <v>637</v>
      </c>
      <c r="E504" t="s">
        <v>638</v>
      </c>
      <c r="F504" t="s">
        <v>58</v>
      </c>
      <c r="G504" t="s">
        <v>59</v>
      </c>
      <c r="H504" t="s">
        <v>60</v>
      </c>
      <c r="I504" t="s">
        <v>129</v>
      </c>
      <c r="J504" t="s">
        <v>86</v>
      </c>
      <c r="K504" t="s">
        <v>61</v>
      </c>
      <c r="L504" t="s">
        <v>74</v>
      </c>
      <c r="M504" t="s">
        <v>63</v>
      </c>
      <c r="N504" t="s">
        <v>64</v>
      </c>
      <c r="P504" t="s">
        <v>65</v>
      </c>
      <c r="R504">
        <v>1.1000000000000001</v>
      </c>
      <c r="T504">
        <v>1</v>
      </c>
      <c r="V504">
        <v>1.2</v>
      </c>
      <c r="W504" t="s">
        <v>66</v>
      </c>
      <c r="X504" t="s">
        <v>67</v>
      </c>
      <c r="Y504" t="s">
        <v>67</v>
      </c>
      <c r="Z504" t="s">
        <v>68</v>
      </c>
      <c r="AB504">
        <v>4</v>
      </c>
      <c r="AC504" t="s">
        <v>61</v>
      </c>
      <c r="AJ504" t="s">
        <v>69</v>
      </c>
      <c r="AY504" t="s">
        <v>639</v>
      </c>
      <c r="AZ504">
        <v>180793</v>
      </c>
      <c r="BA504" t="s">
        <v>640</v>
      </c>
      <c r="BB504" t="s">
        <v>641</v>
      </c>
      <c r="BC504">
        <v>1990</v>
      </c>
      <c r="BD504" t="s">
        <v>642</v>
      </c>
    </row>
    <row r="505" spans="1:56" x14ac:dyDescent="0.35">
      <c r="A505">
        <v>84742</v>
      </c>
      <c r="B505" t="s">
        <v>636</v>
      </c>
      <c r="D505" t="s">
        <v>57</v>
      </c>
      <c r="E505">
        <v>99</v>
      </c>
      <c r="F505" t="s">
        <v>58</v>
      </c>
      <c r="G505" t="s">
        <v>59</v>
      </c>
      <c r="H505" t="s">
        <v>60</v>
      </c>
      <c r="J505">
        <v>32</v>
      </c>
      <c r="K505" t="s">
        <v>61</v>
      </c>
      <c r="L505" t="s">
        <v>74</v>
      </c>
      <c r="M505" t="s">
        <v>63</v>
      </c>
      <c r="N505" t="s">
        <v>64</v>
      </c>
      <c r="O505">
        <v>6</v>
      </c>
      <c r="P505" t="s">
        <v>65</v>
      </c>
      <c r="R505">
        <v>0.85</v>
      </c>
      <c r="T505">
        <v>0.72</v>
      </c>
      <c r="V505">
        <v>1</v>
      </c>
      <c r="W505" t="s">
        <v>66</v>
      </c>
      <c r="X505" t="s">
        <v>67</v>
      </c>
      <c r="Y505" t="s">
        <v>67</v>
      </c>
      <c r="Z505" t="s">
        <v>68</v>
      </c>
      <c r="AB505">
        <v>4</v>
      </c>
      <c r="AC505" t="s">
        <v>61</v>
      </c>
      <c r="AJ505" t="s">
        <v>69</v>
      </c>
      <c r="AY505" t="s">
        <v>141</v>
      </c>
      <c r="AZ505">
        <v>12447</v>
      </c>
      <c r="BA505" t="s">
        <v>142</v>
      </c>
      <c r="BB505" t="s">
        <v>143</v>
      </c>
      <c r="BC505">
        <v>1985</v>
      </c>
      <c r="BD505" t="s">
        <v>73</v>
      </c>
    </row>
    <row r="506" spans="1:56" x14ac:dyDescent="0.35">
      <c r="A506">
        <v>84742</v>
      </c>
      <c r="B506" t="s">
        <v>636</v>
      </c>
      <c r="E506">
        <v>100</v>
      </c>
      <c r="F506" t="s">
        <v>58</v>
      </c>
      <c r="G506" t="s">
        <v>59</v>
      </c>
      <c r="H506" t="s">
        <v>60</v>
      </c>
      <c r="J506" t="s">
        <v>86</v>
      </c>
      <c r="L506" t="s">
        <v>62</v>
      </c>
      <c r="M506" t="s">
        <v>63</v>
      </c>
      <c r="N506" t="s">
        <v>64</v>
      </c>
      <c r="P506" t="s">
        <v>65</v>
      </c>
      <c r="R506">
        <v>1.3</v>
      </c>
      <c r="T506">
        <v>0.31</v>
      </c>
      <c r="V506">
        <v>5.45</v>
      </c>
      <c r="W506" t="s">
        <v>66</v>
      </c>
      <c r="X506" t="s">
        <v>67</v>
      </c>
      <c r="Y506" t="s">
        <v>67</v>
      </c>
      <c r="Z506" t="s">
        <v>68</v>
      </c>
      <c r="AB506">
        <v>4</v>
      </c>
      <c r="AC506" t="s">
        <v>61</v>
      </c>
      <c r="AJ506" t="s">
        <v>69</v>
      </c>
      <c r="AY506" t="s">
        <v>96</v>
      </c>
      <c r="AZ506">
        <v>6797</v>
      </c>
      <c r="BA506" t="s">
        <v>97</v>
      </c>
      <c r="BB506" t="s">
        <v>98</v>
      </c>
      <c r="BC506">
        <v>1986</v>
      </c>
      <c r="BD506" t="s">
        <v>90</v>
      </c>
    </row>
    <row r="507" spans="1:56" x14ac:dyDescent="0.35">
      <c r="A507">
        <v>84742</v>
      </c>
      <c r="B507" t="s">
        <v>636</v>
      </c>
      <c r="D507" t="s">
        <v>57</v>
      </c>
      <c r="E507" t="s">
        <v>79</v>
      </c>
      <c r="F507" t="s">
        <v>58</v>
      </c>
      <c r="G507" t="s">
        <v>59</v>
      </c>
      <c r="H507" t="s">
        <v>60</v>
      </c>
      <c r="J507">
        <v>32</v>
      </c>
      <c r="K507" t="s">
        <v>61</v>
      </c>
      <c r="L507" t="s">
        <v>74</v>
      </c>
      <c r="M507" t="s">
        <v>63</v>
      </c>
      <c r="N507" t="s">
        <v>64</v>
      </c>
      <c r="O507">
        <v>6</v>
      </c>
      <c r="P507" t="s">
        <v>65</v>
      </c>
      <c r="R507">
        <v>1.1000000000000001</v>
      </c>
      <c r="T507">
        <v>1</v>
      </c>
      <c r="V507">
        <v>1.2</v>
      </c>
      <c r="W507" t="s">
        <v>66</v>
      </c>
      <c r="X507" t="s">
        <v>67</v>
      </c>
      <c r="Y507" t="s">
        <v>67</v>
      </c>
      <c r="Z507" t="s">
        <v>68</v>
      </c>
      <c r="AB507">
        <v>4</v>
      </c>
      <c r="AC507" t="s">
        <v>61</v>
      </c>
      <c r="AJ507" t="s">
        <v>69</v>
      </c>
      <c r="AY507" t="s">
        <v>141</v>
      </c>
      <c r="AZ507">
        <v>12447</v>
      </c>
      <c r="BA507" t="s">
        <v>142</v>
      </c>
      <c r="BB507" t="s">
        <v>143</v>
      </c>
      <c r="BC507">
        <v>1985</v>
      </c>
      <c r="BD507" t="s">
        <v>73</v>
      </c>
    </row>
    <row r="508" spans="1:56" x14ac:dyDescent="0.35">
      <c r="A508">
        <v>84742</v>
      </c>
      <c r="B508" t="s">
        <v>636</v>
      </c>
      <c r="D508" t="s">
        <v>85</v>
      </c>
      <c r="E508" t="s">
        <v>128</v>
      </c>
      <c r="F508" t="s">
        <v>58</v>
      </c>
      <c r="G508" t="s">
        <v>59</v>
      </c>
      <c r="H508" t="s">
        <v>60</v>
      </c>
      <c r="I508" t="s">
        <v>129</v>
      </c>
      <c r="J508" t="s">
        <v>86</v>
      </c>
      <c r="L508" t="s">
        <v>62</v>
      </c>
      <c r="M508" t="s">
        <v>63</v>
      </c>
      <c r="N508" t="s">
        <v>64</v>
      </c>
      <c r="P508" t="s">
        <v>65</v>
      </c>
      <c r="R508">
        <v>1.54</v>
      </c>
      <c r="W508" t="s">
        <v>66</v>
      </c>
      <c r="X508" t="s">
        <v>67</v>
      </c>
      <c r="Y508" t="s">
        <v>67</v>
      </c>
      <c r="Z508" t="s">
        <v>68</v>
      </c>
      <c r="AB508">
        <v>4</v>
      </c>
      <c r="AC508" t="s">
        <v>61</v>
      </c>
      <c r="AJ508" t="s">
        <v>69</v>
      </c>
      <c r="AY508" t="s">
        <v>630</v>
      </c>
      <c r="AZ508">
        <v>15040</v>
      </c>
      <c r="BA508" t="s">
        <v>631</v>
      </c>
      <c r="BB508" t="s">
        <v>632</v>
      </c>
      <c r="BC508">
        <v>1995</v>
      </c>
      <c r="BD508" t="s">
        <v>90</v>
      </c>
    </row>
    <row r="509" spans="1:56" x14ac:dyDescent="0.35">
      <c r="A509">
        <v>84742</v>
      </c>
      <c r="B509" t="s">
        <v>636</v>
      </c>
      <c r="D509" t="s">
        <v>57</v>
      </c>
      <c r="E509">
        <v>99.5</v>
      </c>
      <c r="F509" t="s">
        <v>58</v>
      </c>
      <c r="G509" t="s">
        <v>59</v>
      </c>
      <c r="H509" t="s">
        <v>60</v>
      </c>
      <c r="I509" t="s">
        <v>177</v>
      </c>
      <c r="J509" t="s">
        <v>86</v>
      </c>
      <c r="L509" t="s">
        <v>62</v>
      </c>
      <c r="M509" t="s">
        <v>63</v>
      </c>
      <c r="N509" t="s">
        <v>64</v>
      </c>
      <c r="O509">
        <v>8</v>
      </c>
      <c r="P509" t="s">
        <v>65</v>
      </c>
      <c r="R509">
        <v>2.02</v>
      </c>
      <c r="T509">
        <v>1.32</v>
      </c>
      <c r="V509">
        <v>2.85</v>
      </c>
      <c r="W509" t="s">
        <v>66</v>
      </c>
      <c r="X509" t="s">
        <v>67</v>
      </c>
      <c r="Y509" t="s">
        <v>67</v>
      </c>
      <c r="Z509" t="s">
        <v>68</v>
      </c>
      <c r="AB509">
        <v>4</v>
      </c>
      <c r="AC509" t="s">
        <v>61</v>
      </c>
      <c r="AJ509" t="s">
        <v>69</v>
      </c>
      <c r="AY509" t="s">
        <v>643</v>
      </c>
      <c r="AZ509">
        <v>10614</v>
      </c>
      <c r="BA509" t="s">
        <v>644</v>
      </c>
      <c r="BB509" t="s">
        <v>645</v>
      </c>
      <c r="BC509">
        <v>1985</v>
      </c>
      <c r="BD509" t="s">
        <v>90</v>
      </c>
    </row>
    <row r="510" spans="1:56" x14ac:dyDescent="0.35">
      <c r="A510">
        <v>84742</v>
      </c>
      <c r="B510" t="s">
        <v>636</v>
      </c>
      <c r="D510" t="s">
        <v>57</v>
      </c>
      <c r="E510" t="s">
        <v>86</v>
      </c>
      <c r="F510" t="s">
        <v>58</v>
      </c>
      <c r="G510" t="s">
        <v>59</v>
      </c>
      <c r="H510" t="s">
        <v>60</v>
      </c>
      <c r="J510" t="s">
        <v>86</v>
      </c>
      <c r="L510" t="s">
        <v>62</v>
      </c>
      <c r="M510" t="s">
        <v>63</v>
      </c>
      <c r="N510" t="s">
        <v>64</v>
      </c>
      <c r="O510">
        <v>6</v>
      </c>
      <c r="P510" t="s">
        <v>65</v>
      </c>
      <c r="R510">
        <v>3</v>
      </c>
      <c r="T510">
        <v>2.6</v>
      </c>
      <c r="V510">
        <v>3.4</v>
      </c>
      <c r="W510" t="s">
        <v>66</v>
      </c>
      <c r="X510" t="s">
        <v>67</v>
      </c>
      <c r="Y510" t="s">
        <v>67</v>
      </c>
      <c r="Z510" t="s">
        <v>68</v>
      </c>
      <c r="AB510">
        <v>4</v>
      </c>
      <c r="AC510" t="s">
        <v>61</v>
      </c>
      <c r="AJ510" t="s">
        <v>69</v>
      </c>
      <c r="AY510" t="s">
        <v>633</v>
      </c>
      <c r="AZ510">
        <v>180491</v>
      </c>
      <c r="BA510" t="s">
        <v>634</v>
      </c>
      <c r="BB510" t="s">
        <v>635</v>
      </c>
      <c r="BC510">
        <v>2000</v>
      </c>
      <c r="BD510" t="s">
        <v>90</v>
      </c>
    </row>
    <row r="511" spans="1:56" x14ac:dyDescent="0.35">
      <c r="A511">
        <v>84753</v>
      </c>
      <c r="B511" t="s">
        <v>646</v>
      </c>
      <c r="D511" t="s">
        <v>85</v>
      </c>
      <c r="E511" t="s">
        <v>128</v>
      </c>
      <c r="F511" t="s">
        <v>58</v>
      </c>
      <c r="G511" t="s">
        <v>59</v>
      </c>
      <c r="H511" t="s">
        <v>60</v>
      </c>
      <c r="I511" t="s">
        <v>129</v>
      </c>
      <c r="J511" t="s">
        <v>86</v>
      </c>
      <c r="L511" t="s">
        <v>62</v>
      </c>
      <c r="M511" t="s">
        <v>63</v>
      </c>
      <c r="N511" t="s">
        <v>64</v>
      </c>
      <c r="P511" t="s">
        <v>65</v>
      </c>
      <c r="Q511" t="s">
        <v>153</v>
      </c>
      <c r="R511">
        <v>0.1</v>
      </c>
      <c r="W511" t="s">
        <v>66</v>
      </c>
      <c r="X511" t="s">
        <v>67</v>
      </c>
      <c r="Y511" t="s">
        <v>67</v>
      </c>
      <c r="Z511" t="s">
        <v>68</v>
      </c>
      <c r="AB511">
        <v>4</v>
      </c>
      <c r="AC511" t="s">
        <v>61</v>
      </c>
      <c r="AJ511" t="s">
        <v>69</v>
      </c>
      <c r="AY511" t="s">
        <v>630</v>
      </c>
      <c r="AZ511">
        <v>15040</v>
      </c>
      <c r="BA511" t="s">
        <v>631</v>
      </c>
      <c r="BB511" t="s">
        <v>632</v>
      </c>
      <c r="BC511">
        <v>1995</v>
      </c>
      <c r="BD511" t="s">
        <v>90</v>
      </c>
    </row>
    <row r="512" spans="1:56" x14ac:dyDescent="0.35">
      <c r="A512">
        <v>84753</v>
      </c>
      <c r="B512" t="s">
        <v>646</v>
      </c>
      <c r="D512" t="s">
        <v>57</v>
      </c>
      <c r="E512" t="s">
        <v>86</v>
      </c>
      <c r="F512" t="s">
        <v>58</v>
      </c>
      <c r="G512" t="s">
        <v>59</v>
      </c>
      <c r="H512" t="s">
        <v>60</v>
      </c>
      <c r="J512" t="s">
        <v>86</v>
      </c>
      <c r="L512" t="s">
        <v>62</v>
      </c>
      <c r="M512" t="s">
        <v>63</v>
      </c>
      <c r="N512" t="s">
        <v>64</v>
      </c>
      <c r="O512">
        <v>2</v>
      </c>
      <c r="P512" t="s">
        <v>65</v>
      </c>
      <c r="Q512" t="s">
        <v>153</v>
      </c>
      <c r="R512">
        <v>0.2</v>
      </c>
      <c r="W512" t="s">
        <v>66</v>
      </c>
      <c r="X512" t="s">
        <v>67</v>
      </c>
      <c r="Y512" t="s">
        <v>67</v>
      </c>
      <c r="Z512" t="s">
        <v>68</v>
      </c>
      <c r="AB512">
        <v>4</v>
      </c>
      <c r="AC512" t="s">
        <v>61</v>
      </c>
      <c r="AJ512" t="s">
        <v>69</v>
      </c>
      <c r="AY512" t="s">
        <v>633</v>
      </c>
      <c r="AZ512">
        <v>180491</v>
      </c>
      <c r="BA512" t="s">
        <v>634</v>
      </c>
      <c r="BB512" t="s">
        <v>635</v>
      </c>
      <c r="BC512">
        <v>2000</v>
      </c>
      <c r="BD512" t="s">
        <v>90</v>
      </c>
    </row>
    <row r="513" spans="1:56" x14ac:dyDescent="0.35">
      <c r="A513">
        <v>84753</v>
      </c>
      <c r="B513" t="s">
        <v>646</v>
      </c>
      <c r="D513" t="s">
        <v>85</v>
      </c>
      <c r="E513" t="s">
        <v>128</v>
      </c>
      <c r="F513" t="s">
        <v>58</v>
      </c>
      <c r="G513" t="s">
        <v>59</v>
      </c>
      <c r="H513" t="s">
        <v>60</v>
      </c>
      <c r="I513" t="s">
        <v>129</v>
      </c>
      <c r="J513" t="s">
        <v>86</v>
      </c>
      <c r="L513" t="s">
        <v>74</v>
      </c>
      <c r="M513" t="s">
        <v>63</v>
      </c>
      <c r="N513" t="s">
        <v>64</v>
      </c>
      <c r="P513" t="s">
        <v>65</v>
      </c>
      <c r="Q513" t="s">
        <v>153</v>
      </c>
      <c r="R513">
        <v>0.24</v>
      </c>
      <c r="W513" t="s">
        <v>66</v>
      </c>
      <c r="X513" t="s">
        <v>67</v>
      </c>
      <c r="Y513" t="s">
        <v>67</v>
      </c>
      <c r="Z513" t="s">
        <v>68</v>
      </c>
      <c r="AB513">
        <v>4</v>
      </c>
      <c r="AC513" t="s">
        <v>61</v>
      </c>
      <c r="AJ513" t="s">
        <v>69</v>
      </c>
      <c r="AY513" t="s">
        <v>630</v>
      </c>
      <c r="AZ513">
        <v>15040</v>
      </c>
      <c r="BA513" t="s">
        <v>631</v>
      </c>
      <c r="BB513" t="s">
        <v>632</v>
      </c>
      <c r="BC513">
        <v>1995</v>
      </c>
      <c r="BD513" t="s">
        <v>90</v>
      </c>
    </row>
    <row r="514" spans="1:56" x14ac:dyDescent="0.35">
      <c r="A514">
        <v>85007</v>
      </c>
      <c r="B514" t="s">
        <v>647</v>
      </c>
      <c r="D514" t="s">
        <v>85</v>
      </c>
      <c r="E514">
        <v>40</v>
      </c>
      <c r="F514" t="s">
        <v>58</v>
      </c>
      <c r="G514" t="s">
        <v>59</v>
      </c>
      <c r="H514" t="s">
        <v>60</v>
      </c>
      <c r="J514" t="s">
        <v>86</v>
      </c>
      <c r="L514" t="s">
        <v>62</v>
      </c>
      <c r="M514" t="s">
        <v>63</v>
      </c>
      <c r="N514" t="s">
        <v>64</v>
      </c>
      <c r="P514" t="s">
        <v>65</v>
      </c>
      <c r="R514">
        <v>14</v>
      </c>
      <c r="W514" t="s">
        <v>66</v>
      </c>
      <c r="X514" t="s">
        <v>67</v>
      </c>
      <c r="Y514" t="s">
        <v>67</v>
      </c>
      <c r="Z514" t="s">
        <v>68</v>
      </c>
      <c r="AB514">
        <v>4</v>
      </c>
      <c r="AC514" t="s">
        <v>61</v>
      </c>
      <c r="AJ514" t="s">
        <v>69</v>
      </c>
      <c r="AY514" t="s">
        <v>648</v>
      </c>
      <c r="AZ514">
        <v>892</v>
      </c>
      <c r="BA514" t="s">
        <v>649</v>
      </c>
      <c r="BB514" t="s">
        <v>650</v>
      </c>
      <c r="BC514">
        <v>1962</v>
      </c>
      <c r="BD514" t="s">
        <v>90</v>
      </c>
    </row>
    <row r="515" spans="1:56" x14ac:dyDescent="0.35">
      <c r="A515">
        <v>85007</v>
      </c>
      <c r="B515" t="s">
        <v>647</v>
      </c>
      <c r="D515" t="s">
        <v>85</v>
      </c>
      <c r="E515">
        <v>40</v>
      </c>
      <c r="F515" t="s">
        <v>58</v>
      </c>
      <c r="G515" t="s">
        <v>59</v>
      </c>
      <c r="H515" t="s">
        <v>60</v>
      </c>
      <c r="J515" t="s">
        <v>86</v>
      </c>
      <c r="L515" t="s">
        <v>62</v>
      </c>
      <c r="M515" t="s">
        <v>63</v>
      </c>
      <c r="N515" t="s">
        <v>64</v>
      </c>
      <c r="P515" t="s">
        <v>65</v>
      </c>
      <c r="R515">
        <v>14</v>
      </c>
      <c r="W515" t="s">
        <v>66</v>
      </c>
      <c r="X515" t="s">
        <v>67</v>
      </c>
      <c r="Y515" t="s">
        <v>67</v>
      </c>
      <c r="Z515" t="s">
        <v>68</v>
      </c>
      <c r="AB515">
        <v>4</v>
      </c>
      <c r="AC515" t="s">
        <v>61</v>
      </c>
      <c r="AJ515" t="s">
        <v>69</v>
      </c>
      <c r="AY515" t="s">
        <v>648</v>
      </c>
      <c r="AZ515">
        <v>892</v>
      </c>
      <c r="BA515" t="s">
        <v>649</v>
      </c>
      <c r="BB515" t="s">
        <v>650</v>
      </c>
      <c r="BC515">
        <v>1962</v>
      </c>
      <c r="BD515" t="s">
        <v>90</v>
      </c>
    </row>
    <row r="516" spans="1:56" x14ac:dyDescent="0.35">
      <c r="A516">
        <v>85007</v>
      </c>
      <c r="B516" t="s">
        <v>647</v>
      </c>
      <c r="D516" t="s">
        <v>85</v>
      </c>
      <c r="E516">
        <v>40</v>
      </c>
      <c r="F516" t="s">
        <v>58</v>
      </c>
      <c r="G516" t="s">
        <v>59</v>
      </c>
      <c r="H516" t="s">
        <v>60</v>
      </c>
      <c r="J516" t="s">
        <v>86</v>
      </c>
      <c r="L516" t="s">
        <v>62</v>
      </c>
      <c r="M516" t="s">
        <v>63</v>
      </c>
      <c r="N516" t="s">
        <v>64</v>
      </c>
      <c r="P516" t="s">
        <v>65</v>
      </c>
      <c r="R516">
        <v>130</v>
      </c>
      <c r="W516" t="s">
        <v>66</v>
      </c>
      <c r="X516" t="s">
        <v>67</v>
      </c>
      <c r="Y516" t="s">
        <v>67</v>
      </c>
      <c r="Z516" t="s">
        <v>68</v>
      </c>
      <c r="AB516">
        <v>4</v>
      </c>
      <c r="AC516" t="s">
        <v>61</v>
      </c>
      <c r="AJ516" t="s">
        <v>69</v>
      </c>
      <c r="AY516" t="s">
        <v>648</v>
      </c>
      <c r="AZ516">
        <v>892</v>
      </c>
      <c r="BA516" t="s">
        <v>649</v>
      </c>
      <c r="BB516" t="s">
        <v>650</v>
      </c>
      <c r="BC516">
        <v>1962</v>
      </c>
      <c r="BD516" t="s">
        <v>90</v>
      </c>
    </row>
    <row r="517" spans="1:56" x14ac:dyDescent="0.35">
      <c r="A517">
        <v>85687</v>
      </c>
      <c r="B517" t="s">
        <v>651</v>
      </c>
      <c r="D517" t="s">
        <v>57</v>
      </c>
      <c r="E517" t="s">
        <v>86</v>
      </c>
      <c r="F517" t="s">
        <v>58</v>
      </c>
      <c r="G517" t="s">
        <v>59</v>
      </c>
      <c r="H517" t="s">
        <v>60</v>
      </c>
      <c r="J517" t="s">
        <v>86</v>
      </c>
      <c r="L517" t="s">
        <v>62</v>
      </c>
      <c r="M517" t="s">
        <v>63</v>
      </c>
      <c r="N517" t="s">
        <v>64</v>
      </c>
      <c r="O517">
        <v>6</v>
      </c>
      <c r="P517" t="s">
        <v>65</v>
      </c>
      <c r="Q517" t="s">
        <v>153</v>
      </c>
      <c r="R517">
        <v>1.6</v>
      </c>
      <c r="W517" t="s">
        <v>66</v>
      </c>
      <c r="X517" t="s">
        <v>67</v>
      </c>
      <c r="Y517" t="s">
        <v>67</v>
      </c>
      <c r="Z517" t="s">
        <v>68</v>
      </c>
      <c r="AB517">
        <v>4</v>
      </c>
      <c r="AC517" t="s">
        <v>61</v>
      </c>
      <c r="AJ517" t="s">
        <v>69</v>
      </c>
      <c r="AY517" t="s">
        <v>633</v>
      </c>
      <c r="AZ517">
        <v>180491</v>
      </c>
      <c r="BA517" t="s">
        <v>634</v>
      </c>
      <c r="BB517" t="s">
        <v>635</v>
      </c>
      <c r="BC517">
        <v>2000</v>
      </c>
      <c r="BD517" t="s">
        <v>90</v>
      </c>
    </row>
    <row r="518" spans="1:56" x14ac:dyDescent="0.35">
      <c r="A518">
        <v>85687</v>
      </c>
      <c r="B518" t="s">
        <v>651</v>
      </c>
      <c r="D518" t="s">
        <v>85</v>
      </c>
      <c r="E518" t="s">
        <v>128</v>
      </c>
      <c r="F518" t="s">
        <v>58</v>
      </c>
      <c r="G518" t="s">
        <v>59</v>
      </c>
      <c r="H518" t="s">
        <v>60</v>
      </c>
      <c r="I518" t="s">
        <v>129</v>
      </c>
      <c r="J518" t="s">
        <v>86</v>
      </c>
      <c r="L518" t="s">
        <v>62</v>
      </c>
      <c r="M518" t="s">
        <v>63</v>
      </c>
      <c r="N518" t="s">
        <v>64</v>
      </c>
      <c r="P518" t="s">
        <v>65</v>
      </c>
      <c r="Q518" t="s">
        <v>153</v>
      </c>
      <c r="R518">
        <v>0.78</v>
      </c>
      <c r="W518" t="s">
        <v>66</v>
      </c>
      <c r="X518" t="s">
        <v>67</v>
      </c>
      <c r="Y518" t="s">
        <v>67</v>
      </c>
      <c r="Z518" t="s">
        <v>68</v>
      </c>
      <c r="AB518">
        <v>4</v>
      </c>
      <c r="AC518" t="s">
        <v>61</v>
      </c>
      <c r="AJ518" t="s">
        <v>69</v>
      </c>
      <c r="AY518" t="s">
        <v>630</v>
      </c>
      <c r="AZ518">
        <v>15040</v>
      </c>
      <c r="BA518" t="s">
        <v>631</v>
      </c>
      <c r="BB518" t="s">
        <v>632</v>
      </c>
      <c r="BC518">
        <v>1995</v>
      </c>
      <c r="BD518" t="s">
        <v>90</v>
      </c>
    </row>
    <row r="519" spans="1:56" x14ac:dyDescent="0.35">
      <c r="A519">
        <v>85687</v>
      </c>
      <c r="B519" t="s">
        <v>651</v>
      </c>
      <c r="C519" t="s">
        <v>652</v>
      </c>
      <c r="D519" t="s">
        <v>85</v>
      </c>
      <c r="E519" t="s">
        <v>86</v>
      </c>
      <c r="F519" t="s">
        <v>58</v>
      </c>
      <c r="G519" t="s">
        <v>59</v>
      </c>
      <c r="H519" t="s">
        <v>60</v>
      </c>
      <c r="J519" t="s">
        <v>86</v>
      </c>
      <c r="L519" t="s">
        <v>62</v>
      </c>
      <c r="M519" t="s">
        <v>63</v>
      </c>
      <c r="N519" t="s">
        <v>64</v>
      </c>
      <c r="P519" t="s">
        <v>65</v>
      </c>
      <c r="R519">
        <v>2.1</v>
      </c>
      <c r="T519">
        <v>1.7</v>
      </c>
      <c r="V519">
        <v>2.5</v>
      </c>
      <c r="W519" t="s">
        <v>66</v>
      </c>
      <c r="X519" t="s">
        <v>67</v>
      </c>
      <c r="Y519" t="s">
        <v>67</v>
      </c>
      <c r="Z519" t="s">
        <v>68</v>
      </c>
      <c r="AB519">
        <v>4</v>
      </c>
      <c r="AC519" t="s">
        <v>61</v>
      </c>
      <c r="AJ519" t="s">
        <v>69</v>
      </c>
      <c r="AY519" t="s">
        <v>653</v>
      </c>
      <c r="AZ519">
        <v>15239</v>
      </c>
      <c r="BA519" t="s">
        <v>654</v>
      </c>
      <c r="BB519" t="s">
        <v>655</v>
      </c>
      <c r="BC519">
        <v>1980</v>
      </c>
      <c r="BD519" t="s">
        <v>90</v>
      </c>
    </row>
    <row r="520" spans="1:56" x14ac:dyDescent="0.35">
      <c r="A520">
        <v>85687</v>
      </c>
      <c r="B520" t="s">
        <v>651</v>
      </c>
      <c r="D520" t="s">
        <v>85</v>
      </c>
      <c r="E520" t="s">
        <v>128</v>
      </c>
      <c r="F520" t="s">
        <v>58</v>
      </c>
      <c r="G520" t="s">
        <v>59</v>
      </c>
      <c r="H520" t="s">
        <v>60</v>
      </c>
      <c r="I520" t="s">
        <v>129</v>
      </c>
      <c r="J520" t="s">
        <v>86</v>
      </c>
      <c r="L520" t="s">
        <v>74</v>
      </c>
      <c r="M520" t="s">
        <v>63</v>
      </c>
      <c r="N520" t="s">
        <v>64</v>
      </c>
      <c r="P520" t="s">
        <v>65</v>
      </c>
      <c r="R520">
        <v>1.5</v>
      </c>
      <c r="W520" t="s">
        <v>66</v>
      </c>
      <c r="X520" t="s">
        <v>67</v>
      </c>
      <c r="Y520" t="s">
        <v>67</v>
      </c>
      <c r="Z520" t="s">
        <v>68</v>
      </c>
      <c r="AB520">
        <v>4</v>
      </c>
      <c r="AC520" t="s">
        <v>61</v>
      </c>
      <c r="AJ520" t="s">
        <v>69</v>
      </c>
      <c r="AY520" t="s">
        <v>630</v>
      </c>
      <c r="AZ520">
        <v>15040</v>
      </c>
      <c r="BA520" t="s">
        <v>631</v>
      </c>
      <c r="BB520" t="s">
        <v>632</v>
      </c>
      <c r="BC520">
        <v>1995</v>
      </c>
      <c r="BD520" t="s">
        <v>90</v>
      </c>
    </row>
    <row r="521" spans="1:56" x14ac:dyDescent="0.35">
      <c r="A521">
        <v>85687</v>
      </c>
      <c r="B521" t="s">
        <v>651</v>
      </c>
      <c r="C521" t="s">
        <v>652</v>
      </c>
      <c r="D521" t="s">
        <v>57</v>
      </c>
      <c r="E521" t="s">
        <v>86</v>
      </c>
      <c r="F521" t="s">
        <v>58</v>
      </c>
      <c r="G521" t="s">
        <v>59</v>
      </c>
      <c r="H521" t="s">
        <v>60</v>
      </c>
      <c r="J521" t="s">
        <v>86</v>
      </c>
      <c r="L521" t="s">
        <v>74</v>
      </c>
      <c r="M521" t="s">
        <v>63</v>
      </c>
      <c r="N521" t="s">
        <v>64</v>
      </c>
      <c r="O521">
        <v>7</v>
      </c>
      <c r="P521" t="s">
        <v>65</v>
      </c>
      <c r="R521">
        <v>2.3199999999999998</v>
      </c>
      <c r="T521">
        <v>1.39</v>
      </c>
      <c r="V521">
        <v>3.88</v>
      </c>
      <c r="W521" t="s">
        <v>66</v>
      </c>
      <c r="X521" t="s">
        <v>67</v>
      </c>
      <c r="Y521" t="s">
        <v>67</v>
      </c>
      <c r="Z521" t="s">
        <v>68</v>
      </c>
      <c r="AB521">
        <v>4</v>
      </c>
      <c r="AC521" t="s">
        <v>61</v>
      </c>
      <c r="AJ521" t="s">
        <v>69</v>
      </c>
      <c r="AY521" t="s">
        <v>653</v>
      </c>
      <c r="AZ521">
        <v>15239</v>
      </c>
      <c r="BA521" t="s">
        <v>654</v>
      </c>
      <c r="BB521" t="s">
        <v>655</v>
      </c>
      <c r="BC521">
        <v>1980</v>
      </c>
      <c r="BD521" t="s">
        <v>90</v>
      </c>
    </row>
    <row r="522" spans="1:56" x14ac:dyDescent="0.35">
      <c r="A522">
        <v>85687</v>
      </c>
      <c r="B522" t="s">
        <v>651</v>
      </c>
      <c r="C522" t="s">
        <v>652</v>
      </c>
      <c r="D522" t="s">
        <v>85</v>
      </c>
      <c r="E522" t="s">
        <v>86</v>
      </c>
      <c r="F522" t="s">
        <v>58</v>
      </c>
      <c r="G522" t="s">
        <v>59</v>
      </c>
      <c r="H522" t="s">
        <v>60</v>
      </c>
      <c r="J522" t="s">
        <v>86</v>
      </c>
      <c r="L522" t="s">
        <v>62</v>
      </c>
      <c r="M522" t="s">
        <v>63</v>
      </c>
      <c r="N522" t="s">
        <v>64</v>
      </c>
      <c r="P522" t="s">
        <v>65</v>
      </c>
      <c r="R522">
        <v>5.3</v>
      </c>
      <c r="T522">
        <v>4.3</v>
      </c>
      <c r="V522">
        <v>6.5</v>
      </c>
      <c r="W522" t="s">
        <v>66</v>
      </c>
      <c r="X522" t="s">
        <v>67</v>
      </c>
      <c r="Y522" t="s">
        <v>67</v>
      </c>
      <c r="Z522" t="s">
        <v>68</v>
      </c>
      <c r="AB522">
        <v>4</v>
      </c>
      <c r="AC522" t="s">
        <v>61</v>
      </c>
      <c r="AJ522" t="s">
        <v>69</v>
      </c>
      <c r="AY522" t="s">
        <v>653</v>
      </c>
      <c r="AZ522">
        <v>15239</v>
      </c>
      <c r="BA522" t="s">
        <v>654</v>
      </c>
      <c r="BB522" t="s">
        <v>655</v>
      </c>
      <c r="BC522">
        <v>1980</v>
      </c>
      <c r="BD522" t="s">
        <v>90</v>
      </c>
    </row>
    <row r="523" spans="1:56" x14ac:dyDescent="0.35">
      <c r="A523">
        <v>85698</v>
      </c>
      <c r="B523" t="s">
        <v>656</v>
      </c>
      <c r="D523" t="s">
        <v>57</v>
      </c>
      <c r="E523" t="s">
        <v>86</v>
      </c>
      <c r="F523" t="s">
        <v>58</v>
      </c>
      <c r="G523" t="s">
        <v>59</v>
      </c>
      <c r="H523" t="s">
        <v>60</v>
      </c>
      <c r="J523" t="s">
        <v>86</v>
      </c>
      <c r="L523" t="s">
        <v>62</v>
      </c>
      <c r="M523" t="s">
        <v>63</v>
      </c>
      <c r="N523" t="s">
        <v>64</v>
      </c>
      <c r="O523">
        <v>2</v>
      </c>
      <c r="P523" t="s">
        <v>65</v>
      </c>
      <c r="Q523" t="s">
        <v>153</v>
      </c>
      <c r="R523">
        <v>0.2</v>
      </c>
      <c r="W523" t="s">
        <v>66</v>
      </c>
      <c r="X523" t="s">
        <v>67</v>
      </c>
      <c r="Y523" t="s">
        <v>67</v>
      </c>
      <c r="Z523" t="s">
        <v>68</v>
      </c>
      <c r="AB523">
        <v>4</v>
      </c>
      <c r="AC523" t="s">
        <v>61</v>
      </c>
      <c r="AJ523" t="s">
        <v>69</v>
      </c>
      <c r="AY523" t="s">
        <v>633</v>
      </c>
      <c r="AZ523">
        <v>180491</v>
      </c>
      <c r="BA523" t="s">
        <v>634</v>
      </c>
      <c r="BB523" t="s">
        <v>635</v>
      </c>
      <c r="BC523">
        <v>2000</v>
      </c>
      <c r="BD523" t="s">
        <v>90</v>
      </c>
    </row>
    <row r="524" spans="1:56" x14ac:dyDescent="0.35">
      <c r="A524">
        <v>85698</v>
      </c>
      <c r="B524" t="s">
        <v>656</v>
      </c>
      <c r="D524" t="s">
        <v>85</v>
      </c>
      <c r="E524" t="s">
        <v>128</v>
      </c>
      <c r="F524" t="s">
        <v>58</v>
      </c>
      <c r="G524" t="s">
        <v>59</v>
      </c>
      <c r="H524" t="s">
        <v>60</v>
      </c>
      <c r="I524" t="s">
        <v>129</v>
      </c>
      <c r="J524" t="s">
        <v>86</v>
      </c>
      <c r="L524" t="s">
        <v>74</v>
      </c>
      <c r="M524" t="s">
        <v>63</v>
      </c>
      <c r="N524" t="s">
        <v>64</v>
      </c>
      <c r="P524" t="s">
        <v>65</v>
      </c>
      <c r="Q524" t="s">
        <v>153</v>
      </c>
      <c r="R524">
        <v>0.15</v>
      </c>
      <c r="W524" t="s">
        <v>66</v>
      </c>
      <c r="X524" t="s">
        <v>67</v>
      </c>
      <c r="Y524" t="s">
        <v>67</v>
      </c>
      <c r="Z524" t="s">
        <v>68</v>
      </c>
      <c r="AB524">
        <v>4</v>
      </c>
      <c r="AC524" t="s">
        <v>61</v>
      </c>
      <c r="AJ524" t="s">
        <v>69</v>
      </c>
      <c r="AY524" t="s">
        <v>630</v>
      </c>
      <c r="AZ524">
        <v>15040</v>
      </c>
      <c r="BA524" t="s">
        <v>631</v>
      </c>
      <c r="BB524" t="s">
        <v>632</v>
      </c>
      <c r="BC524">
        <v>1995</v>
      </c>
      <c r="BD524" t="s">
        <v>90</v>
      </c>
    </row>
    <row r="525" spans="1:56" x14ac:dyDescent="0.35">
      <c r="A525">
        <v>85698</v>
      </c>
      <c r="B525" t="s">
        <v>656</v>
      </c>
      <c r="D525" t="s">
        <v>85</v>
      </c>
      <c r="E525" t="s">
        <v>128</v>
      </c>
      <c r="F525" t="s">
        <v>58</v>
      </c>
      <c r="G525" t="s">
        <v>59</v>
      </c>
      <c r="H525" t="s">
        <v>60</v>
      </c>
      <c r="I525" t="s">
        <v>129</v>
      </c>
      <c r="J525" t="s">
        <v>86</v>
      </c>
      <c r="L525" t="s">
        <v>62</v>
      </c>
      <c r="M525" t="s">
        <v>63</v>
      </c>
      <c r="N525" t="s">
        <v>64</v>
      </c>
      <c r="P525" t="s">
        <v>65</v>
      </c>
      <c r="Q525" t="s">
        <v>153</v>
      </c>
      <c r="R525">
        <v>0.12</v>
      </c>
      <c r="W525" t="s">
        <v>66</v>
      </c>
      <c r="X525" t="s">
        <v>67</v>
      </c>
      <c r="Y525" t="s">
        <v>67</v>
      </c>
      <c r="Z525" t="s">
        <v>68</v>
      </c>
      <c r="AB525">
        <v>4</v>
      </c>
      <c r="AC525" t="s">
        <v>61</v>
      </c>
      <c r="AJ525" t="s">
        <v>69</v>
      </c>
      <c r="AY525" t="s">
        <v>630</v>
      </c>
      <c r="AZ525">
        <v>15040</v>
      </c>
      <c r="BA525" t="s">
        <v>631</v>
      </c>
      <c r="BB525" t="s">
        <v>632</v>
      </c>
      <c r="BC525">
        <v>1995</v>
      </c>
      <c r="BD525" t="s">
        <v>90</v>
      </c>
    </row>
    <row r="526" spans="1:56" x14ac:dyDescent="0.35">
      <c r="A526">
        <v>86500</v>
      </c>
      <c r="B526" t="s">
        <v>657</v>
      </c>
      <c r="D526" t="s">
        <v>85</v>
      </c>
      <c r="E526" t="s">
        <v>86</v>
      </c>
      <c r="F526" t="s">
        <v>58</v>
      </c>
      <c r="G526" t="s">
        <v>59</v>
      </c>
      <c r="H526" t="s">
        <v>60</v>
      </c>
      <c r="J526">
        <v>1</v>
      </c>
      <c r="K526" t="s">
        <v>61</v>
      </c>
      <c r="L526" t="s">
        <v>62</v>
      </c>
      <c r="M526" t="s">
        <v>63</v>
      </c>
      <c r="N526" t="s">
        <v>64</v>
      </c>
      <c r="P526" t="s">
        <v>100</v>
      </c>
      <c r="R526">
        <v>0.29699999999999999</v>
      </c>
      <c r="T526">
        <v>0.221</v>
      </c>
      <c r="V526">
        <v>0.4</v>
      </c>
      <c r="W526" t="s">
        <v>66</v>
      </c>
      <c r="X526" t="s">
        <v>67</v>
      </c>
      <c r="Y526" t="s">
        <v>67</v>
      </c>
      <c r="Z526" t="s">
        <v>68</v>
      </c>
      <c r="AB526">
        <v>4</v>
      </c>
      <c r="AC526" t="s">
        <v>61</v>
      </c>
      <c r="AJ526" t="s">
        <v>69</v>
      </c>
      <c r="AY526" t="s">
        <v>658</v>
      </c>
      <c r="AZ526">
        <v>14914</v>
      </c>
      <c r="BA526" t="s">
        <v>659</v>
      </c>
      <c r="BB526" t="s">
        <v>660</v>
      </c>
      <c r="BC526">
        <v>1995</v>
      </c>
      <c r="BD526" t="s">
        <v>73</v>
      </c>
    </row>
    <row r="527" spans="1:56" x14ac:dyDescent="0.35">
      <c r="A527">
        <v>86500</v>
      </c>
      <c r="B527" t="s">
        <v>657</v>
      </c>
      <c r="C527" t="s">
        <v>91</v>
      </c>
      <c r="D527" t="s">
        <v>85</v>
      </c>
      <c r="E527">
        <v>93</v>
      </c>
      <c r="F527" t="s">
        <v>58</v>
      </c>
      <c r="G527" t="s">
        <v>59</v>
      </c>
      <c r="H527" t="s">
        <v>60</v>
      </c>
      <c r="J527" t="s">
        <v>86</v>
      </c>
      <c r="L527" t="s">
        <v>62</v>
      </c>
      <c r="M527" t="s">
        <v>63</v>
      </c>
      <c r="N527" t="s">
        <v>64</v>
      </c>
      <c r="P527" t="s">
        <v>65</v>
      </c>
      <c r="R527">
        <v>0.17</v>
      </c>
      <c r="W527" t="s">
        <v>66</v>
      </c>
      <c r="X527" t="s">
        <v>67</v>
      </c>
      <c r="Y527" t="s">
        <v>67</v>
      </c>
      <c r="Z527" t="s">
        <v>68</v>
      </c>
      <c r="AB527">
        <v>4</v>
      </c>
      <c r="AC527" t="s">
        <v>61</v>
      </c>
      <c r="AJ527" t="s">
        <v>69</v>
      </c>
      <c r="AY527" t="s">
        <v>87</v>
      </c>
      <c r="AZ527">
        <v>936</v>
      </c>
      <c r="BA527" t="s">
        <v>219</v>
      </c>
      <c r="BB527" t="s">
        <v>220</v>
      </c>
      <c r="BC527">
        <v>1960</v>
      </c>
      <c r="BD527" t="s">
        <v>90</v>
      </c>
    </row>
    <row r="528" spans="1:56" x14ac:dyDescent="0.35">
      <c r="A528">
        <v>86500</v>
      </c>
      <c r="B528" t="s">
        <v>657</v>
      </c>
      <c r="C528" t="s">
        <v>91</v>
      </c>
      <c r="D528" t="s">
        <v>85</v>
      </c>
      <c r="E528">
        <v>93</v>
      </c>
      <c r="F528" t="s">
        <v>58</v>
      </c>
      <c r="G528" t="s">
        <v>59</v>
      </c>
      <c r="H528" t="s">
        <v>60</v>
      </c>
      <c r="J528">
        <v>11</v>
      </c>
      <c r="K528" t="s">
        <v>196</v>
      </c>
      <c r="L528" t="s">
        <v>190</v>
      </c>
      <c r="M528" t="s">
        <v>63</v>
      </c>
      <c r="N528" t="s">
        <v>64</v>
      </c>
      <c r="P528" t="s">
        <v>65</v>
      </c>
      <c r="R528">
        <v>0.54</v>
      </c>
      <c r="W528" t="s">
        <v>66</v>
      </c>
      <c r="X528" t="s">
        <v>67</v>
      </c>
      <c r="Y528" t="s">
        <v>67</v>
      </c>
      <c r="Z528" t="s">
        <v>68</v>
      </c>
      <c r="AB528">
        <v>4</v>
      </c>
      <c r="AC528" t="s">
        <v>61</v>
      </c>
      <c r="AJ528" t="s">
        <v>69</v>
      </c>
      <c r="AY528" t="s">
        <v>661</v>
      </c>
      <c r="AZ528">
        <v>2145</v>
      </c>
      <c r="BA528" t="s">
        <v>662</v>
      </c>
      <c r="BB528" t="s">
        <v>663</v>
      </c>
      <c r="BC528">
        <v>1976</v>
      </c>
      <c r="BD528" t="s">
        <v>200</v>
      </c>
    </row>
    <row r="529" spans="1:56" x14ac:dyDescent="0.35">
      <c r="A529">
        <v>86500</v>
      </c>
      <c r="B529" t="s">
        <v>657</v>
      </c>
      <c r="C529" t="s">
        <v>91</v>
      </c>
      <c r="D529" t="s">
        <v>85</v>
      </c>
      <c r="E529">
        <v>93</v>
      </c>
      <c r="F529" t="s">
        <v>58</v>
      </c>
      <c r="G529" t="s">
        <v>59</v>
      </c>
      <c r="H529" t="s">
        <v>60</v>
      </c>
      <c r="J529" t="s">
        <v>86</v>
      </c>
      <c r="L529" t="s">
        <v>62</v>
      </c>
      <c r="M529" t="s">
        <v>63</v>
      </c>
      <c r="N529" t="s">
        <v>64</v>
      </c>
      <c r="P529" t="s">
        <v>65</v>
      </c>
      <c r="R529">
        <v>0.1</v>
      </c>
      <c r="W529" t="s">
        <v>66</v>
      </c>
      <c r="X529" t="s">
        <v>67</v>
      </c>
      <c r="Y529" t="s">
        <v>67</v>
      </c>
      <c r="Z529" t="s">
        <v>68</v>
      </c>
      <c r="AB529">
        <v>4</v>
      </c>
      <c r="AC529" t="s">
        <v>61</v>
      </c>
      <c r="AJ529" t="s">
        <v>69</v>
      </c>
      <c r="AY529" t="s">
        <v>87</v>
      </c>
      <c r="AZ529">
        <v>936</v>
      </c>
      <c r="BA529" t="s">
        <v>219</v>
      </c>
      <c r="BB529" t="s">
        <v>220</v>
      </c>
      <c r="BC529">
        <v>1960</v>
      </c>
      <c r="BD529" t="s">
        <v>90</v>
      </c>
    </row>
    <row r="530" spans="1:56" x14ac:dyDescent="0.35">
      <c r="A530">
        <v>86500</v>
      </c>
      <c r="B530" t="s">
        <v>657</v>
      </c>
      <c r="D530" t="s">
        <v>57</v>
      </c>
      <c r="E530">
        <v>91</v>
      </c>
      <c r="F530" t="s">
        <v>58</v>
      </c>
      <c r="G530" t="s">
        <v>59</v>
      </c>
      <c r="H530" t="s">
        <v>60</v>
      </c>
      <c r="J530" t="s">
        <v>86</v>
      </c>
      <c r="K530" t="s">
        <v>61</v>
      </c>
      <c r="L530" t="s">
        <v>74</v>
      </c>
      <c r="M530" t="s">
        <v>63</v>
      </c>
      <c r="N530" t="s">
        <v>64</v>
      </c>
      <c r="P530" t="s">
        <v>65</v>
      </c>
      <c r="R530">
        <v>6.4000000000000001E-2</v>
      </c>
      <c r="T530">
        <v>0.05</v>
      </c>
      <c r="V530">
        <v>8.3000000000000004E-2</v>
      </c>
      <c r="W530" t="s">
        <v>66</v>
      </c>
      <c r="X530" t="s">
        <v>67</v>
      </c>
      <c r="Y530" t="s">
        <v>67</v>
      </c>
      <c r="Z530" t="s">
        <v>68</v>
      </c>
      <c r="AB530">
        <v>4</v>
      </c>
      <c r="AC530" t="s">
        <v>61</v>
      </c>
      <c r="AJ530" t="s">
        <v>69</v>
      </c>
      <c r="AY530" t="s">
        <v>75</v>
      </c>
      <c r="AZ530">
        <v>3217</v>
      </c>
      <c r="BA530" t="s">
        <v>76</v>
      </c>
      <c r="BB530" t="s">
        <v>77</v>
      </c>
      <c r="BC530">
        <v>1990</v>
      </c>
      <c r="BD530" t="s">
        <v>664</v>
      </c>
    </row>
    <row r="531" spans="1:56" x14ac:dyDescent="0.35">
      <c r="A531">
        <v>86500</v>
      </c>
      <c r="B531" t="s">
        <v>657</v>
      </c>
      <c r="C531" t="s">
        <v>91</v>
      </c>
      <c r="D531" t="s">
        <v>85</v>
      </c>
      <c r="E531">
        <v>93</v>
      </c>
      <c r="F531" t="s">
        <v>58</v>
      </c>
      <c r="G531" t="s">
        <v>59</v>
      </c>
      <c r="H531" t="s">
        <v>60</v>
      </c>
      <c r="J531">
        <v>11</v>
      </c>
      <c r="K531" t="s">
        <v>196</v>
      </c>
      <c r="L531" t="s">
        <v>190</v>
      </c>
      <c r="M531" t="s">
        <v>63</v>
      </c>
      <c r="N531" t="s">
        <v>64</v>
      </c>
      <c r="P531" t="s">
        <v>65</v>
      </c>
      <c r="R531">
        <v>0.91</v>
      </c>
      <c r="W531" t="s">
        <v>66</v>
      </c>
      <c r="X531" t="s">
        <v>67</v>
      </c>
      <c r="Y531" t="s">
        <v>67</v>
      </c>
      <c r="Z531" t="s">
        <v>68</v>
      </c>
      <c r="AB531">
        <v>4</v>
      </c>
      <c r="AC531" t="s">
        <v>61</v>
      </c>
      <c r="AJ531" t="s">
        <v>69</v>
      </c>
      <c r="AY531" t="s">
        <v>661</v>
      </c>
      <c r="AZ531">
        <v>2145</v>
      </c>
      <c r="BA531" t="s">
        <v>662</v>
      </c>
      <c r="BB531" t="s">
        <v>663</v>
      </c>
      <c r="BC531">
        <v>1976</v>
      </c>
      <c r="BD531" t="s">
        <v>200</v>
      </c>
    </row>
    <row r="532" spans="1:56" x14ac:dyDescent="0.35">
      <c r="A532">
        <v>86500</v>
      </c>
      <c r="B532" t="s">
        <v>657</v>
      </c>
      <c r="C532" t="s">
        <v>218</v>
      </c>
      <c r="D532" t="s">
        <v>85</v>
      </c>
      <c r="E532">
        <v>20</v>
      </c>
      <c r="F532" t="s">
        <v>58</v>
      </c>
      <c r="G532" t="s">
        <v>59</v>
      </c>
      <c r="H532" t="s">
        <v>60</v>
      </c>
      <c r="J532" t="s">
        <v>86</v>
      </c>
      <c r="L532" t="s">
        <v>62</v>
      </c>
      <c r="M532" t="s">
        <v>63</v>
      </c>
      <c r="N532" t="s">
        <v>64</v>
      </c>
      <c r="P532" t="s">
        <v>65</v>
      </c>
      <c r="R532">
        <v>9.2999999999999999E-2</v>
      </c>
      <c r="W532" t="s">
        <v>66</v>
      </c>
      <c r="X532" t="s">
        <v>67</v>
      </c>
      <c r="Y532" t="s">
        <v>67</v>
      </c>
      <c r="Z532" t="s">
        <v>68</v>
      </c>
      <c r="AB532">
        <v>4</v>
      </c>
      <c r="AC532" t="s">
        <v>61</v>
      </c>
      <c r="AJ532" t="s">
        <v>69</v>
      </c>
      <c r="AY532" t="s">
        <v>87</v>
      </c>
      <c r="AZ532">
        <v>936</v>
      </c>
      <c r="BA532" t="s">
        <v>219</v>
      </c>
      <c r="BB532" t="s">
        <v>220</v>
      </c>
      <c r="BC532">
        <v>1960</v>
      </c>
      <c r="BD532" t="s">
        <v>90</v>
      </c>
    </row>
    <row r="533" spans="1:56" x14ac:dyDescent="0.35">
      <c r="A533">
        <v>86500</v>
      </c>
      <c r="B533" t="s">
        <v>657</v>
      </c>
      <c r="C533" t="s">
        <v>218</v>
      </c>
      <c r="D533" t="s">
        <v>85</v>
      </c>
      <c r="E533">
        <v>20</v>
      </c>
      <c r="F533" t="s">
        <v>58</v>
      </c>
      <c r="G533" t="s">
        <v>59</v>
      </c>
      <c r="H533" t="s">
        <v>60</v>
      </c>
      <c r="J533" t="s">
        <v>86</v>
      </c>
      <c r="L533" t="s">
        <v>62</v>
      </c>
      <c r="M533" t="s">
        <v>63</v>
      </c>
      <c r="N533" t="s">
        <v>64</v>
      </c>
      <c r="P533" t="s">
        <v>65</v>
      </c>
      <c r="R533">
        <v>0.16</v>
      </c>
      <c r="W533" t="s">
        <v>66</v>
      </c>
      <c r="X533" t="s">
        <v>67</v>
      </c>
      <c r="Y533" t="s">
        <v>67</v>
      </c>
      <c r="Z533" t="s">
        <v>68</v>
      </c>
      <c r="AB533">
        <v>4</v>
      </c>
      <c r="AC533" t="s">
        <v>61</v>
      </c>
      <c r="AJ533" t="s">
        <v>69</v>
      </c>
      <c r="AY533" t="s">
        <v>87</v>
      </c>
      <c r="AZ533">
        <v>936</v>
      </c>
      <c r="BA533" t="s">
        <v>219</v>
      </c>
      <c r="BB533" t="s">
        <v>220</v>
      </c>
      <c r="BC533">
        <v>1960</v>
      </c>
      <c r="BD533" t="s">
        <v>90</v>
      </c>
    </row>
    <row r="534" spans="1:56" x14ac:dyDescent="0.35">
      <c r="A534">
        <v>86500</v>
      </c>
      <c r="B534" t="s">
        <v>657</v>
      </c>
      <c r="C534" t="s">
        <v>91</v>
      </c>
      <c r="D534" t="s">
        <v>85</v>
      </c>
      <c r="E534">
        <v>93</v>
      </c>
      <c r="F534" t="s">
        <v>58</v>
      </c>
      <c r="G534" t="s">
        <v>59</v>
      </c>
      <c r="H534" t="s">
        <v>60</v>
      </c>
      <c r="J534">
        <v>11</v>
      </c>
      <c r="K534" t="s">
        <v>196</v>
      </c>
      <c r="L534" t="s">
        <v>190</v>
      </c>
      <c r="M534" t="s">
        <v>63</v>
      </c>
      <c r="N534" t="s">
        <v>64</v>
      </c>
      <c r="P534" t="s">
        <v>65</v>
      </c>
      <c r="R534">
        <v>2.5299999999999998</v>
      </c>
      <c r="W534" t="s">
        <v>66</v>
      </c>
      <c r="X534" t="s">
        <v>67</v>
      </c>
      <c r="Y534" t="s">
        <v>67</v>
      </c>
      <c r="Z534" t="s">
        <v>68</v>
      </c>
      <c r="AB534">
        <v>4</v>
      </c>
      <c r="AC534" t="s">
        <v>61</v>
      </c>
      <c r="AJ534" t="s">
        <v>69</v>
      </c>
      <c r="AY534" t="s">
        <v>661</v>
      </c>
      <c r="AZ534">
        <v>2145</v>
      </c>
      <c r="BA534" t="s">
        <v>662</v>
      </c>
      <c r="BB534" t="s">
        <v>663</v>
      </c>
      <c r="BC534">
        <v>1976</v>
      </c>
      <c r="BD534" t="s">
        <v>200</v>
      </c>
    </row>
    <row r="535" spans="1:56" x14ac:dyDescent="0.35">
      <c r="A535">
        <v>86500</v>
      </c>
      <c r="B535" t="s">
        <v>657</v>
      </c>
      <c r="E535">
        <v>93</v>
      </c>
      <c r="F535" t="s">
        <v>58</v>
      </c>
      <c r="G535" t="s">
        <v>59</v>
      </c>
      <c r="H535" t="s">
        <v>60</v>
      </c>
      <c r="J535" t="s">
        <v>86</v>
      </c>
      <c r="L535" t="s">
        <v>62</v>
      </c>
      <c r="M535" t="s">
        <v>63</v>
      </c>
      <c r="N535" t="s">
        <v>64</v>
      </c>
      <c r="P535" t="s">
        <v>65</v>
      </c>
      <c r="R535">
        <v>0.23499999999999999</v>
      </c>
      <c r="T535">
        <v>0.13500000000000001</v>
      </c>
      <c r="V535">
        <v>0.41</v>
      </c>
      <c r="W535" t="s">
        <v>66</v>
      </c>
      <c r="X535" t="s">
        <v>67</v>
      </c>
      <c r="Y535" t="s">
        <v>67</v>
      </c>
      <c r="Z535" t="s">
        <v>68</v>
      </c>
      <c r="AB535">
        <v>4</v>
      </c>
      <c r="AC535" t="s">
        <v>61</v>
      </c>
      <c r="AJ535" t="s">
        <v>69</v>
      </c>
      <c r="AY535" t="s">
        <v>116</v>
      </c>
      <c r="AZ535">
        <v>344</v>
      </c>
      <c r="BA535" t="s">
        <v>117</v>
      </c>
      <c r="BB535" t="s">
        <v>118</v>
      </c>
      <c r="BC535">
        <v>1992</v>
      </c>
      <c r="BD535" t="s">
        <v>90</v>
      </c>
    </row>
    <row r="536" spans="1:56" x14ac:dyDescent="0.35">
      <c r="A536">
        <v>86500</v>
      </c>
      <c r="B536" t="s">
        <v>657</v>
      </c>
      <c r="C536" t="s">
        <v>91</v>
      </c>
      <c r="D536" t="s">
        <v>85</v>
      </c>
      <c r="E536">
        <v>93</v>
      </c>
      <c r="F536" t="s">
        <v>58</v>
      </c>
      <c r="G536" t="s">
        <v>59</v>
      </c>
      <c r="H536" t="s">
        <v>60</v>
      </c>
      <c r="J536">
        <v>11</v>
      </c>
      <c r="K536" t="s">
        <v>196</v>
      </c>
      <c r="L536" t="s">
        <v>190</v>
      </c>
      <c r="M536" t="s">
        <v>63</v>
      </c>
      <c r="N536" t="s">
        <v>64</v>
      </c>
      <c r="P536" t="s">
        <v>65</v>
      </c>
      <c r="R536">
        <v>1.2</v>
      </c>
      <c r="W536" t="s">
        <v>66</v>
      </c>
      <c r="X536" t="s">
        <v>67</v>
      </c>
      <c r="Y536" t="s">
        <v>67</v>
      </c>
      <c r="Z536" t="s">
        <v>68</v>
      </c>
      <c r="AB536">
        <v>4</v>
      </c>
      <c r="AC536" t="s">
        <v>61</v>
      </c>
      <c r="AJ536" t="s">
        <v>69</v>
      </c>
      <c r="AY536" t="s">
        <v>661</v>
      </c>
      <c r="AZ536">
        <v>2145</v>
      </c>
      <c r="BA536" t="s">
        <v>662</v>
      </c>
      <c r="BB536" t="s">
        <v>663</v>
      </c>
      <c r="BC536">
        <v>1976</v>
      </c>
      <c r="BD536" t="s">
        <v>200</v>
      </c>
    </row>
    <row r="537" spans="1:56" x14ac:dyDescent="0.35">
      <c r="A537">
        <v>86500</v>
      </c>
      <c r="B537" t="s">
        <v>657</v>
      </c>
      <c r="D537" t="s">
        <v>85</v>
      </c>
      <c r="E537">
        <v>24</v>
      </c>
      <c r="F537" t="s">
        <v>58</v>
      </c>
      <c r="G537" t="s">
        <v>59</v>
      </c>
      <c r="H537" t="s">
        <v>60</v>
      </c>
      <c r="I537" t="s">
        <v>211</v>
      </c>
      <c r="J537" t="s">
        <v>86</v>
      </c>
      <c r="L537" t="s">
        <v>665</v>
      </c>
      <c r="M537" t="s">
        <v>63</v>
      </c>
      <c r="N537" t="s">
        <v>666</v>
      </c>
      <c r="O537">
        <v>6</v>
      </c>
      <c r="P537" t="s">
        <v>65</v>
      </c>
      <c r="R537">
        <v>3.1699999999999999E-2</v>
      </c>
      <c r="W537" t="s">
        <v>66</v>
      </c>
      <c r="X537" t="s">
        <v>67</v>
      </c>
      <c r="Y537" t="s">
        <v>67</v>
      </c>
      <c r="Z537" t="s">
        <v>68</v>
      </c>
      <c r="AB537">
        <v>4</v>
      </c>
      <c r="AC537" t="s">
        <v>61</v>
      </c>
      <c r="AJ537" t="s">
        <v>69</v>
      </c>
      <c r="AY537" t="s">
        <v>667</v>
      </c>
      <c r="AZ537">
        <v>86345</v>
      </c>
      <c r="BA537" t="s">
        <v>668</v>
      </c>
      <c r="BB537" t="s">
        <v>669</v>
      </c>
      <c r="BC537">
        <v>1999</v>
      </c>
      <c r="BD537" t="s">
        <v>90</v>
      </c>
    </row>
    <row r="538" spans="1:56" x14ac:dyDescent="0.35">
      <c r="A538">
        <v>86500</v>
      </c>
      <c r="B538" t="s">
        <v>657</v>
      </c>
      <c r="C538" t="s">
        <v>91</v>
      </c>
      <c r="D538" t="s">
        <v>85</v>
      </c>
      <c r="E538">
        <v>90</v>
      </c>
      <c r="F538" t="s">
        <v>58</v>
      </c>
      <c r="G538" t="s">
        <v>59</v>
      </c>
      <c r="H538" t="s">
        <v>60</v>
      </c>
      <c r="J538" t="s">
        <v>86</v>
      </c>
      <c r="L538" t="s">
        <v>62</v>
      </c>
      <c r="M538" t="s">
        <v>63</v>
      </c>
      <c r="N538" t="s">
        <v>64</v>
      </c>
      <c r="P538" t="s">
        <v>65</v>
      </c>
      <c r="R538">
        <v>9.2999999999999999E-2</v>
      </c>
      <c r="W538" t="s">
        <v>66</v>
      </c>
      <c r="X538" t="s">
        <v>67</v>
      </c>
      <c r="Y538" t="s">
        <v>67</v>
      </c>
      <c r="Z538" t="s">
        <v>68</v>
      </c>
      <c r="AB538">
        <v>4</v>
      </c>
      <c r="AC538" t="s">
        <v>61</v>
      </c>
      <c r="AJ538" t="s">
        <v>69</v>
      </c>
      <c r="AY538" t="s">
        <v>157</v>
      </c>
      <c r="AZ538">
        <v>2893</v>
      </c>
      <c r="BA538" t="s">
        <v>158</v>
      </c>
      <c r="BB538" t="s">
        <v>159</v>
      </c>
      <c r="BC538">
        <v>1962</v>
      </c>
      <c r="BD538" t="s">
        <v>90</v>
      </c>
    </row>
    <row r="539" spans="1:56" x14ac:dyDescent="0.35">
      <c r="A539">
        <v>86500</v>
      </c>
      <c r="B539" t="s">
        <v>657</v>
      </c>
      <c r="D539" t="s">
        <v>85</v>
      </c>
      <c r="E539">
        <v>18.3</v>
      </c>
      <c r="F539" t="s">
        <v>58</v>
      </c>
      <c r="G539" t="s">
        <v>59</v>
      </c>
      <c r="H539" t="s">
        <v>60</v>
      </c>
      <c r="J539" t="s">
        <v>86</v>
      </c>
      <c r="L539" t="s">
        <v>62</v>
      </c>
      <c r="M539" t="s">
        <v>63</v>
      </c>
      <c r="N539" t="s">
        <v>64</v>
      </c>
      <c r="P539" t="s">
        <v>100</v>
      </c>
      <c r="R539">
        <v>0.68</v>
      </c>
      <c r="W539" t="s">
        <v>66</v>
      </c>
      <c r="X539" t="s">
        <v>67</v>
      </c>
      <c r="Y539" t="s">
        <v>67</v>
      </c>
      <c r="Z539" t="s">
        <v>68</v>
      </c>
      <c r="AB539">
        <v>4</v>
      </c>
      <c r="AC539" t="s">
        <v>61</v>
      </c>
      <c r="AJ539" t="s">
        <v>69</v>
      </c>
      <c r="AY539" t="s">
        <v>87</v>
      </c>
      <c r="AZ539">
        <v>936</v>
      </c>
      <c r="BA539" t="s">
        <v>219</v>
      </c>
      <c r="BB539" t="s">
        <v>220</v>
      </c>
      <c r="BC539">
        <v>1960</v>
      </c>
      <c r="BD539" t="s">
        <v>90</v>
      </c>
    </row>
    <row r="540" spans="1:56" x14ac:dyDescent="0.35">
      <c r="A540">
        <v>86500</v>
      </c>
      <c r="B540" t="s">
        <v>657</v>
      </c>
      <c r="C540" t="s">
        <v>91</v>
      </c>
      <c r="D540" t="s">
        <v>85</v>
      </c>
      <c r="E540">
        <v>93</v>
      </c>
      <c r="F540" t="s">
        <v>58</v>
      </c>
      <c r="G540" t="s">
        <v>59</v>
      </c>
      <c r="H540" t="s">
        <v>60</v>
      </c>
      <c r="J540">
        <v>11</v>
      </c>
      <c r="K540" t="s">
        <v>196</v>
      </c>
      <c r="L540" t="s">
        <v>190</v>
      </c>
      <c r="M540" t="s">
        <v>63</v>
      </c>
      <c r="N540" t="s">
        <v>64</v>
      </c>
      <c r="P540" t="s">
        <v>65</v>
      </c>
      <c r="R540">
        <v>2.4700000000000002</v>
      </c>
      <c r="W540" t="s">
        <v>66</v>
      </c>
      <c r="X540" t="s">
        <v>67</v>
      </c>
      <c r="Y540" t="s">
        <v>67</v>
      </c>
      <c r="Z540" t="s">
        <v>68</v>
      </c>
      <c r="AB540">
        <v>4</v>
      </c>
      <c r="AC540" t="s">
        <v>61</v>
      </c>
      <c r="AJ540" t="s">
        <v>69</v>
      </c>
      <c r="AY540" t="s">
        <v>661</v>
      </c>
      <c r="AZ540">
        <v>2145</v>
      </c>
      <c r="BA540" t="s">
        <v>662</v>
      </c>
      <c r="BB540" t="s">
        <v>663</v>
      </c>
      <c r="BC540">
        <v>1976</v>
      </c>
      <c r="BD540" t="s">
        <v>200</v>
      </c>
    </row>
    <row r="541" spans="1:56" x14ac:dyDescent="0.35">
      <c r="A541">
        <v>86500</v>
      </c>
      <c r="B541" t="s">
        <v>657</v>
      </c>
      <c r="C541" t="s">
        <v>91</v>
      </c>
      <c r="D541" t="s">
        <v>85</v>
      </c>
      <c r="E541">
        <v>93</v>
      </c>
      <c r="F541" t="s">
        <v>58</v>
      </c>
      <c r="G541" t="s">
        <v>59</v>
      </c>
      <c r="H541" t="s">
        <v>60</v>
      </c>
      <c r="J541">
        <v>11</v>
      </c>
      <c r="K541" t="s">
        <v>196</v>
      </c>
      <c r="L541" t="s">
        <v>190</v>
      </c>
      <c r="M541" t="s">
        <v>63</v>
      </c>
      <c r="N541" t="s">
        <v>64</v>
      </c>
      <c r="P541" t="s">
        <v>65</v>
      </c>
      <c r="R541">
        <v>2.91</v>
      </c>
      <c r="W541" t="s">
        <v>66</v>
      </c>
      <c r="X541" t="s">
        <v>67</v>
      </c>
      <c r="Y541" t="s">
        <v>67</v>
      </c>
      <c r="Z541" t="s">
        <v>68</v>
      </c>
      <c r="AB541">
        <v>4</v>
      </c>
      <c r="AC541" t="s">
        <v>61</v>
      </c>
      <c r="AJ541" t="s">
        <v>69</v>
      </c>
      <c r="AY541" t="s">
        <v>661</v>
      </c>
      <c r="AZ541">
        <v>2145</v>
      </c>
      <c r="BA541" t="s">
        <v>662</v>
      </c>
      <c r="BB541" t="s">
        <v>663</v>
      </c>
      <c r="BC541">
        <v>1976</v>
      </c>
      <c r="BD541" t="s">
        <v>200</v>
      </c>
    </row>
    <row r="542" spans="1:56" x14ac:dyDescent="0.35">
      <c r="A542">
        <v>86500</v>
      </c>
      <c r="B542" t="s">
        <v>657</v>
      </c>
      <c r="D542" t="s">
        <v>57</v>
      </c>
      <c r="E542">
        <v>99.9</v>
      </c>
      <c r="F542" t="s">
        <v>58</v>
      </c>
      <c r="G542" t="s">
        <v>59</v>
      </c>
      <c r="H542" t="s">
        <v>60</v>
      </c>
      <c r="J542" t="s">
        <v>86</v>
      </c>
      <c r="L542" t="s">
        <v>74</v>
      </c>
      <c r="M542" t="s">
        <v>63</v>
      </c>
      <c r="N542" t="s">
        <v>64</v>
      </c>
      <c r="P542" t="s">
        <v>65</v>
      </c>
      <c r="R542">
        <v>1.6</v>
      </c>
      <c r="W542" t="s">
        <v>66</v>
      </c>
      <c r="X542" t="s">
        <v>67</v>
      </c>
      <c r="Y542" t="s">
        <v>67</v>
      </c>
      <c r="Z542" t="s">
        <v>68</v>
      </c>
      <c r="AB542">
        <v>4</v>
      </c>
      <c r="AC542" t="s">
        <v>61</v>
      </c>
      <c r="AJ542" t="s">
        <v>69</v>
      </c>
      <c r="AY542" t="s">
        <v>208</v>
      </c>
      <c r="AZ542">
        <v>605</v>
      </c>
      <c r="BA542" t="s">
        <v>209</v>
      </c>
      <c r="BB542" t="s">
        <v>210</v>
      </c>
      <c r="BC542">
        <v>1970</v>
      </c>
      <c r="BD542" t="s">
        <v>90</v>
      </c>
    </row>
    <row r="543" spans="1:56" x14ac:dyDescent="0.35">
      <c r="A543">
        <v>86500</v>
      </c>
      <c r="B543" t="s">
        <v>657</v>
      </c>
      <c r="C543" t="s">
        <v>91</v>
      </c>
      <c r="D543" t="s">
        <v>85</v>
      </c>
      <c r="E543">
        <v>93</v>
      </c>
      <c r="F543" t="s">
        <v>58</v>
      </c>
      <c r="G543" t="s">
        <v>59</v>
      </c>
      <c r="H543" t="s">
        <v>60</v>
      </c>
      <c r="J543">
        <v>11</v>
      </c>
      <c r="K543" t="s">
        <v>196</v>
      </c>
      <c r="L543" t="s">
        <v>190</v>
      </c>
      <c r="M543" t="s">
        <v>63</v>
      </c>
      <c r="N543" t="s">
        <v>64</v>
      </c>
      <c r="P543" t="s">
        <v>65</v>
      </c>
      <c r="R543">
        <v>2.17</v>
      </c>
      <c r="W543" t="s">
        <v>66</v>
      </c>
      <c r="X543" t="s">
        <v>67</v>
      </c>
      <c r="Y543" t="s">
        <v>67</v>
      </c>
      <c r="Z543" t="s">
        <v>68</v>
      </c>
      <c r="AB543">
        <v>4</v>
      </c>
      <c r="AC543" t="s">
        <v>61</v>
      </c>
      <c r="AJ543" t="s">
        <v>69</v>
      </c>
      <c r="AY543" t="s">
        <v>661</v>
      </c>
      <c r="AZ543">
        <v>2145</v>
      </c>
      <c r="BA543" t="s">
        <v>662</v>
      </c>
      <c r="BB543" t="s">
        <v>663</v>
      </c>
      <c r="BC543">
        <v>1976</v>
      </c>
      <c r="BD543" t="s">
        <v>200</v>
      </c>
    </row>
    <row r="544" spans="1:56" x14ac:dyDescent="0.35">
      <c r="A544">
        <v>86500</v>
      </c>
      <c r="B544" t="s">
        <v>657</v>
      </c>
      <c r="C544" t="s">
        <v>91</v>
      </c>
      <c r="D544" t="s">
        <v>85</v>
      </c>
      <c r="E544">
        <v>93</v>
      </c>
      <c r="F544" t="s">
        <v>58</v>
      </c>
      <c r="G544" t="s">
        <v>59</v>
      </c>
      <c r="H544" t="s">
        <v>60</v>
      </c>
      <c r="J544" t="s">
        <v>86</v>
      </c>
      <c r="L544" t="s">
        <v>190</v>
      </c>
      <c r="M544" t="s">
        <v>63</v>
      </c>
      <c r="N544" t="s">
        <v>64</v>
      </c>
      <c r="P544" t="s">
        <v>65</v>
      </c>
      <c r="R544">
        <v>1.98</v>
      </c>
      <c r="W544" t="s">
        <v>66</v>
      </c>
      <c r="X544" t="s">
        <v>67</v>
      </c>
      <c r="Y544" t="s">
        <v>67</v>
      </c>
      <c r="Z544" t="s">
        <v>68</v>
      </c>
      <c r="AB544">
        <v>4</v>
      </c>
      <c r="AC544" t="s">
        <v>61</v>
      </c>
      <c r="AJ544" t="s">
        <v>69</v>
      </c>
      <c r="AY544" t="s">
        <v>661</v>
      </c>
      <c r="AZ544">
        <v>2145</v>
      </c>
      <c r="BA544" t="s">
        <v>662</v>
      </c>
      <c r="BB544" t="s">
        <v>663</v>
      </c>
      <c r="BC544">
        <v>1976</v>
      </c>
      <c r="BD544" t="s">
        <v>90</v>
      </c>
    </row>
    <row r="545" spans="1:56" x14ac:dyDescent="0.35">
      <c r="A545">
        <v>86500</v>
      </c>
      <c r="B545" t="s">
        <v>657</v>
      </c>
      <c r="C545" t="s">
        <v>91</v>
      </c>
      <c r="D545" t="s">
        <v>85</v>
      </c>
      <c r="E545">
        <v>93</v>
      </c>
      <c r="F545" t="s">
        <v>58</v>
      </c>
      <c r="G545" t="s">
        <v>59</v>
      </c>
      <c r="H545" t="s">
        <v>60</v>
      </c>
      <c r="J545">
        <v>11</v>
      </c>
      <c r="K545" t="s">
        <v>196</v>
      </c>
      <c r="L545" t="s">
        <v>190</v>
      </c>
      <c r="M545" t="s">
        <v>63</v>
      </c>
      <c r="N545" t="s">
        <v>64</v>
      </c>
      <c r="P545" t="s">
        <v>65</v>
      </c>
      <c r="R545">
        <v>2.08</v>
      </c>
      <c r="W545" t="s">
        <v>66</v>
      </c>
      <c r="X545" t="s">
        <v>67</v>
      </c>
      <c r="Y545" t="s">
        <v>67</v>
      </c>
      <c r="Z545" t="s">
        <v>68</v>
      </c>
      <c r="AB545">
        <v>4</v>
      </c>
      <c r="AC545" t="s">
        <v>61</v>
      </c>
      <c r="AJ545" t="s">
        <v>69</v>
      </c>
      <c r="AY545" t="s">
        <v>661</v>
      </c>
      <c r="AZ545">
        <v>2145</v>
      </c>
      <c r="BA545" t="s">
        <v>662</v>
      </c>
      <c r="BB545" t="s">
        <v>663</v>
      </c>
      <c r="BC545">
        <v>1976</v>
      </c>
      <c r="BD545" t="s">
        <v>200</v>
      </c>
    </row>
    <row r="546" spans="1:56" x14ac:dyDescent="0.35">
      <c r="A546">
        <v>86500</v>
      </c>
      <c r="B546" t="s">
        <v>657</v>
      </c>
      <c r="D546" t="s">
        <v>85</v>
      </c>
      <c r="E546">
        <v>18.3</v>
      </c>
      <c r="F546" t="s">
        <v>58</v>
      </c>
      <c r="G546" t="s">
        <v>59</v>
      </c>
      <c r="H546" t="s">
        <v>60</v>
      </c>
      <c r="J546" t="s">
        <v>86</v>
      </c>
      <c r="L546" t="s">
        <v>62</v>
      </c>
      <c r="M546" t="s">
        <v>63</v>
      </c>
      <c r="N546" t="s">
        <v>64</v>
      </c>
      <c r="P546" t="s">
        <v>100</v>
      </c>
      <c r="R546">
        <v>0.92</v>
      </c>
      <c r="W546" t="s">
        <v>66</v>
      </c>
      <c r="X546" t="s">
        <v>67</v>
      </c>
      <c r="Y546" t="s">
        <v>67</v>
      </c>
      <c r="Z546" t="s">
        <v>68</v>
      </c>
      <c r="AB546">
        <v>4</v>
      </c>
      <c r="AC546" t="s">
        <v>61</v>
      </c>
      <c r="AJ546" t="s">
        <v>69</v>
      </c>
      <c r="AY546" t="s">
        <v>87</v>
      </c>
      <c r="AZ546">
        <v>936</v>
      </c>
      <c r="BA546" t="s">
        <v>219</v>
      </c>
      <c r="BB546" t="s">
        <v>220</v>
      </c>
      <c r="BC546">
        <v>1960</v>
      </c>
      <c r="BD546" t="s">
        <v>90</v>
      </c>
    </row>
    <row r="547" spans="1:56" x14ac:dyDescent="0.35">
      <c r="A547">
        <v>86500</v>
      </c>
      <c r="B547" t="s">
        <v>657</v>
      </c>
      <c r="C547" t="s">
        <v>91</v>
      </c>
      <c r="D547" t="s">
        <v>85</v>
      </c>
      <c r="E547">
        <v>93</v>
      </c>
      <c r="F547" t="s">
        <v>58</v>
      </c>
      <c r="G547" t="s">
        <v>59</v>
      </c>
      <c r="H547" t="s">
        <v>60</v>
      </c>
      <c r="J547">
        <v>11</v>
      </c>
      <c r="K547" t="s">
        <v>196</v>
      </c>
      <c r="L547" t="s">
        <v>190</v>
      </c>
      <c r="M547" t="s">
        <v>63</v>
      </c>
      <c r="N547" t="s">
        <v>64</v>
      </c>
      <c r="P547" t="s">
        <v>65</v>
      </c>
      <c r="R547">
        <v>1.06</v>
      </c>
      <c r="W547" t="s">
        <v>66</v>
      </c>
      <c r="X547" t="s">
        <v>67</v>
      </c>
      <c r="Y547" t="s">
        <v>67</v>
      </c>
      <c r="Z547" t="s">
        <v>68</v>
      </c>
      <c r="AB547">
        <v>4</v>
      </c>
      <c r="AC547" t="s">
        <v>61</v>
      </c>
      <c r="AJ547" t="s">
        <v>69</v>
      </c>
      <c r="AY547" t="s">
        <v>661</v>
      </c>
      <c r="AZ547">
        <v>2145</v>
      </c>
      <c r="BA547" t="s">
        <v>662</v>
      </c>
      <c r="BB547" t="s">
        <v>663</v>
      </c>
      <c r="BC547">
        <v>1976</v>
      </c>
      <c r="BD547" t="s">
        <v>200</v>
      </c>
    </row>
    <row r="548" spans="1:56" x14ac:dyDescent="0.35">
      <c r="A548">
        <v>86500</v>
      </c>
      <c r="B548" t="s">
        <v>657</v>
      </c>
      <c r="E548">
        <v>93</v>
      </c>
      <c r="F548" t="s">
        <v>58</v>
      </c>
      <c r="G548" t="s">
        <v>59</v>
      </c>
      <c r="H548" t="s">
        <v>60</v>
      </c>
      <c r="J548" t="s">
        <v>86</v>
      </c>
      <c r="L548" t="s">
        <v>62</v>
      </c>
      <c r="M548" t="s">
        <v>63</v>
      </c>
      <c r="N548" t="s">
        <v>64</v>
      </c>
      <c r="P548" t="s">
        <v>65</v>
      </c>
      <c r="R548">
        <v>0.23499999999999999</v>
      </c>
      <c r="T548">
        <v>0.13500000000000001</v>
      </c>
      <c r="V548">
        <v>0.41</v>
      </c>
      <c r="W548" t="s">
        <v>66</v>
      </c>
      <c r="X548" t="s">
        <v>67</v>
      </c>
      <c r="Y548" t="s">
        <v>67</v>
      </c>
      <c r="Z548" t="s">
        <v>68</v>
      </c>
      <c r="AB548">
        <v>4</v>
      </c>
      <c r="AC548" t="s">
        <v>61</v>
      </c>
      <c r="AJ548" t="s">
        <v>69</v>
      </c>
      <c r="AY548" t="s">
        <v>96</v>
      </c>
      <c r="AZ548">
        <v>6797</v>
      </c>
      <c r="BA548" t="s">
        <v>97</v>
      </c>
      <c r="BB548" t="s">
        <v>98</v>
      </c>
      <c r="BC548">
        <v>1986</v>
      </c>
      <c r="BD548" t="s">
        <v>90</v>
      </c>
    </row>
    <row r="549" spans="1:56" x14ac:dyDescent="0.35">
      <c r="A549">
        <v>86500</v>
      </c>
      <c r="B549" t="s">
        <v>657</v>
      </c>
      <c r="D549" t="s">
        <v>85</v>
      </c>
      <c r="E549">
        <v>24</v>
      </c>
      <c r="F549" t="s">
        <v>58</v>
      </c>
      <c r="G549" t="s">
        <v>59</v>
      </c>
      <c r="H549" t="s">
        <v>60</v>
      </c>
      <c r="I549" t="s">
        <v>211</v>
      </c>
      <c r="J549" t="s">
        <v>86</v>
      </c>
      <c r="L549" t="s">
        <v>665</v>
      </c>
      <c r="M549" t="s">
        <v>63</v>
      </c>
      <c r="N549" t="s">
        <v>666</v>
      </c>
      <c r="O549">
        <v>6</v>
      </c>
      <c r="P549" t="s">
        <v>65</v>
      </c>
      <c r="R549">
        <v>3.8469999999999997E-2</v>
      </c>
      <c r="T549">
        <v>1.098E-2</v>
      </c>
      <c r="V549">
        <v>0.51373999999999997</v>
      </c>
      <c r="W549" t="s">
        <v>66</v>
      </c>
      <c r="X549" t="s">
        <v>67</v>
      </c>
      <c r="Y549" t="s">
        <v>67</v>
      </c>
      <c r="Z549" t="s">
        <v>68</v>
      </c>
      <c r="AB549">
        <v>4</v>
      </c>
      <c r="AC549" t="s">
        <v>61</v>
      </c>
      <c r="AJ549" t="s">
        <v>69</v>
      </c>
      <c r="AY549" t="s">
        <v>667</v>
      </c>
      <c r="AZ549">
        <v>86345</v>
      </c>
      <c r="BA549" t="s">
        <v>668</v>
      </c>
      <c r="BB549" t="s">
        <v>669</v>
      </c>
      <c r="BC549">
        <v>1999</v>
      </c>
      <c r="BD549" t="s">
        <v>90</v>
      </c>
    </row>
    <row r="550" spans="1:56" x14ac:dyDescent="0.35">
      <c r="A550">
        <v>86500</v>
      </c>
      <c r="B550" t="s">
        <v>657</v>
      </c>
      <c r="C550" t="s">
        <v>91</v>
      </c>
      <c r="D550" t="s">
        <v>85</v>
      </c>
      <c r="E550">
        <v>93</v>
      </c>
      <c r="F550" t="s">
        <v>58</v>
      </c>
      <c r="G550" t="s">
        <v>59</v>
      </c>
      <c r="H550" t="s">
        <v>60</v>
      </c>
      <c r="J550">
        <v>11</v>
      </c>
      <c r="K550" t="s">
        <v>196</v>
      </c>
      <c r="L550" t="s">
        <v>190</v>
      </c>
      <c r="M550" t="s">
        <v>63</v>
      </c>
      <c r="N550" t="s">
        <v>64</v>
      </c>
      <c r="P550" t="s">
        <v>65</v>
      </c>
      <c r="R550">
        <v>1.95</v>
      </c>
      <c r="W550" t="s">
        <v>66</v>
      </c>
      <c r="X550" t="s">
        <v>67</v>
      </c>
      <c r="Y550" t="s">
        <v>67</v>
      </c>
      <c r="Z550" t="s">
        <v>68</v>
      </c>
      <c r="AB550">
        <v>4</v>
      </c>
      <c r="AC550" t="s">
        <v>61</v>
      </c>
      <c r="AJ550" t="s">
        <v>69</v>
      </c>
      <c r="AY550" t="s">
        <v>661</v>
      </c>
      <c r="AZ550">
        <v>2145</v>
      </c>
      <c r="BA550" t="s">
        <v>662</v>
      </c>
      <c r="BB550" t="s">
        <v>663</v>
      </c>
      <c r="BC550">
        <v>1976</v>
      </c>
      <c r="BD550" t="s">
        <v>200</v>
      </c>
    </row>
    <row r="551" spans="1:56" x14ac:dyDescent="0.35">
      <c r="A551">
        <v>86500</v>
      </c>
      <c r="B551" t="s">
        <v>657</v>
      </c>
      <c r="C551" t="s">
        <v>91</v>
      </c>
      <c r="E551">
        <v>93</v>
      </c>
      <c r="F551" t="s">
        <v>58</v>
      </c>
      <c r="G551" t="s">
        <v>59</v>
      </c>
      <c r="H551" t="s">
        <v>60</v>
      </c>
      <c r="J551">
        <v>11</v>
      </c>
      <c r="K551" t="s">
        <v>196</v>
      </c>
      <c r="L551" t="s">
        <v>190</v>
      </c>
      <c r="M551" t="s">
        <v>63</v>
      </c>
      <c r="N551" t="s">
        <v>64</v>
      </c>
      <c r="P551" t="s">
        <v>65</v>
      </c>
      <c r="R551">
        <v>1.9</v>
      </c>
      <c r="W551" t="s">
        <v>66</v>
      </c>
      <c r="X551" t="s">
        <v>67</v>
      </c>
      <c r="Y551" t="s">
        <v>67</v>
      </c>
      <c r="Z551" t="s">
        <v>68</v>
      </c>
      <c r="AB551">
        <v>4</v>
      </c>
      <c r="AC551" t="s">
        <v>61</v>
      </c>
      <c r="AJ551" t="s">
        <v>69</v>
      </c>
      <c r="AY551" t="s">
        <v>670</v>
      </c>
      <c r="AZ551">
        <v>5230</v>
      </c>
      <c r="BA551" t="s">
        <v>671</v>
      </c>
      <c r="BB551" t="s">
        <v>672</v>
      </c>
      <c r="BC551">
        <v>1976</v>
      </c>
      <c r="BD551" t="s">
        <v>200</v>
      </c>
    </row>
    <row r="552" spans="1:56" x14ac:dyDescent="0.35">
      <c r="A552">
        <v>86500</v>
      </c>
      <c r="B552" t="s">
        <v>657</v>
      </c>
      <c r="E552">
        <v>93</v>
      </c>
      <c r="F552" t="s">
        <v>58</v>
      </c>
      <c r="G552" t="s">
        <v>59</v>
      </c>
      <c r="H552" t="s">
        <v>60</v>
      </c>
      <c r="J552" t="s">
        <v>86</v>
      </c>
      <c r="L552" t="s">
        <v>62</v>
      </c>
      <c r="M552" t="s">
        <v>63</v>
      </c>
      <c r="N552" t="s">
        <v>64</v>
      </c>
      <c r="P552" t="s">
        <v>65</v>
      </c>
      <c r="R552">
        <v>0.14799999999999999</v>
      </c>
      <c r="T552">
        <v>0.104</v>
      </c>
      <c r="V552">
        <v>0.20399999999999999</v>
      </c>
      <c r="W552" t="s">
        <v>66</v>
      </c>
      <c r="X552" t="s">
        <v>67</v>
      </c>
      <c r="Y552" t="s">
        <v>67</v>
      </c>
      <c r="Z552" t="s">
        <v>68</v>
      </c>
      <c r="AB552">
        <v>4</v>
      </c>
      <c r="AC552" t="s">
        <v>61</v>
      </c>
      <c r="AJ552" t="s">
        <v>69</v>
      </c>
      <c r="AY552" t="s">
        <v>96</v>
      </c>
      <c r="AZ552">
        <v>6797</v>
      </c>
      <c r="BA552" t="s">
        <v>97</v>
      </c>
      <c r="BB552" t="s">
        <v>98</v>
      </c>
      <c r="BC552">
        <v>1986</v>
      </c>
      <c r="BD552" t="s">
        <v>90</v>
      </c>
    </row>
    <row r="553" spans="1:56" x14ac:dyDescent="0.35">
      <c r="A553">
        <v>86500</v>
      </c>
      <c r="B553" t="s">
        <v>657</v>
      </c>
      <c r="D553" t="s">
        <v>85</v>
      </c>
      <c r="E553" t="s">
        <v>86</v>
      </c>
      <c r="F553" t="s">
        <v>58</v>
      </c>
      <c r="G553" t="s">
        <v>59</v>
      </c>
      <c r="H553" t="s">
        <v>60</v>
      </c>
      <c r="J553">
        <v>1</v>
      </c>
      <c r="K553" t="s">
        <v>61</v>
      </c>
      <c r="L553" t="s">
        <v>62</v>
      </c>
      <c r="M553" t="s">
        <v>63</v>
      </c>
      <c r="N553" t="s">
        <v>64</v>
      </c>
      <c r="P553" t="s">
        <v>100</v>
      </c>
      <c r="R553">
        <v>0.28299999999999997</v>
      </c>
      <c r="W553" t="s">
        <v>66</v>
      </c>
      <c r="X553" t="s">
        <v>67</v>
      </c>
      <c r="Y553" t="s">
        <v>67</v>
      </c>
      <c r="Z553" t="s">
        <v>68</v>
      </c>
      <c r="AB553">
        <v>4</v>
      </c>
      <c r="AC553" t="s">
        <v>61</v>
      </c>
      <c r="AJ553" t="s">
        <v>69</v>
      </c>
      <c r="AY553" t="s">
        <v>658</v>
      </c>
      <c r="AZ553">
        <v>14914</v>
      </c>
      <c r="BA553" t="s">
        <v>659</v>
      </c>
      <c r="BB553" t="s">
        <v>660</v>
      </c>
      <c r="BC553">
        <v>1995</v>
      </c>
      <c r="BD553" t="s">
        <v>73</v>
      </c>
    </row>
    <row r="554" spans="1:56" x14ac:dyDescent="0.35">
      <c r="A554">
        <v>86500</v>
      </c>
      <c r="B554" t="s">
        <v>657</v>
      </c>
      <c r="D554" t="s">
        <v>57</v>
      </c>
      <c r="E554" t="s">
        <v>86</v>
      </c>
      <c r="F554" t="s">
        <v>58</v>
      </c>
      <c r="G554" t="s">
        <v>59</v>
      </c>
      <c r="H554" t="s">
        <v>60</v>
      </c>
      <c r="J554" t="s">
        <v>86</v>
      </c>
      <c r="L554" t="s">
        <v>74</v>
      </c>
      <c r="M554" t="s">
        <v>63</v>
      </c>
      <c r="N554" t="s">
        <v>64</v>
      </c>
      <c r="P554" t="s">
        <v>65</v>
      </c>
      <c r="R554">
        <v>6.5000000000000002E-2</v>
      </c>
      <c r="T554">
        <v>0.05</v>
      </c>
      <c r="V554">
        <v>8.3000000000000004E-2</v>
      </c>
      <c r="W554" t="s">
        <v>66</v>
      </c>
      <c r="X554" t="s">
        <v>67</v>
      </c>
      <c r="Y554" t="s">
        <v>67</v>
      </c>
      <c r="Z554" t="s">
        <v>68</v>
      </c>
      <c r="AB554">
        <v>4</v>
      </c>
      <c r="AC554" t="s">
        <v>61</v>
      </c>
      <c r="AJ554" t="s">
        <v>69</v>
      </c>
      <c r="AY554" t="s">
        <v>144</v>
      </c>
      <c r="AZ554">
        <v>12665</v>
      </c>
      <c r="BA554" t="s">
        <v>145</v>
      </c>
      <c r="BB554" t="s">
        <v>146</v>
      </c>
      <c r="BC554">
        <v>1987</v>
      </c>
      <c r="BD554" t="s">
        <v>90</v>
      </c>
    </row>
    <row r="555" spans="1:56" x14ac:dyDescent="0.35">
      <c r="A555">
        <v>86500</v>
      </c>
      <c r="B555" t="s">
        <v>657</v>
      </c>
      <c r="C555" t="s">
        <v>91</v>
      </c>
      <c r="D555" t="s">
        <v>85</v>
      </c>
      <c r="E555">
        <v>93</v>
      </c>
      <c r="F555" t="s">
        <v>58</v>
      </c>
      <c r="G555" t="s">
        <v>59</v>
      </c>
      <c r="H555" t="s">
        <v>60</v>
      </c>
      <c r="J555">
        <v>11</v>
      </c>
      <c r="K555" t="s">
        <v>196</v>
      </c>
      <c r="L555" t="s">
        <v>190</v>
      </c>
      <c r="M555" t="s">
        <v>63</v>
      </c>
      <c r="N555" t="s">
        <v>64</v>
      </c>
      <c r="P555" t="s">
        <v>65</v>
      </c>
      <c r="R555">
        <v>1.46</v>
      </c>
      <c r="W555" t="s">
        <v>66</v>
      </c>
      <c r="X555" t="s">
        <v>67</v>
      </c>
      <c r="Y555" t="s">
        <v>67</v>
      </c>
      <c r="Z555" t="s">
        <v>68</v>
      </c>
      <c r="AB555">
        <v>4</v>
      </c>
      <c r="AC555" t="s">
        <v>61</v>
      </c>
      <c r="AJ555" t="s">
        <v>69</v>
      </c>
      <c r="AY555" t="s">
        <v>661</v>
      </c>
      <c r="AZ555">
        <v>2145</v>
      </c>
      <c r="BA555" t="s">
        <v>662</v>
      </c>
      <c r="BB555" t="s">
        <v>663</v>
      </c>
      <c r="BC555">
        <v>1976</v>
      </c>
      <c r="BD555" t="s">
        <v>200</v>
      </c>
    </row>
    <row r="556" spans="1:56" x14ac:dyDescent="0.35">
      <c r="A556">
        <v>86500</v>
      </c>
      <c r="B556" t="s">
        <v>657</v>
      </c>
      <c r="C556" t="s">
        <v>91</v>
      </c>
      <c r="D556" t="s">
        <v>57</v>
      </c>
      <c r="E556">
        <v>93</v>
      </c>
      <c r="F556" t="s">
        <v>58</v>
      </c>
      <c r="G556" t="s">
        <v>59</v>
      </c>
      <c r="H556" t="s">
        <v>60</v>
      </c>
      <c r="J556">
        <v>11</v>
      </c>
      <c r="K556" t="s">
        <v>196</v>
      </c>
      <c r="L556" t="s">
        <v>74</v>
      </c>
      <c r="M556" t="s">
        <v>63</v>
      </c>
      <c r="N556" t="s">
        <v>64</v>
      </c>
      <c r="P556" t="s">
        <v>65</v>
      </c>
      <c r="R556">
        <v>1.9</v>
      </c>
      <c r="W556" t="s">
        <v>66</v>
      </c>
      <c r="X556" t="s">
        <v>67</v>
      </c>
      <c r="Y556" t="s">
        <v>67</v>
      </c>
      <c r="Z556" t="s">
        <v>68</v>
      </c>
      <c r="AB556">
        <v>4</v>
      </c>
      <c r="AC556" t="s">
        <v>61</v>
      </c>
      <c r="AJ556" t="s">
        <v>69</v>
      </c>
      <c r="AY556" t="s">
        <v>661</v>
      </c>
      <c r="AZ556">
        <v>5300</v>
      </c>
      <c r="BA556" t="s">
        <v>673</v>
      </c>
      <c r="BB556" t="s">
        <v>674</v>
      </c>
      <c r="BC556">
        <v>1976</v>
      </c>
      <c r="BD556" t="s">
        <v>200</v>
      </c>
    </row>
    <row r="557" spans="1:56" x14ac:dyDescent="0.35">
      <c r="A557">
        <v>86500</v>
      </c>
      <c r="B557" t="s">
        <v>657</v>
      </c>
      <c r="E557">
        <v>93</v>
      </c>
      <c r="F557" t="s">
        <v>58</v>
      </c>
      <c r="G557" t="s">
        <v>59</v>
      </c>
      <c r="H557" t="s">
        <v>60</v>
      </c>
      <c r="J557" t="s">
        <v>86</v>
      </c>
      <c r="L557" t="s">
        <v>62</v>
      </c>
      <c r="M557" t="s">
        <v>63</v>
      </c>
      <c r="N557" t="s">
        <v>64</v>
      </c>
      <c r="P557" t="s">
        <v>65</v>
      </c>
      <c r="R557">
        <v>0.29299999999999998</v>
      </c>
      <c r="T557">
        <v>0.11</v>
      </c>
      <c r="V557">
        <v>0.78</v>
      </c>
      <c r="W557" t="s">
        <v>66</v>
      </c>
      <c r="X557" t="s">
        <v>67</v>
      </c>
      <c r="Y557" t="s">
        <v>67</v>
      </c>
      <c r="Z557" t="s">
        <v>68</v>
      </c>
      <c r="AB557">
        <v>4</v>
      </c>
      <c r="AC557" t="s">
        <v>61</v>
      </c>
      <c r="AJ557" t="s">
        <v>69</v>
      </c>
      <c r="AY557" t="s">
        <v>96</v>
      </c>
      <c r="AZ557">
        <v>6797</v>
      </c>
      <c r="BA557" t="s">
        <v>97</v>
      </c>
      <c r="BB557" t="s">
        <v>98</v>
      </c>
      <c r="BC557">
        <v>1986</v>
      </c>
      <c r="BD557" t="s">
        <v>90</v>
      </c>
    </row>
    <row r="558" spans="1:56" x14ac:dyDescent="0.35">
      <c r="A558">
        <v>86500</v>
      </c>
      <c r="B558" t="s">
        <v>657</v>
      </c>
      <c r="D558" t="s">
        <v>85</v>
      </c>
      <c r="E558" t="s">
        <v>86</v>
      </c>
      <c r="F558" t="s">
        <v>58</v>
      </c>
      <c r="G558" t="s">
        <v>59</v>
      </c>
      <c r="H558" t="s">
        <v>60</v>
      </c>
      <c r="J558">
        <v>30</v>
      </c>
      <c r="K558" t="s">
        <v>61</v>
      </c>
      <c r="L558" t="s">
        <v>62</v>
      </c>
      <c r="M558" t="s">
        <v>63</v>
      </c>
      <c r="N558" t="s">
        <v>64</v>
      </c>
      <c r="P558" t="s">
        <v>100</v>
      </c>
      <c r="R558">
        <v>3.6999999999999998E-2</v>
      </c>
      <c r="T558">
        <v>2.8000000000000001E-2</v>
      </c>
      <c r="V558">
        <v>0.05</v>
      </c>
      <c r="W558" t="s">
        <v>66</v>
      </c>
      <c r="X558" t="s">
        <v>67</v>
      </c>
      <c r="Y558" t="s">
        <v>67</v>
      </c>
      <c r="Z558" t="s">
        <v>68</v>
      </c>
      <c r="AB558">
        <v>4</v>
      </c>
      <c r="AC558" t="s">
        <v>61</v>
      </c>
      <c r="AJ558" t="s">
        <v>69</v>
      </c>
      <c r="AY558" t="s">
        <v>658</v>
      </c>
      <c r="AZ558">
        <v>14914</v>
      </c>
      <c r="BA558" t="s">
        <v>659</v>
      </c>
      <c r="BB558" t="s">
        <v>660</v>
      </c>
      <c r="BC558">
        <v>1995</v>
      </c>
      <c r="BD558" t="s">
        <v>73</v>
      </c>
    </row>
    <row r="559" spans="1:56" x14ac:dyDescent="0.35">
      <c r="A559">
        <v>86500</v>
      </c>
      <c r="B559" t="s">
        <v>657</v>
      </c>
      <c r="C559" t="s">
        <v>91</v>
      </c>
      <c r="D559" t="s">
        <v>85</v>
      </c>
      <c r="E559">
        <v>93</v>
      </c>
      <c r="F559" t="s">
        <v>58</v>
      </c>
      <c r="G559" t="s">
        <v>59</v>
      </c>
      <c r="H559" t="s">
        <v>60</v>
      </c>
      <c r="J559" t="s">
        <v>86</v>
      </c>
      <c r="L559" t="s">
        <v>190</v>
      </c>
      <c r="M559" t="s">
        <v>63</v>
      </c>
      <c r="N559" t="s">
        <v>64</v>
      </c>
      <c r="P559" t="s">
        <v>65</v>
      </c>
      <c r="R559">
        <v>3.26</v>
      </c>
      <c r="W559" t="s">
        <v>66</v>
      </c>
      <c r="X559" t="s">
        <v>67</v>
      </c>
      <c r="Y559" t="s">
        <v>67</v>
      </c>
      <c r="Z559" t="s">
        <v>68</v>
      </c>
      <c r="AB559">
        <v>4</v>
      </c>
      <c r="AC559" t="s">
        <v>61</v>
      </c>
      <c r="AJ559" t="s">
        <v>69</v>
      </c>
      <c r="AY559" t="s">
        <v>661</v>
      </c>
      <c r="AZ559">
        <v>2145</v>
      </c>
      <c r="BA559" t="s">
        <v>662</v>
      </c>
      <c r="BB559" t="s">
        <v>663</v>
      </c>
      <c r="BC559">
        <v>1976</v>
      </c>
      <c r="BD559" t="s">
        <v>90</v>
      </c>
    </row>
    <row r="560" spans="1:56" x14ac:dyDescent="0.35">
      <c r="A560">
        <v>86500</v>
      </c>
      <c r="B560" t="s">
        <v>657</v>
      </c>
      <c r="C560" t="s">
        <v>91</v>
      </c>
      <c r="D560" t="s">
        <v>85</v>
      </c>
      <c r="E560">
        <v>93</v>
      </c>
      <c r="F560" t="s">
        <v>58</v>
      </c>
      <c r="G560" t="s">
        <v>59</v>
      </c>
      <c r="H560" t="s">
        <v>60</v>
      </c>
      <c r="J560">
        <v>11</v>
      </c>
      <c r="K560" t="s">
        <v>196</v>
      </c>
      <c r="L560" t="s">
        <v>190</v>
      </c>
      <c r="M560" t="s">
        <v>63</v>
      </c>
      <c r="N560" t="s">
        <v>64</v>
      </c>
      <c r="P560" t="s">
        <v>65</v>
      </c>
      <c r="R560">
        <v>1.46</v>
      </c>
      <c r="W560" t="s">
        <v>66</v>
      </c>
      <c r="X560" t="s">
        <v>67</v>
      </c>
      <c r="Y560" t="s">
        <v>67</v>
      </c>
      <c r="Z560" t="s">
        <v>68</v>
      </c>
      <c r="AB560">
        <v>4</v>
      </c>
      <c r="AC560" t="s">
        <v>61</v>
      </c>
      <c r="AJ560" t="s">
        <v>69</v>
      </c>
      <c r="AY560" t="s">
        <v>661</v>
      </c>
      <c r="AZ560">
        <v>2145</v>
      </c>
      <c r="BA560" t="s">
        <v>662</v>
      </c>
      <c r="BB560" t="s">
        <v>663</v>
      </c>
      <c r="BC560">
        <v>1976</v>
      </c>
      <c r="BD560" t="s">
        <v>200</v>
      </c>
    </row>
    <row r="561" spans="1:56" x14ac:dyDescent="0.35">
      <c r="A561">
        <v>86500</v>
      </c>
      <c r="B561" t="s">
        <v>657</v>
      </c>
      <c r="C561" t="s">
        <v>91</v>
      </c>
      <c r="D561" t="s">
        <v>85</v>
      </c>
      <c r="E561">
        <v>93</v>
      </c>
      <c r="F561" t="s">
        <v>58</v>
      </c>
      <c r="G561" t="s">
        <v>59</v>
      </c>
      <c r="H561" t="s">
        <v>60</v>
      </c>
      <c r="J561">
        <v>11</v>
      </c>
      <c r="K561" t="s">
        <v>196</v>
      </c>
      <c r="L561" t="s">
        <v>190</v>
      </c>
      <c r="M561" t="s">
        <v>63</v>
      </c>
      <c r="N561" t="s">
        <v>64</v>
      </c>
      <c r="P561" t="s">
        <v>65</v>
      </c>
      <c r="R561">
        <v>2.17</v>
      </c>
      <c r="W561" t="s">
        <v>66</v>
      </c>
      <c r="X561" t="s">
        <v>67</v>
      </c>
      <c r="Y561" t="s">
        <v>67</v>
      </c>
      <c r="Z561" t="s">
        <v>68</v>
      </c>
      <c r="AB561">
        <v>4</v>
      </c>
      <c r="AC561" t="s">
        <v>61</v>
      </c>
      <c r="AJ561" t="s">
        <v>69</v>
      </c>
      <c r="AY561" t="s">
        <v>661</v>
      </c>
      <c r="AZ561">
        <v>2145</v>
      </c>
      <c r="BA561" t="s">
        <v>662</v>
      </c>
      <c r="BB561" t="s">
        <v>663</v>
      </c>
      <c r="BC561">
        <v>1976</v>
      </c>
      <c r="BD561" t="s">
        <v>200</v>
      </c>
    </row>
    <row r="562" spans="1:56" x14ac:dyDescent="0.35">
      <c r="A562">
        <v>86500</v>
      </c>
      <c r="B562" t="s">
        <v>657</v>
      </c>
      <c r="C562" t="s">
        <v>91</v>
      </c>
      <c r="D562" t="s">
        <v>85</v>
      </c>
      <c r="E562">
        <v>93</v>
      </c>
      <c r="F562" t="s">
        <v>58</v>
      </c>
      <c r="G562" t="s">
        <v>59</v>
      </c>
      <c r="H562" t="s">
        <v>60</v>
      </c>
      <c r="J562">
        <v>11</v>
      </c>
      <c r="K562" t="s">
        <v>196</v>
      </c>
      <c r="L562" t="s">
        <v>190</v>
      </c>
      <c r="M562" t="s">
        <v>63</v>
      </c>
      <c r="N562" t="s">
        <v>64</v>
      </c>
      <c r="P562" t="s">
        <v>65</v>
      </c>
      <c r="R562">
        <v>2.3199999999999998</v>
      </c>
      <c r="W562" t="s">
        <v>66</v>
      </c>
      <c r="X562" t="s">
        <v>67</v>
      </c>
      <c r="Y562" t="s">
        <v>67</v>
      </c>
      <c r="Z562" t="s">
        <v>68</v>
      </c>
      <c r="AB562">
        <v>4</v>
      </c>
      <c r="AC562" t="s">
        <v>61</v>
      </c>
      <c r="AJ562" t="s">
        <v>69</v>
      </c>
      <c r="AY562" t="s">
        <v>661</v>
      </c>
      <c r="AZ562">
        <v>2145</v>
      </c>
      <c r="BA562" t="s">
        <v>662</v>
      </c>
      <c r="BB562" t="s">
        <v>663</v>
      </c>
      <c r="BC562">
        <v>1976</v>
      </c>
      <c r="BD562" t="s">
        <v>200</v>
      </c>
    </row>
    <row r="563" spans="1:56" x14ac:dyDescent="0.35">
      <c r="A563">
        <v>86577</v>
      </c>
      <c r="B563" t="s">
        <v>675</v>
      </c>
      <c r="D563" t="s">
        <v>57</v>
      </c>
      <c r="E563" t="s">
        <v>86</v>
      </c>
      <c r="F563" t="s">
        <v>58</v>
      </c>
      <c r="G563" t="s">
        <v>59</v>
      </c>
      <c r="H563" t="s">
        <v>60</v>
      </c>
      <c r="J563" t="s">
        <v>86</v>
      </c>
      <c r="L563" t="s">
        <v>62</v>
      </c>
      <c r="M563" t="s">
        <v>63</v>
      </c>
      <c r="N563" t="s">
        <v>64</v>
      </c>
      <c r="O563" t="s">
        <v>267</v>
      </c>
      <c r="P563" t="s">
        <v>65</v>
      </c>
      <c r="R563">
        <v>9</v>
      </c>
      <c r="T563">
        <v>5.4</v>
      </c>
      <c r="V563">
        <v>15</v>
      </c>
      <c r="W563" t="s">
        <v>66</v>
      </c>
      <c r="X563" t="s">
        <v>67</v>
      </c>
      <c r="Y563" t="s">
        <v>67</v>
      </c>
      <c r="Z563" t="s">
        <v>68</v>
      </c>
      <c r="AB563">
        <v>4</v>
      </c>
      <c r="AC563" t="s">
        <v>61</v>
      </c>
      <c r="AJ563" t="s">
        <v>69</v>
      </c>
      <c r="AY563" t="s">
        <v>268</v>
      </c>
      <c r="AZ563">
        <v>2965</v>
      </c>
      <c r="BA563" t="s">
        <v>269</v>
      </c>
      <c r="BB563" t="s">
        <v>270</v>
      </c>
      <c r="BC563">
        <v>1981</v>
      </c>
      <c r="BD563" t="s">
        <v>90</v>
      </c>
    </row>
    <row r="564" spans="1:56" x14ac:dyDescent="0.35">
      <c r="A564">
        <v>86577</v>
      </c>
      <c r="B564" t="s">
        <v>675</v>
      </c>
      <c r="D564" t="s">
        <v>57</v>
      </c>
      <c r="E564" t="s">
        <v>86</v>
      </c>
      <c r="F564" t="s">
        <v>58</v>
      </c>
      <c r="G564" t="s">
        <v>59</v>
      </c>
      <c r="H564" t="s">
        <v>60</v>
      </c>
      <c r="J564" t="s">
        <v>86</v>
      </c>
      <c r="L564" t="s">
        <v>62</v>
      </c>
      <c r="M564" t="s">
        <v>63</v>
      </c>
      <c r="N564" t="s">
        <v>64</v>
      </c>
      <c r="P564" t="s">
        <v>65</v>
      </c>
      <c r="R564">
        <v>2.88</v>
      </c>
      <c r="T564">
        <v>2.0299999999999998</v>
      </c>
      <c r="V564">
        <v>4.08</v>
      </c>
      <c r="W564" t="s">
        <v>66</v>
      </c>
      <c r="X564" t="s">
        <v>67</v>
      </c>
      <c r="Y564" t="s">
        <v>67</v>
      </c>
      <c r="Z564" t="s">
        <v>68</v>
      </c>
      <c r="AB564">
        <v>4</v>
      </c>
      <c r="AC564" t="s">
        <v>61</v>
      </c>
      <c r="AJ564" t="s">
        <v>69</v>
      </c>
      <c r="AY564" t="s">
        <v>304</v>
      </c>
      <c r="AZ564">
        <v>2966</v>
      </c>
      <c r="BA564" t="s">
        <v>305</v>
      </c>
      <c r="BB564" t="s">
        <v>306</v>
      </c>
      <c r="BC564">
        <v>1981</v>
      </c>
      <c r="BD564" t="s">
        <v>90</v>
      </c>
    </row>
    <row r="565" spans="1:56" x14ac:dyDescent="0.35">
      <c r="A565">
        <v>86737</v>
      </c>
      <c r="B565" t="s">
        <v>676</v>
      </c>
      <c r="D565" t="s">
        <v>85</v>
      </c>
      <c r="E565">
        <v>98.6</v>
      </c>
      <c r="F565" t="s">
        <v>58</v>
      </c>
      <c r="G565" t="s">
        <v>59</v>
      </c>
      <c r="H565" t="s">
        <v>60</v>
      </c>
      <c r="J565" t="s">
        <v>86</v>
      </c>
      <c r="L565" t="s">
        <v>62</v>
      </c>
      <c r="M565" t="s">
        <v>63</v>
      </c>
      <c r="N565" t="s">
        <v>64</v>
      </c>
      <c r="P565" t="s">
        <v>65</v>
      </c>
      <c r="Q565" t="s">
        <v>153</v>
      </c>
      <c r="R565">
        <v>100</v>
      </c>
      <c r="W565" t="s">
        <v>66</v>
      </c>
      <c r="X565" t="s">
        <v>67</v>
      </c>
      <c r="Y565" t="s">
        <v>67</v>
      </c>
      <c r="Z565" t="s">
        <v>68</v>
      </c>
      <c r="AB565">
        <v>4</v>
      </c>
      <c r="AC565" t="s">
        <v>61</v>
      </c>
      <c r="AJ565" t="s">
        <v>69</v>
      </c>
      <c r="AY565" t="s">
        <v>677</v>
      </c>
      <c r="AZ565">
        <v>9512</v>
      </c>
      <c r="BA565" t="s">
        <v>678</v>
      </c>
      <c r="BB565" t="s">
        <v>679</v>
      </c>
      <c r="BC565">
        <v>1985</v>
      </c>
      <c r="BD565" t="s">
        <v>90</v>
      </c>
    </row>
    <row r="566" spans="1:56" x14ac:dyDescent="0.35">
      <c r="A566">
        <v>86748</v>
      </c>
      <c r="B566" t="s">
        <v>680</v>
      </c>
      <c r="D566" t="s">
        <v>57</v>
      </c>
      <c r="E566">
        <v>98.9</v>
      </c>
      <c r="F566" t="s">
        <v>58</v>
      </c>
      <c r="G566" t="s">
        <v>59</v>
      </c>
      <c r="H566" t="s">
        <v>60</v>
      </c>
      <c r="J566">
        <v>30</v>
      </c>
      <c r="K566" t="s">
        <v>61</v>
      </c>
      <c r="L566" t="s">
        <v>62</v>
      </c>
      <c r="M566" t="s">
        <v>63</v>
      </c>
      <c r="N566" t="s">
        <v>64</v>
      </c>
      <c r="P566" t="s">
        <v>65</v>
      </c>
      <c r="Q566" t="s">
        <v>153</v>
      </c>
      <c r="R566">
        <v>1.1399999999999999</v>
      </c>
      <c r="W566" t="s">
        <v>66</v>
      </c>
      <c r="X566" t="s">
        <v>67</v>
      </c>
      <c r="Y566" t="s">
        <v>67</v>
      </c>
      <c r="Z566" t="s">
        <v>68</v>
      </c>
      <c r="AB566">
        <v>4</v>
      </c>
      <c r="AC566" t="s">
        <v>61</v>
      </c>
      <c r="AJ566" t="s">
        <v>69</v>
      </c>
      <c r="AY566" t="s">
        <v>309</v>
      </c>
      <c r="AZ566">
        <v>17138</v>
      </c>
      <c r="BA566" t="s">
        <v>310</v>
      </c>
      <c r="BB566" t="s">
        <v>311</v>
      </c>
      <c r="BC566">
        <v>1991</v>
      </c>
      <c r="BD566" t="s">
        <v>73</v>
      </c>
    </row>
    <row r="567" spans="1:56" x14ac:dyDescent="0.35">
      <c r="A567">
        <v>86748</v>
      </c>
      <c r="B567" t="s">
        <v>680</v>
      </c>
      <c r="D567" t="s">
        <v>85</v>
      </c>
      <c r="E567">
        <v>98.9</v>
      </c>
      <c r="F567" t="s">
        <v>58</v>
      </c>
      <c r="G567" t="s">
        <v>59</v>
      </c>
      <c r="H567" t="s">
        <v>60</v>
      </c>
      <c r="J567">
        <v>30</v>
      </c>
      <c r="K567" t="s">
        <v>61</v>
      </c>
      <c r="L567" t="s">
        <v>62</v>
      </c>
      <c r="M567" t="s">
        <v>63</v>
      </c>
      <c r="N567" t="s">
        <v>64</v>
      </c>
      <c r="P567" t="s">
        <v>65</v>
      </c>
      <c r="Q567" t="s">
        <v>435</v>
      </c>
      <c r="R567">
        <v>1.5</v>
      </c>
      <c r="W567" t="s">
        <v>66</v>
      </c>
      <c r="X567" t="s">
        <v>67</v>
      </c>
      <c r="Y567" t="s">
        <v>67</v>
      </c>
      <c r="Z567" t="s">
        <v>68</v>
      </c>
      <c r="AB567">
        <v>4</v>
      </c>
      <c r="AC567" t="s">
        <v>61</v>
      </c>
      <c r="AJ567" t="s">
        <v>69</v>
      </c>
      <c r="AY567" t="s">
        <v>309</v>
      </c>
      <c r="AZ567">
        <v>17138</v>
      </c>
      <c r="BA567" t="s">
        <v>310</v>
      </c>
      <c r="BB567" t="s">
        <v>311</v>
      </c>
      <c r="BC567">
        <v>1991</v>
      </c>
      <c r="BD567" t="s">
        <v>73</v>
      </c>
    </row>
    <row r="568" spans="1:56" x14ac:dyDescent="0.35">
      <c r="A568">
        <v>86748</v>
      </c>
      <c r="B568" t="s">
        <v>680</v>
      </c>
      <c r="D568" t="s">
        <v>57</v>
      </c>
      <c r="E568">
        <v>98.9</v>
      </c>
      <c r="F568" t="s">
        <v>58</v>
      </c>
      <c r="G568" t="s">
        <v>59</v>
      </c>
      <c r="H568" t="s">
        <v>60</v>
      </c>
      <c r="J568">
        <v>30</v>
      </c>
      <c r="K568" t="s">
        <v>61</v>
      </c>
      <c r="L568" t="s">
        <v>74</v>
      </c>
      <c r="M568" t="s">
        <v>63</v>
      </c>
      <c r="N568" t="s">
        <v>64</v>
      </c>
      <c r="P568" t="s">
        <v>65</v>
      </c>
      <c r="R568">
        <v>0.93</v>
      </c>
      <c r="W568" t="s">
        <v>66</v>
      </c>
      <c r="X568" t="s">
        <v>67</v>
      </c>
      <c r="Y568" t="s">
        <v>67</v>
      </c>
      <c r="Z568" t="s">
        <v>68</v>
      </c>
      <c r="AB568">
        <v>4</v>
      </c>
      <c r="AC568" t="s">
        <v>61</v>
      </c>
      <c r="AJ568" t="s">
        <v>69</v>
      </c>
      <c r="AY568" t="s">
        <v>309</v>
      </c>
      <c r="AZ568">
        <v>17138</v>
      </c>
      <c r="BA568" t="s">
        <v>310</v>
      </c>
      <c r="BB568" t="s">
        <v>311</v>
      </c>
      <c r="BC568">
        <v>1991</v>
      </c>
      <c r="BD568" t="s">
        <v>73</v>
      </c>
    </row>
    <row r="569" spans="1:56" x14ac:dyDescent="0.35">
      <c r="A569">
        <v>86748</v>
      </c>
      <c r="B569" t="s">
        <v>680</v>
      </c>
      <c r="D569" t="s">
        <v>57</v>
      </c>
      <c r="E569">
        <v>98.9</v>
      </c>
      <c r="F569" t="s">
        <v>58</v>
      </c>
      <c r="G569" t="s">
        <v>59</v>
      </c>
      <c r="H569" t="s">
        <v>60</v>
      </c>
      <c r="J569">
        <v>30</v>
      </c>
      <c r="K569" t="s">
        <v>61</v>
      </c>
      <c r="L569" t="s">
        <v>62</v>
      </c>
      <c r="M569" t="s">
        <v>63</v>
      </c>
      <c r="N569" t="s">
        <v>64</v>
      </c>
      <c r="P569" t="s">
        <v>65</v>
      </c>
      <c r="Q569" t="s">
        <v>435</v>
      </c>
      <c r="R569">
        <v>1.49</v>
      </c>
      <c r="W569" t="s">
        <v>66</v>
      </c>
      <c r="X569" t="s">
        <v>67</v>
      </c>
      <c r="Y569" t="s">
        <v>67</v>
      </c>
      <c r="Z569" t="s">
        <v>68</v>
      </c>
      <c r="AB569">
        <v>4</v>
      </c>
      <c r="AC569" t="s">
        <v>61</v>
      </c>
      <c r="AJ569" t="s">
        <v>69</v>
      </c>
      <c r="AY569" t="s">
        <v>309</v>
      </c>
      <c r="AZ569">
        <v>17138</v>
      </c>
      <c r="BA569" t="s">
        <v>310</v>
      </c>
      <c r="BB569" t="s">
        <v>311</v>
      </c>
      <c r="BC569">
        <v>1991</v>
      </c>
      <c r="BD569" t="s">
        <v>73</v>
      </c>
    </row>
    <row r="570" spans="1:56" x14ac:dyDescent="0.35">
      <c r="A570">
        <v>87172</v>
      </c>
      <c r="B570" t="s">
        <v>681</v>
      </c>
      <c r="C570" t="s">
        <v>91</v>
      </c>
      <c r="D570" t="s">
        <v>85</v>
      </c>
      <c r="E570">
        <v>99</v>
      </c>
      <c r="F570" t="s">
        <v>58</v>
      </c>
      <c r="G570" t="s">
        <v>59</v>
      </c>
      <c r="H570" t="s">
        <v>60</v>
      </c>
      <c r="J570" t="s">
        <v>86</v>
      </c>
      <c r="L570" t="s">
        <v>62</v>
      </c>
      <c r="M570" t="s">
        <v>63</v>
      </c>
      <c r="N570" t="s">
        <v>64</v>
      </c>
      <c r="P570" t="s">
        <v>65</v>
      </c>
      <c r="R570">
        <v>4.8999999999999998E-3</v>
      </c>
      <c r="T570">
        <v>3.7000000000000002E-3</v>
      </c>
      <c r="V570">
        <v>6.4000000000000003E-3</v>
      </c>
      <c r="W570" t="s">
        <v>66</v>
      </c>
      <c r="X570" t="s">
        <v>67</v>
      </c>
      <c r="Y570" t="s">
        <v>67</v>
      </c>
      <c r="Z570" t="s">
        <v>68</v>
      </c>
      <c r="AB570">
        <v>4</v>
      </c>
      <c r="AC570" t="s">
        <v>61</v>
      </c>
      <c r="AJ570" t="s">
        <v>69</v>
      </c>
      <c r="AY570" t="s">
        <v>621</v>
      </c>
      <c r="AZ570">
        <v>15277</v>
      </c>
      <c r="BA570" t="s">
        <v>622</v>
      </c>
      <c r="BB570" t="s">
        <v>623</v>
      </c>
      <c r="BC570">
        <v>1982</v>
      </c>
      <c r="BD570" t="s">
        <v>90</v>
      </c>
    </row>
    <row r="571" spans="1:56" x14ac:dyDescent="0.35">
      <c r="A571">
        <v>87172</v>
      </c>
      <c r="B571" t="s">
        <v>681</v>
      </c>
      <c r="C571" t="s">
        <v>91</v>
      </c>
      <c r="D571" t="s">
        <v>85</v>
      </c>
      <c r="E571">
        <v>99</v>
      </c>
      <c r="F571" t="s">
        <v>58</v>
      </c>
      <c r="G571" t="s">
        <v>59</v>
      </c>
      <c r="H571" t="s">
        <v>60</v>
      </c>
      <c r="J571" t="s">
        <v>86</v>
      </c>
      <c r="L571" t="s">
        <v>62</v>
      </c>
      <c r="M571" t="s">
        <v>63</v>
      </c>
      <c r="N571" t="s">
        <v>64</v>
      </c>
      <c r="P571" t="s">
        <v>65</v>
      </c>
      <c r="R571">
        <v>7.0000000000000001E-3</v>
      </c>
      <c r="T571">
        <v>5.7000000000000002E-3</v>
      </c>
      <c r="V571">
        <v>8.6E-3</v>
      </c>
      <c r="W571" t="s">
        <v>66</v>
      </c>
      <c r="X571" t="s">
        <v>67</v>
      </c>
      <c r="Y571" t="s">
        <v>67</v>
      </c>
      <c r="Z571" t="s">
        <v>68</v>
      </c>
      <c r="AB571">
        <v>4</v>
      </c>
      <c r="AC571" t="s">
        <v>61</v>
      </c>
      <c r="AJ571" t="s">
        <v>69</v>
      </c>
      <c r="AY571" t="s">
        <v>621</v>
      </c>
      <c r="AZ571">
        <v>15277</v>
      </c>
      <c r="BA571" t="s">
        <v>622</v>
      </c>
      <c r="BB571" t="s">
        <v>623</v>
      </c>
      <c r="BC571">
        <v>1982</v>
      </c>
      <c r="BD571" t="s">
        <v>90</v>
      </c>
    </row>
    <row r="572" spans="1:56" x14ac:dyDescent="0.35">
      <c r="A572">
        <v>87172</v>
      </c>
      <c r="B572" t="s">
        <v>681</v>
      </c>
      <c r="C572" t="s">
        <v>91</v>
      </c>
      <c r="D572" t="s">
        <v>85</v>
      </c>
      <c r="E572">
        <v>99</v>
      </c>
      <c r="F572" t="s">
        <v>58</v>
      </c>
      <c r="G572" t="s">
        <v>59</v>
      </c>
      <c r="H572" t="s">
        <v>60</v>
      </c>
      <c r="J572" t="s">
        <v>86</v>
      </c>
      <c r="L572" t="s">
        <v>62</v>
      </c>
      <c r="M572" t="s">
        <v>63</v>
      </c>
      <c r="N572" t="s">
        <v>64</v>
      </c>
      <c r="P572" t="s">
        <v>65</v>
      </c>
      <c r="R572">
        <v>1.01E-2</v>
      </c>
      <c r="T572">
        <v>8.3999999999999995E-3</v>
      </c>
      <c r="V572">
        <v>1.2200000000000001E-2</v>
      </c>
      <c r="W572" t="s">
        <v>66</v>
      </c>
      <c r="X572" t="s">
        <v>67</v>
      </c>
      <c r="Y572" t="s">
        <v>67</v>
      </c>
      <c r="Z572" t="s">
        <v>68</v>
      </c>
      <c r="AB572">
        <v>4</v>
      </c>
      <c r="AC572" t="s">
        <v>61</v>
      </c>
      <c r="AJ572" t="s">
        <v>69</v>
      </c>
      <c r="AY572" t="s">
        <v>621</v>
      </c>
      <c r="AZ572">
        <v>15277</v>
      </c>
      <c r="BA572" t="s">
        <v>622</v>
      </c>
      <c r="BB572" t="s">
        <v>623</v>
      </c>
      <c r="BC572">
        <v>1982</v>
      </c>
      <c r="BD572" t="s">
        <v>90</v>
      </c>
    </row>
    <row r="573" spans="1:56" x14ac:dyDescent="0.35">
      <c r="A573">
        <v>87172</v>
      </c>
      <c r="B573" t="s">
        <v>681</v>
      </c>
      <c r="C573" t="s">
        <v>91</v>
      </c>
      <c r="D573" t="s">
        <v>85</v>
      </c>
      <c r="E573">
        <v>99</v>
      </c>
      <c r="F573" t="s">
        <v>58</v>
      </c>
      <c r="G573" t="s">
        <v>59</v>
      </c>
      <c r="H573" t="s">
        <v>60</v>
      </c>
      <c r="J573" t="s">
        <v>86</v>
      </c>
      <c r="L573" t="s">
        <v>62</v>
      </c>
      <c r="M573" t="s">
        <v>63</v>
      </c>
      <c r="N573" t="s">
        <v>64</v>
      </c>
      <c r="P573" t="s">
        <v>65</v>
      </c>
      <c r="R573">
        <v>6.1999999999999998E-3</v>
      </c>
      <c r="T573">
        <v>5.1000000000000004E-3</v>
      </c>
      <c r="V573">
        <v>7.6E-3</v>
      </c>
      <c r="W573" t="s">
        <v>66</v>
      </c>
      <c r="X573" t="s">
        <v>67</v>
      </c>
      <c r="Y573" t="s">
        <v>67</v>
      </c>
      <c r="Z573" t="s">
        <v>68</v>
      </c>
      <c r="AB573">
        <v>4</v>
      </c>
      <c r="AC573" t="s">
        <v>61</v>
      </c>
      <c r="AJ573" t="s">
        <v>69</v>
      </c>
      <c r="AY573" t="s">
        <v>621</v>
      </c>
      <c r="AZ573">
        <v>15277</v>
      </c>
      <c r="BA573" t="s">
        <v>622</v>
      </c>
      <c r="BB573" t="s">
        <v>623</v>
      </c>
      <c r="BC573">
        <v>1982</v>
      </c>
      <c r="BD573" t="s">
        <v>90</v>
      </c>
    </row>
    <row r="574" spans="1:56" x14ac:dyDescent="0.35">
      <c r="A574">
        <v>87172</v>
      </c>
      <c r="B574" t="s">
        <v>681</v>
      </c>
      <c r="C574" t="s">
        <v>91</v>
      </c>
      <c r="D574" t="s">
        <v>85</v>
      </c>
      <c r="E574">
        <v>99</v>
      </c>
      <c r="F574" t="s">
        <v>58</v>
      </c>
      <c r="G574" t="s">
        <v>59</v>
      </c>
      <c r="H574" t="s">
        <v>60</v>
      </c>
      <c r="J574" t="s">
        <v>86</v>
      </c>
      <c r="L574" t="s">
        <v>62</v>
      </c>
      <c r="M574" t="s">
        <v>63</v>
      </c>
      <c r="N574" t="s">
        <v>64</v>
      </c>
      <c r="P574" t="s">
        <v>65</v>
      </c>
      <c r="R574">
        <v>4.4999999999999997E-3</v>
      </c>
      <c r="T574">
        <v>3.5999999999999999E-3</v>
      </c>
      <c r="V574">
        <v>5.5999999999999999E-3</v>
      </c>
      <c r="W574" t="s">
        <v>66</v>
      </c>
      <c r="X574" t="s">
        <v>67</v>
      </c>
      <c r="Y574" t="s">
        <v>67</v>
      </c>
      <c r="Z574" t="s">
        <v>68</v>
      </c>
      <c r="AB574">
        <v>4</v>
      </c>
      <c r="AC574" t="s">
        <v>61</v>
      </c>
      <c r="AJ574" t="s">
        <v>69</v>
      </c>
      <c r="AY574" t="s">
        <v>621</v>
      </c>
      <c r="AZ574">
        <v>15277</v>
      </c>
      <c r="BA574" t="s">
        <v>622</v>
      </c>
      <c r="BB574" t="s">
        <v>623</v>
      </c>
      <c r="BC574">
        <v>1982</v>
      </c>
      <c r="BD574" t="s">
        <v>90</v>
      </c>
    </row>
    <row r="575" spans="1:56" x14ac:dyDescent="0.35">
      <c r="A575">
        <v>87172</v>
      </c>
      <c r="B575" t="s">
        <v>681</v>
      </c>
      <c r="C575" t="s">
        <v>91</v>
      </c>
      <c r="D575" t="s">
        <v>85</v>
      </c>
      <c r="E575">
        <v>99</v>
      </c>
      <c r="F575" t="s">
        <v>58</v>
      </c>
      <c r="G575" t="s">
        <v>59</v>
      </c>
      <c r="H575" t="s">
        <v>60</v>
      </c>
      <c r="J575" t="s">
        <v>86</v>
      </c>
      <c r="L575" t="s">
        <v>62</v>
      </c>
      <c r="M575" t="s">
        <v>63</v>
      </c>
      <c r="N575" t="s">
        <v>64</v>
      </c>
      <c r="P575" t="s">
        <v>65</v>
      </c>
      <c r="R575">
        <v>4.1000000000000003E-3</v>
      </c>
      <c r="T575">
        <v>3.0999999999999999E-3</v>
      </c>
      <c r="V575">
        <v>5.3E-3</v>
      </c>
      <c r="W575" t="s">
        <v>66</v>
      </c>
      <c r="X575" t="s">
        <v>67</v>
      </c>
      <c r="Y575" t="s">
        <v>67</v>
      </c>
      <c r="Z575" t="s">
        <v>68</v>
      </c>
      <c r="AB575">
        <v>4</v>
      </c>
      <c r="AC575" t="s">
        <v>61</v>
      </c>
      <c r="AJ575" t="s">
        <v>69</v>
      </c>
      <c r="AY575" t="s">
        <v>621</v>
      </c>
      <c r="AZ575">
        <v>15277</v>
      </c>
      <c r="BA575" t="s">
        <v>622</v>
      </c>
      <c r="BB575" t="s">
        <v>623</v>
      </c>
      <c r="BC575">
        <v>1982</v>
      </c>
      <c r="BD575" t="s">
        <v>90</v>
      </c>
    </row>
    <row r="576" spans="1:56" x14ac:dyDescent="0.35">
      <c r="A576">
        <v>87172</v>
      </c>
      <c r="B576" t="s">
        <v>681</v>
      </c>
      <c r="C576" t="s">
        <v>91</v>
      </c>
      <c r="D576" t="s">
        <v>85</v>
      </c>
      <c r="E576">
        <v>99</v>
      </c>
      <c r="F576" t="s">
        <v>58</v>
      </c>
      <c r="G576" t="s">
        <v>59</v>
      </c>
      <c r="H576" t="s">
        <v>60</v>
      </c>
      <c r="J576" t="s">
        <v>86</v>
      </c>
      <c r="L576" t="s">
        <v>62</v>
      </c>
      <c r="M576" t="s">
        <v>63</v>
      </c>
      <c r="N576" t="s">
        <v>64</v>
      </c>
      <c r="P576" t="s">
        <v>65</v>
      </c>
      <c r="R576">
        <v>8.0000000000000002E-3</v>
      </c>
      <c r="T576">
        <v>6.1999999999999998E-3</v>
      </c>
      <c r="V576">
        <v>1.03E-2</v>
      </c>
      <c r="W576" t="s">
        <v>66</v>
      </c>
      <c r="X576" t="s">
        <v>67</v>
      </c>
      <c r="Y576" t="s">
        <v>67</v>
      </c>
      <c r="Z576" t="s">
        <v>68</v>
      </c>
      <c r="AB576">
        <v>4</v>
      </c>
      <c r="AC576" t="s">
        <v>61</v>
      </c>
      <c r="AJ576" t="s">
        <v>69</v>
      </c>
      <c r="AY576" t="s">
        <v>621</v>
      </c>
      <c r="AZ576">
        <v>15277</v>
      </c>
      <c r="BA576" t="s">
        <v>622</v>
      </c>
      <c r="BB576" t="s">
        <v>623</v>
      </c>
      <c r="BC576">
        <v>1982</v>
      </c>
      <c r="BD576" t="s">
        <v>90</v>
      </c>
    </row>
    <row r="577" spans="1:56" x14ac:dyDescent="0.35">
      <c r="A577">
        <v>87172</v>
      </c>
      <c r="B577" t="s">
        <v>681</v>
      </c>
      <c r="D577" t="s">
        <v>57</v>
      </c>
      <c r="E577">
        <v>99</v>
      </c>
      <c r="F577" t="s">
        <v>58</v>
      </c>
      <c r="G577" t="s">
        <v>59</v>
      </c>
      <c r="H577" t="s">
        <v>60</v>
      </c>
      <c r="J577">
        <v>28</v>
      </c>
      <c r="K577" t="s">
        <v>61</v>
      </c>
      <c r="L577" t="s">
        <v>74</v>
      </c>
      <c r="M577" t="s">
        <v>63</v>
      </c>
      <c r="N577" t="s">
        <v>64</v>
      </c>
      <c r="P577" t="s">
        <v>65</v>
      </c>
      <c r="R577">
        <v>3.95</v>
      </c>
      <c r="T577">
        <v>3.28</v>
      </c>
      <c r="V577">
        <v>4.75</v>
      </c>
      <c r="W577" t="s">
        <v>66</v>
      </c>
      <c r="X577" t="s">
        <v>67</v>
      </c>
      <c r="Y577" t="s">
        <v>67</v>
      </c>
      <c r="Z577" t="s">
        <v>68</v>
      </c>
      <c r="AB577">
        <v>4</v>
      </c>
      <c r="AC577" t="s">
        <v>61</v>
      </c>
      <c r="AJ577" t="s">
        <v>69</v>
      </c>
      <c r="AY577" t="s">
        <v>263</v>
      </c>
      <c r="AZ577">
        <v>12858</v>
      </c>
      <c r="BA577" t="s">
        <v>264</v>
      </c>
      <c r="BB577" t="s">
        <v>265</v>
      </c>
      <c r="BC577">
        <v>1986</v>
      </c>
      <c r="BD577" t="s">
        <v>73</v>
      </c>
    </row>
    <row r="578" spans="1:56" x14ac:dyDescent="0.35">
      <c r="A578">
        <v>87172</v>
      </c>
      <c r="B578" t="s">
        <v>681</v>
      </c>
      <c r="C578" t="s">
        <v>91</v>
      </c>
      <c r="D578" t="s">
        <v>85</v>
      </c>
      <c r="E578" t="s">
        <v>79</v>
      </c>
      <c r="F578" t="s">
        <v>58</v>
      </c>
      <c r="G578" t="s">
        <v>59</v>
      </c>
      <c r="H578" t="s">
        <v>60</v>
      </c>
      <c r="J578" t="s">
        <v>86</v>
      </c>
      <c r="L578" t="s">
        <v>62</v>
      </c>
      <c r="M578" t="s">
        <v>63</v>
      </c>
      <c r="N578" t="s">
        <v>64</v>
      </c>
      <c r="P578" t="s">
        <v>65</v>
      </c>
      <c r="R578">
        <v>1.11E-2</v>
      </c>
      <c r="T578">
        <v>9.2999999999999992E-3</v>
      </c>
      <c r="V578">
        <v>1.32E-2</v>
      </c>
      <c r="W578" t="s">
        <v>66</v>
      </c>
      <c r="X578" t="s">
        <v>67</v>
      </c>
      <c r="Y578" t="s">
        <v>67</v>
      </c>
      <c r="Z578" t="s">
        <v>68</v>
      </c>
      <c r="AB578">
        <v>4</v>
      </c>
      <c r="AC578" t="s">
        <v>61</v>
      </c>
      <c r="AJ578" t="s">
        <v>69</v>
      </c>
      <c r="AY578" t="s">
        <v>621</v>
      </c>
      <c r="AZ578">
        <v>15277</v>
      </c>
      <c r="BA578" t="s">
        <v>622</v>
      </c>
      <c r="BB578" t="s">
        <v>623</v>
      </c>
      <c r="BC578">
        <v>1982</v>
      </c>
      <c r="BD578" t="s">
        <v>90</v>
      </c>
    </row>
    <row r="579" spans="1:56" x14ac:dyDescent="0.35">
      <c r="A579">
        <v>87172</v>
      </c>
      <c r="B579" t="s">
        <v>681</v>
      </c>
      <c r="D579" t="s">
        <v>57</v>
      </c>
      <c r="E579" t="s">
        <v>128</v>
      </c>
      <c r="F579" t="s">
        <v>58</v>
      </c>
      <c r="G579" t="s">
        <v>59</v>
      </c>
      <c r="H579" t="s">
        <v>60</v>
      </c>
      <c r="I579" t="s">
        <v>129</v>
      </c>
      <c r="J579" t="s">
        <v>86</v>
      </c>
      <c r="K579" t="s">
        <v>61</v>
      </c>
      <c r="L579" t="s">
        <v>74</v>
      </c>
      <c r="M579" t="s">
        <v>63</v>
      </c>
      <c r="N579" t="s">
        <v>64</v>
      </c>
      <c r="P579" t="s">
        <v>65</v>
      </c>
      <c r="R579">
        <v>3.95</v>
      </c>
      <c r="W579" t="s">
        <v>66</v>
      </c>
      <c r="X579" t="s">
        <v>67</v>
      </c>
      <c r="Y579" t="s">
        <v>67</v>
      </c>
      <c r="Z579" t="s">
        <v>68</v>
      </c>
      <c r="AB579">
        <v>4</v>
      </c>
      <c r="AC579" t="s">
        <v>61</v>
      </c>
      <c r="AJ579" t="s">
        <v>69</v>
      </c>
      <c r="AY579" t="s">
        <v>134</v>
      </c>
      <c r="AZ579">
        <v>15031</v>
      </c>
      <c r="BA579" t="s">
        <v>135</v>
      </c>
      <c r="BB579" t="s">
        <v>136</v>
      </c>
      <c r="BC579">
        <v>1995</v>
      </c>
      <c r="BD579" t="s">
        <v>133</v>
      </c>
    </row>
    <row r="580" spans="1:56" x14ac:dyDescent="0.35">
      <c r="A580">
        <v>87172</v>
      </c>
      <c r="B580" t="s">
        <v>681</v>
      </c>
      <c r="C580" t="s">
        <v>91</v>
      </c>
      <c r="D580" t="s">
        <v>85</v>
      </c>
      <c r="E580">
        <v>99</v>
      </c>
      <c r="F580" t="s">
        <v>58</v>
      </c>
      <c r="G580" t="s">
        <v>59</v>
      </c>
      <c r="H580" t="s">
        <v>60</v>
      </c>
      <c r="J580" t="s">
        <v>86</v>
      </c>
      <c r="L580" t="s">
        <v>62</v>
      </c>
      <c r="M580" t="s">
        <v>63</v>
      </c>
      <c r="N580" t="s">
        <v>64</v>
      </c>
      <c r="P580" t="s">
        <v>65</v>
      </c>
      <c r="R580">
        <v>1.11E-2</v>
      </c>
      <c r="T580">
        <v>9.9000000000000008E-3</v>
      </c>
      <c r="V580">
        <v>1.2500000000000001E-2</v>
      </c>
      <c r="W580" t="s">
        <v>66</v>
      </c>
      <c r="X580" t="s">
        <v>67</v>
      </c>
      <c r="Y580" t="s">
        <v>67</v>
      </c>
      <c r="Z580" t="s">
        <v>68</v>
      </c>
      <c r="AB580">
        <v>4</v>
      </c>
      <c r="AC580" t="s">
        <v>61</v>
      </c>
      <c r="AJ580" t="s">
        <v>69</v>
      </c>
      <c r="AY580" t="s">
        <v>621</v>
      </c>
      <c r="AZ580">
        <v>15277</v>
      </c>
      <c r="BA580" t="s">
        <v>622</v>
      </c>
      <c r="BB580" t="s">
        <v>623</v>
      </c>
      <c r="BC580">
        <v>1982</v>
      </c>
      <c r="BD580" t="s">
        <v>90</v>
      </c>
    </row>
    <row r="581" spans="1:56" x14ac:dyDescent="0.35">
      <c r="A581">
        <v>87683</v>
      </c>
      <c r="B581" t="s">
        <v>682</v>
      </c>
      <c r="D581" t="s">
        <v>57</v>
      </c>
      <c r="E581">
        <v>98</v>
      </c>
      <c r="F581" t="s">
        <v>58</v>
      </c>
      <c r="G581" t="s">
        <v>59</v>
      </c>
      <c r="H581" t="s">
        <v>60</v>
      </c>
      <c r="J581">
        <v>30</v>
      </c>
      <c r="K581" t="s">
        <v>61</v>
      </c>
      <c r="L581" t="s">
        <v>62</v>
      </c>
      <c r="M581" t="s">
        <v>63</v>
      </c>
      <c r="N581" t="s">
        <v>64</v>
      </c>
      <c r="P581" t="s">
        <v>65</v>
      </c>
      <c r="R581">
        <v>0.20499999999999999</v>
      </c>
      <c r="T581">
        <v>0.16600000000000001</v>
      </c>
      <c r="V581">
        <v>0.253</v>
      </c>
      <c r="W581" t="s">
        <v>66</v>
      </c>
      <c r="X581" t="s">
        <v>67</v>
      </c>
      <c r="Y581" t="s">
        <v>67</v>
      </c>
      <c r="Z581" t="s">
        <v>68</v>
      </c>
      <c r="AB581">
        <v>4</v>
      </c>
      <c r="AC581" t="s">
        <v>61</v>
      </c>
      <c r="AJ581" t="s">
        <v>69</v>
      </c>
      <c r="AY581" t="s">
        <v>70</v>
      </c>
      <c r="AZ581">
        <v>14339</v>
      </c>
      <c r="BA581" t="s">
        <v>71</v>
      </c>
      <c r="BB581" t="s">
        <v>72</v>
      </c>
      <c r="BC581">
        <v>1987</v>
      </c>
      <c r="BD581" t="s">
        <v>73</v>
      </c>
    </row>
    <row r="582" spans="1:56" x14ac:dyDescent="0.35">
      <c r="A582">
        <v>87683</v>
      </c>
      <c r="B582" t="s">
        <v>682</v>
      </c>
      <c r="D582" t="s">
        <v>57</v>
      </c>
      <c r="E582">
        <v>98</v>
      </c>
      <c r="F582" t="s">
        <v>58</v>
      </c>
      <c r="G582" t="s">
        <v>59</v>
      </c>
      <c r="H582" t="s">
        <v>60</v>
      </c>
      <c r="J582">
        <v>31</v>
      </c>
      <c r="K582" t="s">
        <v>61</v>
      </c>
      <c r="L582" t="s">
        <v>74</v>
      </c>
      <c r="M582" t="s">
        <v>63</v>
      </c>
      <c r="N582" t="s">
        <v>64</v>
      </c>
      <c r="P582" t="s">
        <v>65</v>
      </c>
      <c r="R582">
        <v>0.09</v>
      </c>
      <c r="T582">
        <v>0.09</v>
      </c>
      <c r="V582">
        <v>0.1</v>
      </c>
      <c r="W582" t="s">
        <v>66</v>
      </c>
      <c r="X582" t="s">
        <v>67</v>
      </c>
      <c r="Y582" t="s">
        <v>67</v>
      </c>
      <c r="Z582" t="s">
        <v>68</v>
      </c>
      <c r="AB582">
        <v>4</v>
      </c>
      <c r="AC582" t="s">
        <v>61</v>
      </c>
      <c r="AJ582" t="s">
        <v>69</v>
      </c>
      <c r="AY582" t="s">
        <v>141</v>
      </c>
      <c r="AZ582">
        <v>12447</v>
      </c>
      <c r="BA582" t="s">
        <v>142</v>
      </c>
      <c r="BB582" t="s">
        <v>143</v>
      </c>
      <c r="BC582">
        <v>1985</v>
      </c>
      <c r="BD582" t="s">
        <v>73</v>
      </c>
    </row>
    <row r="583" spans="1:56" x14ac:dyDescent="0.35">
      <c r="A583">
        <v>87683</v>
      </c>
      <c r="B583" t="s">
        <v>682</v>
      </c>
      <c r="D583" t="s">
        <v>57</v>
      </c>
      <c r="E583" t="s">
        <v>86</v>
      </c>
      <c r="F583" t="s">
        <v>58</v>
      </c>
      <c r="G583" t="s">
        <v>59</v>
      </c>
      <c r="H583" t="s">
        <v>60</v>
      </c>
      <c r="J583" t="s">
        <v>86</v>
      </c>
      <c r="K583" t="s">
        <v>61</v>
      </c>
      <c r="L583" t="s">
        <v>74</v>
      </c>
      <c r="M583" t="s">
        <v>63</v>
      </c>
      <c r="N583" t="s">
        <v>64</v>
      </c>
      <c r="P583" t="s">
        <v>65</v>
      </c>
      <c r="R583">
        <v>0.1</v>
      </c>
      <c r="T583">
        <v>0.09</v>
      </c>
      <c r="V583">
        <v>0.11</v>
      </c>
      <c r="W583" t="s">
        <v>66</v>
      </c>
      <c r="X583" t="s">
        <v>67</v>
      </c>
      <c r="Y583" t="s">
        <v>67</v>
      </c>
      <c r="Z583" t="s">
        <v>68</v>
      </c>
      <c r="AB583">
        <v>4</v>
      </c>
      <c r="AC583" t="s">
        <v>61</v>
      </c>
      <c r="AJ583" t="s">
        <v>69</v>
      </c>
      <c r="AY583" t="s">
        <v>404</v>
      </c>
      <c r="AZ583">
        <v>11227</v>
      </c>
      <c r="BA583" t="s">
        <v>405</v>
      </c>
      <c r="BB583" t="s">
        <v>406</v>
      </c>
      <c r="BC583">
        <v>1983</v>
      </c>
      <c r="BD583" t="s">
        <v>127</v>
      </c>
    </row>
    <row r="584" spans="1:56" x14ac:dyDescent="0.35">
      <c r="A584">
        <v>87729</v>
      </c>
      <c r="B584" t="s">
        <v>683</v>
      </c>
      <c r="D584" t="s">
        <v>57</v>
      </c>
      <c r="E584" t="s">
        <v>79</v>
      </c>
      <c r="F584" t="s">
        <v>58</v>
      </c>
      <c r="G584" t="s">
        <v>59</v>
      </c>
      <c r="H584" t="s">
        <v>60</v>
      </c>
      <c r="J584">
        <v>31</v>
      </c>
      <c r="K584" t="s">
        <v>61</v>
      </c>
      <c r="L584" t="s">
        <v>62</v>
      </c>
      <c r="M584" t="s">
        <v>63</v>
      </c>
      <c r="N584" t="s">
        <v>64</v>
      </c>
      <c r="P584" t="s">
        <v>65</v>
      </c>
      <c r="R584">
        <v>37700</v>
      </c>
      <c r="W584" t="s">
        <v>66</v>
      </c>
      <c r="X584" t="s">
        <v>67</v>
      </c>
      <c r="Y584" t="s">
        <v>67</v>
      </c>
      <c r="Z584" t="s">
        <v>68</v>
      </c>
      <c r="AB584">
        <v>4</v>
      </c>
      <c r="AC584" t="s">
        <v>61</v>
      </c>
      <c r="AJ584" t="s">
        <v>69</v>
      </c>
      <c r="AY584" t="s">
        <v>75</v>
      </c>
      <c r="AZ584">
        <v>3217</v>
      </c>
      <c r="BA584" t="s">
        <v>76</v>
      </c>
      <c r="BB584" t="s">
        <v>77</v>
      </c>
      <c r="BC584">
        <v>1990</v>
      </c>
      <c r="BD584" t="s">
        <v>73</v>
      </c>
    </row>
    <row r="585" spans="1:56" x14ac:dyDescent="0.35">
      <c r="A585">
        <v>87865</v>
      </c>
      <c r="B585" t="s">
        <v>684</v>
      </c>
      <c r="D585" t="s">
        <v>57</v>
      </c>
      <c r="E585" t="s">
        <v>86</v>
      </c>
      <c r="F585" t="s">
        <v>58</v>
      </c>
      <c r="G585" t="s">
        <v>59</v>
      </c>
      <c r="H585" t="s">
        <v>60</v>
      </c>
      <c r="J585">
        <v>31</v>
      </c>
      <c r="K585" t="s">
        <v>61</v>
      </c>
      <c r="L585" t="s">
        <v>74</v>
      </c>
      <c r="M585" t="s">
        <v>63</v>
      </c>
      <c r="N585" t="s">
        <v>64</v>
      </c>
      <c r="P585" t="s">
        <v>65</v>
      </c>
      <c r="R585">
        <v>0.24</v>
      </c>
      <c r="T585">
        <v>0.23</v>
      </c>
      <c r="V585">
        <v>0.25</v>
      </c>
      <c r="W585" t="s">
        <v>66</v>
      </c>
      <c r="X585" t="s">
        <v>67</v>
      </c>
      <c r="Y585" t="s">
        <v>67</v>
      </c>
      <c r="Z585" t="s">
        <v>68</v>
      </c>
      <c r="AB585">
        <v>4</v>
      </c>
      <c r="AC585" t="s">
        <v>61</v>
      </c>
      <c r="AJ585" t="s">
        <v>69</v>
      </c>
      <c r="AY585" t="s">
        <v>141</v>
      </c>
      <c r="AZ585">
        <v>12447</v>
      </c>
      <c r="BA585" t="s">
        <v>142</v>
      </c>
      <c r="BB585" t="s">
        <v>143</v>
      </c>
      <c r="BC585">
        <v>1985</v>
      </c>
      <c r="BD585" t="s">
        <v>73</v>
      </c>
    </row>
    <row r="586" spans="1:56" x14ac:dyDescent="0.35">
      <c r="A586">
        <v>87865</v>
      </c>
      <c r="B586" t="s">
        <v>684</v>
      </c>
      <c r="D586" t="s">
        <v>85</v>
      </c>
      <c r="E586">
        <v>99</v>
      </c>
      <c r="F586" t="s">
        <v>58</v>
      </c>
      <c r="G586" t="s">
        <v>59</v>
      </c>
      <c r="H586" t="s">
        <v>60</v>
      </c>
      <c r="J586" t="s">
        <v>86</v>
      </c>
      <c r="L586" t="s">
        <v>62</v>
      </c>
      <c r="M586" t="s">
        <v>63</v>
      </c>
      <c r="N586" t="s">
        <v>64</v>
      </c>
      <c r="O586">
        <v>8</v>
      </c>
      <c r="P586" t="s">
        <v>65</v>
      </c>
      <c r="R586">
        <v>0.25</v>
      </c>
      <c r="W586" t="s">
        <v>66</v>
      </c>
      <c r="X586" t="s">
        <v>67</v>
      </c>
      <c r="Y586" t="s">
        <v>67</v>
      </c>
      <c r="Z586" t="s">
        <v>68</v>
      </c>
      <c r="AB586">
        <v>4</v>
      </c>
      <c r="AC586" t="s">
        <v>61</v>
      </c>
      <c r="AJ586" t="s">
        <v>69</v>
      </c>
      <c r="AY586" t="s">
        <v>314</v>
      </c>
      <c r="AZ586">
        <v>73668</v>
      </c>
      <c r="BA586" t="s">
        <v>315</v>
      </c>
      <c r="BB586" t="s">
        <v>316</v>
      </c>
      <c r="BC586">
        <v>1995</v>
      </c>
      <c r="BD586" t="s">
        <v>90</v>
      </c>
    </row>
    <row r="587" spans="1:56" x14ac:dyDescent="0.35">
      <c r="A587">
        <v>87865</v>
      </c>
      <c r="B587" t="s">
        <v>684</v>
      </c>
      <c r="D587" t="s">
        <v>57</v>
      </c>
      <c r="E587" t="s">
        <v>128</v>
      </c>
      <c r="F587" t="s">
        <v>58</v>
      </c>
      <c r="G587" t="s">
        <v>59</v>
      </c>
      <c r="H587" t="s">
        <v>60</v>
      </c>
      <c r="I587" t="s">
        <v>129</v>
      </c>
      <c r="J587" t="s">
        <v>86</v>
      </c>
      <c r="K587" t="s">
        <v>61</v>
      </c>
      <c r="L587" t="s">
        <v>74</v>
      </c>
      <c r="M587" t="s">
        <v>63</v>
      </c>
      <c r="N587" t="s">
        <v>64</v>
      </c>
      <c r="P587" t="s">
        <v>65</v>
      </c>
      <c r="R587">
        <v>0.35</v>
      </c>
      <c r="W587" t="s">
        <v>66</v>
      </c>
      <c r="X587" t="s">
        <v>67</v>
      </c>
      <c r="Y587" t="s">
        <v>67</v>
      </c>
      <c r="Z587" t="s">
        <v>68</v>
      </c>
      <c r="AB587">
        <v>4</v>
      </c>
      <c r="AC587" t="s">
        <v>61</v>
      </c>
      <c r="AJ587" t="s">
        <v>69</v>
      </c>
      <c r="AY587" t="s">
        <v>134</v>
      </c>
      <c r="AZ587">
        <v>15031</v>
      </c>
      <c r="BA587" t="s">
        <v>135</v>
      </c>
      <c r="BB587" t="s">
        <v>136</v>
      </c>
      <c r="BC587">
        <v>1995</v>
      </c>
      <c r="BD587" t="s">
        <v>133</v>
      </c>
    </row>
    <row r="588" spans="1:56" x14ac:dyDescent="0.35">
      <c r="A588">
        <v>87865</v>
      </c>
      <c r="B588" t="s">
        <v>684</v>
      </c>
      <c r="C588" t="s">
        <v>91</v>
      </c>
      <c r="D588" t="s">
        <v>57</v>
      </c>
      <c r="E588">
        <v>88</v>
      </c>
      <c r="F588" t="s">
        <v>58</v>
      </c>
      <c r="G588" t="s">
        <v>59</v>
      </c>
      <c r="H588" t="s">
        <v>60</v>
      </c>
      <c r="I588" t="s">
        <v>129</v>
      </c>
      <c r="J588">
        <v>30</v>
      </c>
      <c r="K588" t="s">
        <v>61</v>
      </c>
      <c r="L588" t="s">
        <v>74</v>
      </c>
      <c r="M588" t="s">
        <v>63</v>
      </c>
      <c r="N588" t="s">
        <v>64</v>
      </c>
      <c r="P588" t="s">
        <v>65</v>
      </c>
      <c r="R588">
        <v>0.26100000000000001</v>
      </c>
      <c r="T588">
        <v>0.19700000000000001</v>
      </c>
      <c r="V588">
        <v>0.34599999999999997</v>
      </c>
      <c r="W588" t="s">
        <v>66</v>
      </c>
      <c r="X588" t="s">
        <v>67</v>
      </c>
      <c r="Y588" t="s">
        <v>67</v>
      </c>
      <c r="Z588" t="s">
        <v>68</v>
      </c>
      <c r="AB588">
        <v>4</v>
      </c>
      <c r="AC588" t="s">
        <v>61</v>
      </c>
      <c r="AJ588" t="s">
        <v>69</v>
      </c>
      <c r="AY588" t="s">
        <v>685</v>
      </c>
      <c r="AZ588">
        <v>10679</v>
      </c>
      <c r="BA588" t="s">
        <v>686</v>
      </c>
      <c r="BB588" t="s">
        <v>687</v>
      </c>
      <c r="BC588">
        <v>1985</v>
      </c>
      <c r="BD588" t="s">
        <v>73</v>
      </c>
    </row>
    <row r="589" spans="1:56" x14ac:dyDescent="0.35">
      <c r="A589">
        <v>87865</v>
      </c>
      <c r="B589" t="s">
        <v>684</v>
      </c>
      <c r="C589" t="s">
        <v>195</v>
      </c>
      <c r="D589" t="s">
        <v>85</v>
      </c>
      <c r="E589" t="s">
        <v>86</v>
      </c>
      <c r="F589" t="s">
        <v>58</v>
      </c>
      <c r="G589" t="s">
        <v>59</v>
      </c>
      <c r="H589" t="s">
        <v>60</v>
      </c>
      <c r="I589" t="s">
        <v>129</v>
      </c>
      <c r="J589" t="s">
        <v>86</v>
      </c>
      <c r="L589" t="s">
        <v>62</v>
      </c>
      <c r="M589" t="s">
        <v>63</v>
      </c>
      <c r="N589" t="s">
        <v>64</v>
      </c>
      <c r="O589">
        <v>5</v>
      </c>
      <c r="P589" t="s">
        <v>65</v>
      </c>
      <c r="R589">
        <v>0.32</v>
      </c>
      <c r="W589" t="s">
        <v>66</v>
      </c>
      <c r="X589" t="s">
        <v>67</v>
      </c>
      <c r="Y589" t="s">
        <v>67</v>
      </c>
      <c r="Z589" t="s">
        <v>68</v>
      </c>
      <c r="AB589">
        <v>4</v>
      </c>
      <c r="AC589" t="s">
        <v>61</v>
      </c>
      <c r="AJ589" t="s">
        <v>69</v>
      </c>
      <c r="AY589" t="s">
        <v>298</v>
      </c>
      <c r="AZ589">
        <v>11951</v>
      </c>
      <c r="BA589" t="s">
        <v>299</v>
      </c>
      <c r="BB589" t="s">
        <v>300</v>
      </c>
      <c r="BC589">
        <v>1986</v>
      </c>
      <c r="BD589" t="s">
        <v>90</v>
      </c>
    </row>
    <row r="590" spans="1:56" x14ac:dyDescent="0.35">
      <c r="A590">
        <v>87865</v>
      </c>
      <c r="B590" t="s">
        <v>684</v>
      </c>
      <c r="D590" t="s">
        <v>85</v>
      </c>
      <c r="E590" t="s">
        <v>86</v>
      </c>
      <c r="F590" t="s">
        <v>58</v>
      </c>
      <c r="G590" t="s">
        <v>59</v>
      </c>
      <c r="H590" t="s">
        <v>60</v>
      </c>
      <c r="I590" t="s">
        <v>129</v>
      </c>
      <c r="J590" t="s">
        <v>86</v>
      </c>
      <c r="K590" t="s">
        <v>196</v>
      </c>
      <c r="L590" t="s">
        <v>62</v>
      </c>
      <c r="M590" t="s">
        <v>63</v>
      </c>
      <c r="N590" t="s">
        <v>64</v>
      </c>
      <c r="P590" t="s">
        <v>100</v>
      </c>
      <c r="R590">
        <v>0.6</v>
      </c>
      <c r="W590" t="s">
        <v>66</v>
      </c>
      <c r="X590" t="s">
        <v>67</v>
      </c>
      <c r="Y590" t="s">
        <v>67</v>
      </c>
      <c r="Z590" t="s">
        <v>68</v>
      </c>
      <c r="AB590">
        <v>4</v>
      </c>
      <c r="AC590" t="s">
        <v>61</v>
      </c>
      <c r="AJ590" t="s">
        <v>69</v>
      </c>
      <c r="AY590" t="s">
        <v>338</v>
      </c>
      <c r="AZ590">
        <v>719</v>
      </c>
      <c r="BA590" t="s">
        <v>339</v>
      </c>
      <c r="BB590" t="s">
        <v>340</v>
      </c>
      <c r="BC590">
        <v>1976</v>
      </c>
      <c r="BD590" t="s">
        <v>341</v>
      </c>
    </row>
    <row r="591" spans="1:56" x14ac:dyDescent="0.35">
      <c r="A591">
        <v>87865</v>
      </c>
      <c r="B591" t="s">
        <v>684</v>
      </c>
      <c r="D591" t="s">
        <v>57</v>
      </c>
      <c r="E591" t="s">
        <v>128</v>
      </c>
      <c r="F591" t="s">
        <v>58</v>
      </c>
      <c r="G591" t="s">
        <v>59</v>
      </c>
      <c r="H591" t="s">
        <v>60</v>
      </c>
      <c r="I591" t="s">
        <v>129</v>
      </c>
      <c r="J591" t="s">
        <v>86</v>
      </c>
      <c r="K591" t="s">
        <v>61</v>
      </c>
      <c r="L591" t="s">
        <v>74</v>
      </c>
      <c r="M591" t="s">
        <v>63</v>
      </c>
      <c r="N591" t="s">
        <v>64</v>
      </c>
      <c r="P591" t="s">
        <v>65</v>
      </c>
      <c r="R591">
        <v>0.56399999999999995</v>
      </c>
      <c r="W591" t="s">
        <v>66</v>
      </c>
      <c r="X591" t="s">
        <v>67</v>
      </c>
      <c r="Y591" t="s">
        <v>67</v>
      </c>
      <c r="Z591" t="s">
        <v>68</v>
      </c>
      <c r="AB591">
        <v>4</v>
      </c>
      <c r="AC591" t="s">
        <v>61</v>
      </c>
      <c r="AJ591" t="s">
        <v>69</v>
      </c>
      <c r="AY591" t="s">
        <v>134</v>
      </c>
      <c r="AZ591">
        <v>15031</v>
      </c>
      <c r="BA591" t="s">
        <v>135</v>
      </c>
      <c r="BB591" t="s">
        <v>136</v>
      </c>
      <c r="BC591">
        <v>1995</v>
      </c>
      <c r="BD591" t="s">
        <v>133</v>
      </c>
    </row>
    <row r="592" spans="1:56" x14ac:dyDescent="0.35">
      <c r="A592">
        <v>87865</v>
      </c>
      <c r="B592" t="s">
        <v>684</v>
      </c>
      <c r="D592" t="s">
        <v>57</v>
      </c>
      <c r="E592">
        <v>88</v>
      </c>
      <c r="F592" t="s">
        <v>58</v>
      </c>
      <c r="G592" t="s">
        <v>59</v>
      </c>
      <c r="H592" t="s">
        <v>60</v>
      </c>
      <c r="J592">
        <v>44</v>
      </c>
      <c r="K592" t="s">
        <v>61</v>
      </c>
      <c r="L592" t="s">
        <v>74</v>
      </c>
      <c r="M592" t="s">
        <v>63</v>
      </c>
      <c r="N592" t="s">
        <v>64</v>
      </c>
      <c r="P592" t="s">
        <v>65</v>
      </c>
      <c r="R592">
        <v>0.23699999999999999</v>
      </c>
      <c r="W592" t="s">
        <v>66</v>
      </c>
      <c r="X592" t="s">
        <v>67</v>
      </c>
      <c r="Y592" t="s">
        <v>67</v>
      </c>
      <c r="Z592" t="s">
        <v>68</v>
      </c>
      <c r="AB592">
        <v>4</v>
      </c>
      <c r="AC592" t="s">
        <v>61</v>
      </c>
      <c r="AJ592" t="s">
        <v>69</v>
      </c>
      <c r="AY592" t="s">
        <v>141</v>
      </c>
      <c r="AZ592">
        <v>12447</v>
      </c>
      <c r="BA592" t="s">
        <v>142</v>
      </c>
      <c r="BB592" t="s">
        <v>143</v>
      </c>
      <c r="BC592">
        <v>1985</v>
      </c>
      <c r="BD592" t="s">
        <v>73</v>
      </c>
    </row>
    <row r="593" spans="1:56" x14ac:dyDescent="0.35">
      <c r="A593">
        <v>87865</v>
      </c>
      <c r="B593" t="s">
        <v>684</v>
      </c>
      <c r="E593">
        <v>96</v>
      </c>
      <c r="F593" t="s">
        <v>58</v>
      </c>
      <c r="G593" t="s">
        <v>59</v>
      </c>
      <c r="H593" t="s">
        <v>60</v>
      </c>
      <c r="J593" t="s">
        <v>86</v>
      </c>
      <c r="L593" t="s">
        <v>74</v>
      </c>
      <c r="M593" t="s">
        <v>63</v>
      </c>
      <c r="N593" t="s">
        <v>64</v>
      </c>
      <c r="P593" t="s">
        <v>65</v>
      </c>
      <c r="R593">
        <v>0.20499999999999999</v>
      </c>
      <c r="T593">
        <v>0.18</v>
      </c>
      <c r="V593">
        <v>0.23400000000000001</v>
      </c>
      <c r="W593" t="s">
        <v>66</v>
      </c>
      <c r="X593" t="s">
        <v>67</v>
      </c>
      <c r="Y593" t="s">
        <v>67</v>
      </c>
      <c r="Z593" t="s">
        <v>68</v>
      </c>
      <c r="AB593">
        <v>4</v>
      </c>
      <c r="AC593" t="s">
        <v>61</v>
      </c>
      <c r="AJ593" t="s">
        <v>69</v>
      </c>
      <c r="AY593" t="s">
        <v>96</v>
      </c>
      <c r="AZ593">
        <v>6797</v>
      </c>
      <c r="BA593" t="s">
        <v>97</v>
      </c>
      <c r="BB593" t="s">
        <v>98</v>
      </c>
      <c r="BC593">
        <v>1986</v>
      </c>
      <c r="BD593" t="s">
        <v>90</v>
      </c>
    </row>
    <row r="594" spans="1:56" x14ac:dyDescent="0.35">
      <c r="A594">
        <v>87865</v>
      </c>
      <c r="B594" t="s">
        <v>684</v>
      </c>
      <c r="D594" t="s">
        <v>85</v>
      </c>
      <c r="E594">
        <v>99</v>
      </c>
      <c r="F594" t="s">
        <v>58</v>
      </c>
      <c r="G594" t="s">
        <v>59</v>
      </c>
      <c r="H594" t="s">
        <v>60</v>
      </c>
      <c r="J594" t="s">
        <v>86</v>
      </c>
      <c r="L594" t="s">
        <v>62</v>
      </c>
      <c r="M594" t="s">
        <v>63</v>
      </c>
      <c r="N594" t="s">
        <v>64</v>
      </c>
      <c r="P594" t="s">
        <v>65</v>
      </c>
      <c r="R594">
        <v>0.25</v>
      </c>
      <c r="T594">
        <v>0.14000000000000001</v>
      </c>
      <c r="V594">
        <v>0.44</v>
      </c>
      <c r="W594" t="s">
        <v>66</v>
      </c>
      <c r="X594" t="s">
        <v>67</v>
      </c>
      <c r="Y594" t="s">
        <v>67</v>
      </c>
      <c r="Z594" t="s">
        <v>68</v>
      </c>
      <c r="AB594">
        <v>4</v>
      </c>
      <c r="AC594" t="s">
        <v>61</v>
      </c>
      <c r="AJ594" t="s">
        <v>69</v>
      </c>
      <c r="AY594" t="s">
        <v>328</v>
      </c>
      <c r="AZ594">
        <v>65396</v>
      </c>
      <c r="BA594" t="s">
        <v>329</v>
      </c>
      <c r="BB594" t="s">
        <v>330</v>
      </c>
      <c r="BC594">
        <v>2001</v>
      </c>
      <c r="BD594" t="s">
        <v>90</v>
      </c>
    </row>
    <row r="595" spans="1:56" x14ac:dyDescent="0.35">
      <c r="A595">
        <v>87865</v>
      </c>
      <c r="B595" t="s">
        <v>684</v>
      </c>
      <c r="D595" t="s">
        <v>57</v>
      </c>
      <c r="E595">
        <v>88</v>
      </c>
      <c r="F595" t="s">
        <v>58</v>
      </c>
      <c r="G595" t="s">
        <v>59</v>
      </c>
      <c r="H595" t="s">
        <v>60</v>
      </c>
      <c r="J595">
        <v>30</v>
      </c>
      <c r="K595" t="s">
        <v>61</v>
      </c>
      <c r="L595" t="s">
        <v>74</v>
      </c>
      <c r="M595" t="s">
        <v>63</v>
      </c>
      <c r="N595" t="s">
        <v>64</v>
      </c>
      <c r="P595" t="s">
        <v>65</v>
      </c>
      <c r="R595">
        <v>0.38100000000000001</v>
      </c>
      <c r="T595">
        <v>0.31</v>
      </c>
      <c r="V595">
        <v>0.46899999999999997</v>
      </c>
      <c r="W595" t="s">
        <v>66</v>
      </c>
      <c r="X595" t="s">
        <v>67</v>
      </c>
      <c r="Y595" t="s">
        <v>67</v>
      </c>
      <c r="Z595" t="s">
        <v>68</v>
      </c>
      <c r="AB595">
        <v>4</v>
      </c>
      <c r="AC595" t="s">
        <v>61</v>
      </c>
      <c r="AJ595" t="s">
        <v>69</v>
      </c>
      <c r="AY595" t="s">
        <v>75</v>
      </c>
      <c r="AZ595">
        <v>3217</v>
      </c>
      <c r="BA595" t="s">
        <v>76</v>
      </c>
      <c r="BB595" t="s">
        <v>77</v>
      </c>
      <c r="BC595">
        <v>1990</v>
      </c>
      <c r="BD595" t="s">
        <v>73</v>
      </c>
    </row>
    <row r="596" spans="1:56" x14ac:dyDescent="0.35">
      <c r="A596">
        <v>87865</v>
      </c>
      <c r="B596" t="s">
        <v>684</v>
      </c>
      <c r="D596" t="s">
        <v>57</v>
      </c>
      <c r="E596">
        <v>99</v>
      </c>
      <c r="F596" t="s">
        <v>58</v>
      </c>
      <c r="G596" t="s">
        <v>59</v>
      </c>
      <c r="H596" t="s">
        <v>60</v>
      </c>
      <c r="J596">
        <v>32</v>
      </c>
      <c r="K596" t="s">
        <v>61</v>
      </c>
      <c r="L596" t="s">
        <v>74</v>
      </c>
      <c r="M596" t="s">
        <v>63</v>
      </c>
      <c r="N596" t="s">
        <v>64</v>
      </c>
      <c r="P596" t="s">
        <v>65</v>
      </c>
      <c r="R596">
        <v>0.35</v>
      </c>
      <c r="T596">
        <v>0.31</v>
      </c>
      <c r="V596">
        <v>0.39</v>
      </c>
      <c r="W596" t="s">
        <v>66</v>
      </c>
      <c r="X596" t="s">
        <v>67</v>
      </c>
      <c r="Y596" t="s">
        <v>67</v>
      </c>
      <c r="Z596" t="s">
        <v>68</v>
      </c>
      <c r="AB596">
        <v>4</v>
      </c>
      <c r="AC596" t="s">
        <v>61</v>
      </c>
      <c r="AJ596" t="s">
        <v>69</v>
      </c>
      <c r="AY596" t="s">
        <v>141</v>
      </c>
      <c r="AZ596">
        <v>12447</v>
      </c>
      <c r="BA596" t="s">
        <v>142</v>
      </c>
      <c r="BB596" t="s">
        <v>143</v>
      </c>
      <c r="BC596">
        <v>1985</v>
      </c>
      <c r="BD596" t="s">
        <v>73</v>
      </c>
    </row>
    <row r="597" spans="1:56" x14ac:dyDescent="0.35">
      <c r="A597">
        <v>87865</v>
      </c>
      <c r="B597" t="s">
        <v>684</v>
      </c>
      <c r="C597" t="s">
        <v>91</v>
      </c>
      <c r="D597" t="s">
        <v>57</v>
      </c>
      <c r="E597">
        <v>88</v>
      </c>
      <c r="F597" t="s">
        <v>58</v>
      </c>
      <c r="G597" t="s">
        <v>59</v>
      </c>
      <c r="H597" t="s">
        <v>60</v>
      </c>
      <c r="I597" t="s">
        <v>129</v>
      </c>
      <c r="J597">
        <v>30</v>
      </c>
      <c r="K597" t="s">
        <v>61</v>
      </c>
      <c r="L597" t="s">
        <v>74</v>
      </c>
      <c r="M597" t="s">
        <v>63</v>
      </c>
      <c r="N597" t="s">
        <v>64</v>
      </c>
      <c r="P597" t="s">
        <v>65</v>
      </c>
      <c r="R597">
        <v>0.218</v>
      </c>
      <c r="T597">
        <v>0.16900000000000001</v>
      </c>
      <c r="V597">
        <v>0.28000000000000003</v>
      </c>
      <c r="W597" t="s">
        <v>66</v>
      </c>
      <c r="X597" t="s">
        <v>67</v>
      </c>
      <c r="Y597" t="s">
        <v>67</v>
      </c>
      <c r="Z597" t="s">
        <v>68</v>
      </c>
      <c r="AB597">
        <v>4</v>
      </c>
      <c r="AC597" t="s">
        <v>61</v>
      </c>
      <c r="AJ597" t="s">
        <v>69</v>
      </c>
      <c r="AY597" t="s">
        <v>685</v>
      </c>
      <c r="AZ597">
        <v>10679</v>
      </c>
      <c r="BA597" t="s">
        <v>686</v>
      </c>
      <c r="BB597" t="s">
        <v>687</v>
      </c>
      <c r="BC597">
        <v>1985</v>
      </c>
      <c r="BD597" t="s">
        <v>73</v>
      </c>
    </row>
    <row r="598" spans="1:56" x14ac:dyDescent="0.35">
      <c r="A598">
        <v>87865</v>
      </c>
      <c r="B598" t="s">
        <v>684</v>
      </c>
      <c r="D598" t="s">
        <v>85</v>
      </c>
      <c r="E598">
        <v>99</v>
      </c>
      <c r="F598" t="s">
        <v>58</v>
      </c>
      <c r="G598" t="s">
        <v>59</v>
      </c>
      <c r="H598" t="s">
        <v>60</v>
      </c>
      <c r="J598" t="s">
        <v>86</v>
      </c>
      <c r="L598" t="s">
        <v>62</v>
      </c>
      <c r="M598" t="s">
        <v>63</v>
      </c>
      <c r="N598" t="s">
        <v>64</v>
      </c>
      <c r="O598">
        <v>8</v>
      </c>
      <c r="P598" t="s">
        <v>65</v>
      </c>
      <c r="R598">
        <v>0.23</v>
      </c>
      <c r="T598">
        <v>0.11</v>
      </c>
      <c r="V598">
        <v>0.49</v>
      </c>
      <c r="W598" t="s">
        <v>66</v>
      </c>
      <c r="X598" t="s">
        <v>67</v>
      </c>
      <c r="Y598" t="s">
        <v>67</v>
      </c>
      <c r="Z598" t="s">
        <v>68</v>
      </c>
      <c r="AB598">
        <v>4</v>
      </c>
      <c r="AC598" t="s">
        <v>61</v>
      </c>
      <c r="AJ598" t="s">
        <v>69</v>
      </c>
      <c r="AY598" t="s">
        <v>314</v>
      </c>
      <c r="AZ598">
        <v>73668</v>
      </c>
      <c r="BA598" t="s">
        <v>315</v>
      </c>
      <c r="BB598" t="s">
        <v>316</v>
      </c>
      <c r="BC598">
        <v>1995</v>
      </c>
      <c r="BD598" t="s">
        <v>90</v>
      </c>
    </row>
    <row r="599" spans="1:56" x14ac:dyDescent="0.35">
      <c r="A599">
        <v>87865</v>
      </c>
      <c r="B599" t="s">
        <v>684</v>
      </c>
      <c r="D599" t="s">
        <v>85</v>
      </c>
      <c r="E599" t="s">
        <v>86</v>
      </c>
      <c r="F599" t="s">
        <v>58</v>
      </c>
      <c r="G599" t="s">
        <v>59</v>
      </c>
      <c r="H599" t="s">
        <v>60</v>
      </c>
      <c r="J599" t="s">
        <v>86</v>
      </c>
      <c r="M599" t="s">
        <v>63</v>
      </c>
      <c r="N599" t="s">
        <v>64</v>
      </c>
      <c r="P599" t="s">
        <v>100</v>
      </c>
      <c r="R599">
        <v>0.27</v>
      </c>
      <c r="W599" t="s">
        <v>66</v>
      </c>
      <c r="X599" t="s">
        <v>67</v>
      </c>
      <c r="Y599" t="s">
        <v>67</v>
      </c>
      <c r="Z599" t="s">
        <v>68</v>
      </c>
      <c r="AB599">
        <v>4</v>
      </c>
      <c r="AC599" t="s">
        <v>61</v>
      </c>
      <c r="AJ599" t="s">
        <v>69</v>
      </c>
      <c r="AY599" t="s">
        <v>314</v>
      </c>
      <c r="AZ599">
        <v>73668</v>
      </c>
      <c r="BA599" t="s">
        <v>315</v>
      </c>
      <c r="BB599" t="s">
        <v>316</v>
      </c>
      <c r="BC599">
        <v>1995</v>
      </c>
      <c r="BD599" t="s">
        <v>90</v>
      </c>
    </row>
    <row r="600" spans="1:56" x14ac:dyDescent="0.35">
      <c r="A600">
        <v>87865</v>
      </c>
      <c r="B600" t="s">
        <v>684</v>
      </c>
      <c r="D600" t="s">
        <v>85</v>
      </c>
      <c r="E600">
        <v>99</v>
      </c>
      <c r="F600" t="s">
        <v>58</v>
      </c>
      <c r="G600" t="s">
        <v>59</v>
      </c>
      <c r="H600" t="s">
        <v>60</v>
      </c>
      <c r="J600" t="s">
        <v>86</v>
      </c>
      <c r="L600" t="s">
        <v>62</v>
      </c>
      <c r="M600" t="s">
        <v>63</v>
      </c>
      <c r="N600" t="s">
        <v>64</v>
      </c>
      <c r="O600">
        <v>8</v>
      </c>
      <c r="P600" t="s">
        <v>65</v>
      </c>
      <c r="R600">
        <v>0.14000000000000001</v>
      </c>
      <c r="T600">
        <v>0.13</v>
      </c>
      <c r="V600">
        <v>0.16</v>
      </c>
      <c r="W600" t="s">
        <v>66</v>
      </c>
      <c r="X600" t="s">
        <v>67</v>
      </c>
      <c r="Y600" t="s">
        <v>67</v>
      </c>
      <c r="Z600" t="s">
        <v>68</v>
      </c>
      <c r="AB600">
        <v>4</v>
      </c>
      <c r="AC600" t="s">
        <v>61</v>
      </c>
      <c r="AJ600" t="s">
        <v>69</v>
      </c>
      <c r="AY600" t="s">
        <v>314</v>
      </c>
      <c r="AZ600">
        <v>73668</v>
      </c>
      <c r="BA600" t="s">
        <v>315</v>
      </c>
      <c r="BB600" t="s">
        <v>316</v>
      </c>
      <c r="BC600">
        <v>1995</v>
      </c>
      <c r="BD600" t="s">
        <v>90</v>
      </c>
    </row>
    <row r="601" spans="1:56" x14ac:dyDescent="0.35">
      <c r="A601">
        <v>87865</v>
      </c>
      <c r="B601" t="s">
        <v>684</v>
      </c>
      <c r="C601" t="s">
        <v>91</v>
      </c>
      <c r="D601" t="s">
        <v>57</v>
      </c>
      <c r="E601">
        <v>88</v>
      </c>
      <c r="F601" t="s">
        <v>58</v>
      </c>
      <c r="G601" t="s">
        <v>59</v>
      </c>
      <c r="H601" t="s">
        <v>60</v>
      </c>
      <c r="I601" t="s">
        <v>129</v>
      </c>
      <c r="J601">
        <v>30</v>
      </c>
      <c r="K601" t="s">
        <v>61</v>
      </c>
      <c r="L601" t="s">
        <v>74</v>
      </c>
      <c r="M601" t="s">
        <v>63</v>
      </c>
      <c r="N601" t="s">
        <v>64</v>
      </c>
      <c r="P601" t="s">
        <v>65</v>
      </c>
      <c r="R601">
        <v>0.378</v>
      </c>
      <c r="T601">
        <v>0.307</v>
      </c>
      <c r="V601">
        <v>0.46400000000000002</v>
      </c>
      <c r="W601" t="s">
        <v>66</v>
      </c>
      <c r="X601" t="s">
        <v>67</v>
      </c>
      <c r="Y601" t="s">
        <v>67</v>
      </c>
      <c r="Z601" t="s">
        <v>68</v>
      </c>
      <c r="AB601">
        <v>4</v>
      </c>
      <c r="AC601" t="s">
        <v>61</v>
      </c>
      <c r="AJ601" t="s">
        <v>69</v>
      </c>
      <c r="AY601" t="s">
        <v>685</v>
      </c>
      <c r="AZ601">
        <v>10679</v>
      </c>
      <c r="BA601" t="s">
        <v>686</v>
      </c>
      <c r="BB601" t="s">
        <v>687</v>
      </c>
      <c r="BC601">
        <v>1985</v>
      </c>
      <c r="BD601" t="s">
        <v>73</v>
      </c>
    </row>
    <row r="602" spans="1:56" x14ac:dyDescent="0.35">
      <c r="A602">
        <v>87865</v>
      </c>
      <c r="B602" t="s">
        <v>684</v>
      </c>
      <c r="C602" t="s">
        <v>91</v>
      </c>
      <c r="D602" t="s">
        <v>85</v>
      </c>
      <c r="E602">
        <v>99</v>
      </c>
      <c r="F602" t="s">
        <v>58</v>
      </c>
      <c r="G602" t="s">
        <v>59</v>
      </c>
      <c r="H602" t="s">
        <v>60</v>
      </c>
      <c r="J602" t="s">
        <v>86</v>
      </c>
      <c r="L602" t="s">
        <v>62</v>
      </c>
      <c r="M602" t="s">
        <v>63</v>
      </c>
      <c r="N602" t="s">
        <v>64</v>
      </c>
      <c r="O602">
        <v>8</v>
      </c>
      <c r="P602" t="s">
        <v>65</v>
      </c>
      <c r="R602">
        <v>0.25</v>
      </c>
      <c r="W602" t="s">
        <v>66</v>
      </c>
      <c r="X602" t="s">
        <v>67</v>
      </c>
      <c r="Y602" t="s">
        <v>67</v>
      </c>
      <c r="Z602" t="s">
        <v>68</v>
      </c>
      <c r="AB602">
        <v>4</v>
      </c>
      <c r="AC602" t="s">
        <v>61</v>
      </c>
      <c r="AJ602" t="s">
        <v>69</v>
      </c>
      <c r="AY602" t="s">
        <v>334</v>
      </c>
      <c r="AZ602">
        <v>81380</v>
      </c>
      <c r="BA602" t="s">
        <v>335</v>
      </c>
      <c r="BB602" t="s">
        <v>336</v>
      </c>
      <c r="BC602">
        <v>2005</v>
      </c>
      <c r="BD602" t="s">
        <v>90</v>
      </c>
    </row>
    <row r="603" spans="1:56" x14ac:dyDescent="0.35">
      <c r="A603">
        <v>87865</v>
      </c>
      <c r="B603" t="s">
        <v>684</v>
      </c>
      <c r="D603" t="s">
        <v>85</v>
      </c>
      <c r="E603">
        <v>99</v>
      </c>
      <c r="F603" t="s">
        <v>58</v>
      </c>
      <c r="G603" t="s">
        <v>59</v>
      </c>
      <c r="H603" t="s">
        <v>60</v>
      </c>
      <c r="J603" t="s">
        <v>86</v>
      </c>
      <c r="L603" t="s">
        <v>62</v>
      </c>
      <c r="M603" t="s">
        <v>63</v>
      </c>
      <c r="N603" t="s">
        <v>64</v>
      </c>
      <c r="O603">
        <v>8</v>
      </c>
      <c r="P603" t="s">
        <v>65</v>
      </c>
      <c r="R603">
        <v>0.27</v>
      </c>
      <c r="T603">
        <v>0.24</v>
      </c>
      <c r="V603">
        <v>0.31</v>
      </c>
      <c r="W603" t="s">
        <v>66</v>
      </c>
      <c r="X603" t="s">
        <v>67</v>
      </c>
      <c r="Y603" t="s">
        <v>67</v>
      </c>
      <c r="Z603" t="s">
        <v>68</v>
      </c>
      <c r="AB603">
        <v>4</v>
      </c>
      <c r="AC603" t="s">
        <v>61</v>
      </c>
      <c r="AJ603" t="s">
        <v>69</v>
      </c>
      <c r="AY603" t="s">
        <v>314</v>
      </c>
      <c r="AZ603">
        <v>73668</v>
      </c>
      <c r="BA603" t="s">
        <v>315</v>
      </c>
      <c r="BB603" t="s">
        <v>316</v>
      </c>
      <c r="BC603">
        <v>1995</v>
      </c>
      <c r="BD603" t="s">
        <v>90</v>
      </c>
    </row>
    <row r="604" spans="1:56" x14ac:dyDescent="0.35">
      <c r="A604">
        <v>87865</v>
      </c>
      <c r="B604" t="s">
        <v>684</v>
      </c>
      <c r="D604" t="s">
        <v>85</v>
      </c>
      <c r="E604">
        <v>99</v>
      </c>
      <c r="F604" t="s">
        <v>58</v>
      </c>
      <c r="G604" t="s">
        <v>59</v>
      </c>
      <c r="H604" t="s">
        <v>60</v>
      </c>
      <c r="J604" t="s">
        <v>86</v>
      </c>
      <c r="L604" t="s">
        <v>62</v>
      </c>
      <c r="M604" t="s">
        <v>63</v>
      </c>
      <c r="N604" t="s">
        <v>64</v>
      </c>
      <c r="O604">
        <v>8</v>
      </c>
      <c r="P604" t="s">
        <v>65</v>
      </c>
      <c r="R604">
        <v>0.22</v>
      </c>
      <c r="T604">
        <v>0.2</v>
      </c>
      <c r="V604">
        <v>0.24</v>
      </c>
      <c r="W604" t="s">
        <v>66</v>
      </c>
      <c r="X604" t="s">
        <v>67</v>
      </c>
      <c r="Y604" t="s">
        <v>67</v>
      </c>
      <c r="Z604" t="s">
        <v>68</v>
      </c>
      <c r="AB604">
        <v>4</v>
      </c>
      <c r="AC604" t="s">
        <v>61</v>
      </c>
      <c r="AJ604" t="s">
        <v>69</v>
      </c>
      <c r="AY604" t="s">
        <v>314</v>
      </c>
      <c r="AZ604">
        <v>73668</v>
      </c>
      <c r="BA604" t="s">
        <v>315</v>
      </c>
      <c r="BB604" t="s">
        <v>316</v>
      </c>
      <c r="BC604">
        <v>1995</v>
      </c>
      <c r="BD604" t="s">
        <v>90</v>
      </c>
    </row>
    <row r="605" spans="1:56" x14ac:dyDescent="0.35">
      <c r="A605">
        <v>87865</v>
      </c>
      <c r="B605" t="s">
        <v>684</v>
      </c>
      <c r="D605" t="s">
        <v>57</v>
      </c>
      <c r="E605" t="s">
        <v>86</v>
      </c>
      <c r="F605" t="s">
        <v>58</v>
      </c>
      <c r="G605" t="s">
        <v>59</v>
      </c>
      <c r="H605" t="s">
        <v>60</v>
      </c>
      <c r="I605" t="s">
        <v>211</v>
      </c>
      <c r="J605" t="s">
        <v>86</v>
      </c>
      <c r="L605" t="s">
        <v>74</v>
      </c>
      <c r="M605" t="s">
        <v>63</v>
      </c>
      <c r="N605" t="s">
        <v>64</v>
      </c>
      <c r="P605" t="s">
        <v>65</v>
      </c>
      <c r="R605">
        <v>0.12</v>
      </c>
      <c r="T605">
        <v>7.9000000000000001E-2</v>
      </c>
      <c r="V605">
        <v>0.187</v>
      </c>
      <c r="W605" t="s">
        <v>66</v>
      </c>
      <c r="X605" t="s">
        <v>67</v>
      </c>
      <c r="Y605" t="s">
        <v>67</v>
      </c>
      <c r="Z605" t="s">
        <v>68</v>
      </c>
      <c r="AB605">
        <v>4</v>
      </c>
      <c r="AC605" t="s">
        <v>61</v>
      </c>
      <c r="AJ605" t="s">
        <v>69</v>
      </c>
      <c r="AY605" t="s">
        <v>688</v>
      </c>
      <c r="AZ605">
        <v>11958</v>
      </c>
      <c r="BA605" t="s">
        <v>689</v>
      </c>
      <c r="BB605" t="s">
        <v>690</v>
      </c>
      <c r="BC605">
        <v>1986</v>
      </c>
      <c r="BD605" t="s">
        <v>90</v>
      </c>
    </row>
    <row r="606" spans="1:56" x14ac:dyDescent="0.35">
      <c r="A606">
        <v>87865</v>
      </c>
      <c r="B606" t="s">
        <v>684</v>
      </c>
      <c r="D606" t="s">
        <v>57</v>
      </c>
      <c r="E606" t="s">
        <v>86</v>
      </c>
      <c r="F606" t="s">
        <v>58</v>
      </c>
      <c r="G606" t="s">
        <v>59</v>
      </c>
      <c r="H606" t="s">
        <v>60</v>
      </c>
      <c r="I606" t="s">
        <v>177</v>
      </c>
      <c r="J606">
        <v>1</v>
      </c>
      <c r="K606" t="s">
        <v>61</v>
      </c>
      <c r="L606" t="s">
        <v>74</v>
      </c>
      <c r="M606" t="s">
        <v>63</v>
      </c>
      <c r="N606" t="s">
        <v>64</v>
      </c>
      <c r="P606" t="s">
        <v>65</v>
      </c>
      <c r="R606">
        <v>0.314</v>
      </c>
      <c r="T606">
        <v>0.26200000000000001</v>
      </c>
      <c r="V606">
        <v>0.376</v>
      </c>
      <c r="W606" t="s">
        <v>66</v>
      </c>
      <c r="X606" t="s">
        <v>67</v>
      </c>
      <c r="Y606" t="s">
        <v>67</v>
      </c>
      <c r="Z606" t="s">
        <v>68</v>
      </c>
      <c r="AB606">
        <v>4</v>
      </c>
      <c r="AC606" t="s">
        <v>61</v>
      </c>
      <c r="AJ606" t="s">
        <v>69</v>
      </c>
      <c r="AY606" t="s">
        <v>688</v>
      </c>
      <c r="AZ606">
        <v>11958</v>
      </c>
      <c r="BA606" t="s">
        <v>689</v>
      </c>
      <c r="BB606" t="s">
        <v>690</v>
      </c>
      <c r="BC606">
        <v>1986</v>
      </c>
      <c r="BD606" t="s">
        <v>73</v>
      </c>
    </row>
    <row r="607" spans="1:56" x14ac:dyDescent="0.35">
      <c r="A607">
        <v>87865</v>
      </c>
      <c r="B607" t="s">
        <v>684</v>
      </c>
      <c r="D607" t="s">
        <v>57</v>
      </c>
      <c r="E607" t="s">
        <v>86</v>
      </c>
      <c r="F607" t="s">
        <v>58</v>
      </c>
      <c r="G607" t="s">
        <v>59</v>
      </c>
      <c r="H607" t="s">
        <v>60</v>
      </c>
      <c r="I607" t="s">
        <v>129</v>
      </c>
      <c r="J607" t="s">
        <v>86</v>
      </c>
      <c r="K607" t="s">
        <v>61</v>
      </c>
      <c r="L607" t="s">
        <v>74</v>
      </c>
      <c r="M607" t="s">
        <v>63</v>
      </c>
      <c r="N607" t="s">
        <v>64</v>
      </c>
      <c r="P607" t="s">
        <v>65</v>
      </c>
      <c r="R607">
        <v>0.51</v>
      </c>
      <c r="T607">
        <v>0.43</v>
      </c>
      <c r="V607">
        <v>0.61</v>
      </c>
      <c r="W607" t="s">
        <v>66</v>
      </c>
      <c r="X607" t="s">
        <v>67</v>
      </c>
      <c r="Y607" t="s">
        <v>67</v>
      </c>
      <c r="Z607" t="s">
        <v>68</v>
      </c>
      <c r="AB607">
        <v>4</v>
      </c>
      <c r="AC607" t="s">
        <v>61</v>
      </c>
      <c r="AJ607" t="s">
        <v>69</v>
      </c>
      <c r="AY607" t="s">
        <v>688</v>
      </c>
      <c r="AZ607">
        <v>11958</v>
      </c>
      <c r="BA607" t="s">
        <v>689</v>
      </c>
      <c r="BB607" t="s">
        <v>690</v>
      </c>
      <c r="BC607">
        <v>1986</v>
      </c>
      <c r="BD607" t="s">
        <v>691</v>
      </c>
    </row>
    <row r="608" spans="1:56" x14ac:dyDescent="0.35">
      <c r="A608">
        <v>87865</v>
      </c>
      <c r="B608" t="s">
        <v>684</v>
      </c>
      <c r="D608" t="s">
        <v>85</v>
      </c>
      <c r="E608">
        <v>99</v>
      </c>
      <c r="F608" t="s">
        <v>58</v>
      </c>
      <c r="G608" t="s">
        <v>59</v>
      </c>
      <c r="H608" t="s">
        <v>60</v>
      </c>
      <c r="J608" t="s">
        <v>86</v>
      </c>
      <c r="L608" t="s">
        <v>62</v>
      </c>
      <c r="M608" t="s">
        <v>63</v>
      </c>
      <c r="N608" t="s">
        <v>64</v>
      </c>
      <c r="O608">
        <v>8</v>
      </c>
      <c r="P608" t="s">
        <v>65</v>
      </c>
      <c r="T608">
        <v>0.13</v>
      </c>
      <c r="V608">
        <v>0.16</v>
      </c>
      <c r="W608" t="s">
        <v>66</v>
      </c>
      <c r="X608" t="s">
        <v>67</v>
      </c>
      <c r="Y608" t="s">
        <v>67</v>
      </c>
      <c r="Z608" t="s">
        <v>68</v>
      </c>
      <c r="AB608">
        <v>4</v>
      </c>
      <c r="AC608" t="s">
        <v>61</v>
      </c>
      <c r="AJ608" t="s">
        <v>69</v>
      </c>
      <c r="AY608" t="s">
        <v>314</v>
      </c>
      <c r="AZ608">
        <v>73668</v>
      </c>
      <c r="BA608" t="s">
        <v>315</v>
      </c>
      <c r="BB608" t="s">
        <v>316</v>
      </c>
      <c r="BC608">
        <v>1995</v>
      </c>
      <c r="BD608" t="s">
        <v>90</v>
      </c>
    </row>
    <row r="609" spans="1:56" x14ac:dyDescent="0.35">
      <c r="A609">
        <v>87865</v>
      </c>
      <c r="B609" t="s">
        <v>684</v>
      </c>
      <c r="D609" t="s">
        <v>85</v>
      </c>
      <c r="E609">
        <v>99</v>
      </c>
      <c r="F609" t="s">
        <v>58</v>
      </c>
      <c r="G609" t="s">
        <v>59</v>
      </c>
      <c r="H609" t="s">
        <v>60</v>
      </c>
      <c r="I609" t="s">
        <v>129</v>
      </c>
      <c r="J609">
        <v>9</v>
      </c>
      <c r="K609" t="s">
        <v>61</v>
      </c>
      <c r="M609" t="s">
        <v>63</v>
      </c>
      <c r="N609" t="s">
        <v>64</v>
      </c>
      <c r="P609" t="s">
        <v>65</v>
      </c>
      <c r="R609">
        <v>0.15980298000000001</v>
      </c>
      <c r="W609" t="s">
        <v>66</v>
      </c>
      <c r="X609" t="s">
        <v>67</v>
      </c>
      <c r="Y609" t="s">
        <v>67</v>
      </c>
      <c r="Z609" t="s">
        <v>68</v>
      </c>
      <c r="AB609">
        <v>4</v>
      </c>
      <c r="AC609" t="s">
        <v>61</v>
      </c>
      <c r="AJ609" t="s">
        <v>69</v>
      </c>
      <c r="AY609" t="s">
        <v>692</v>
      </c>
      <c r="AZ609">
        <v>18647</v>
      </c>
      <c r="BA609" t="s">
        <v>693</v>
      </c>
      <c r="BB609" t="s">
        <v>694</v>
      </c>
      <c r="BC609">
        <v>1998</v>
      </c>
      <c r="BD609" t="s">
        <v>73</v>
      </c>
    </row>
    <row r="610" spans="1:56" x14ac:dyDescent="0.35">
      <c r="A610">
        <v>87865</v>
      </c>
      <c r="B610" t="s">
        <v>684</v>
      </c>
      <c r="D610" t="s">
        <v>57</v>
      </c>
      <c r="E610" t="s">
        <v>86</v>
      </c>
      <c r="F610" t="s">
        <v>58</v>
      </c>
      <c r="G610" t="s">
        <v>59</v>
      </c>
      <c r="H610" t="s">
        <v>60</v>
      </c>
      <c r="J610" t="s">
        <v>86</v>
      </c>
      <c r="L610" t="s">
        <v>74</v>
      </c>
      <c r="M610" t="s">
        <v>63</v>
      </c>
      <c r="N610" t="s">
        <v>64</v>
      </c>
      <c r="P610" t="s">
        <v>65</v>
      </c>
      <c r="R610">
        <v>0.24399999999999999</v>
      </c>
      <c r="T610">
        <v>0.218</v>
      </c>
      <c r="V610">
        <v>0.27300000000000002</v>
      </c>
      <c r="W610" t="s">
        <v>66</v>
      </c>
      <c r="X610" t="s">
        <v>67</v>
      </c>
      <c r="Y610" t="s">
        <v>67</v>
      </c>
      <c r="Z610" t="s">
        <v>68</v>
      </c>
      <c r="AB610">
        <v>4</v>
      </c>
      <c r="AC610" t="s">
        <v>61</v>
      </c>
      <c r="AJ610" t="s">
        <v>69</v>
      </c>
      <c r="AY610" t="s">
        <v>325</v>
      </c>
      <c r="AZ610">
        <v>10775</v>
      </c>
      <c r="BA610" t="s">
        <v>326</v>
      </c>
      <c r="BB610" t="s">
        <v>327</v>
      </c>
      <c r="BC610">
        <v>1985</v>
      </c>
      <c r="BD610" t="s">
        <v>90</v>
      </c>
    </row>
    <row r="611" spans="1:56" x14ac:dyDescent="0.35">
      <c r="A611">
        <v>87865</v>
      </c>
      <c r="B611" t="s">
        <v>684</v>
      </c>
      <c r="D611" t="s">
        <v>57</v>
      </c>
      <c r="E611" t="s">
        <v>86</v>
      </c>
      <c r="F611" t="s">
        <v>58</v>
      </c>
      <c r="G611" t="s">
        <v>59</v>
      </c>
      <c r="H611" t="s">
        <v>60</v>
      </c>
      <c r="J611" t="s">
        <v>86</v>
      </c>
      <c r="L611" t="s">
        <v>74</v>
      </c>
      <c r="M611" t="s">
        <v>63</v>
      </c>
      <c r="N611" t="s">
        <v>64</v>
      </c>
      <c r="P611" t="s">
        <v>65</v>
      </c>
      <c r="R611">
        <v>0.23300000000000001</v>
      </c>
      <c r="W611" t="s">
        <v>66</v>
      </c>
      <c r="X611" t="s">
        <v>67</v>
      </c>
      <c r="Y611" t="s">
        <v>67</v>
      </c>
      <c r="Z611" t="s">
        <v>68</v>
      </c>
      <c r="AB611">
        <v>4</v>
      </c>
      <c r="AC611" t="s">
        <v>61</v>
      </c>
      <c r="AJ611" t="s">
        <v>69</v>
      </c>
      <c r="AY611" t="s">
        <v>325</v>
      </c>
      <c r="AZ611">
        <v>10775</v>
      </c>
      <c r="BA611" t="s">
        <v>326</v>
      </c>
      <c r="BB611" t="s">
        <v>327</v>
      </c>
      <c r="BC611">
        <v>1985</v>
      </c>
      <c r="BD611" t="s">
        <v>90</v>
      </c>
    </row>
    <row r="612" spans="1:56" x14ac:dyDescent="0.35">
      <c r="A612">
        <v>87865</v>
      </c>
      <c r="B612" t="s">
        <v>684</v>
      </c>
      <c r="D612" t="s">
        <v>57</v>
      </c>
      <c r="E612">
        <v>88</v>
      </c>
      <c r="F612" t="s">
        <v>58</v>
      </c>
      <c r="G612" t="s">
        <v>59</v>
      </c>
      <c r="H612" t="s">
        <v>60</v>
      </c>
      <c r="J612">
        <v>30</v>
      </c>
      <c r="K612" t="s">
        <v>61</v>
      </c>
      <c r="L612" t="s">
        <v>74</v>
      </c>
      <c r="M612" t="s">
        <v>63</v>
      </c>
      <c r="N612" t="s">
        <v>64</v>
      </c>
      <c r="P612" t="s">
        <v>65</v>
      </c>
      <c r="R612">
        <v>0.222</v>
      </c>
      <c r="T612">
        <v>0.17299999999999999</v>
      </c>
      <c r="V612">
        <v>0.28599999999999998</v>
      </c>
      <c r="W612" t="s">
        <v>66</v>
      </c>
      <c r="X612" t="s">
        <v>67</v>
      </c>
      <c r="Y612" t="s">
        <v>67</v>
      </c>
      <c r="Z612" t="s">
        <v>68</v>
      </c>
      <c r="AB612">
        <v>4</v>
      </c>
      <c r="AC612" t="s">
        <v>61</v>
      </c>
      <c r="AJ612" t="s">
        <v>69</v>
      </c>
      <c r="AY612" t="s">
        <v>75</v>
      </c>
      <c r="AZ612">
        <v>3217</v>
      </c>
      <c r="BA612" t="s">
        <v>76</v>
      </c>
      <c r="BB612" t="s">
        <v>77</v>
      </c>
      <c r="BC612">
        <v>1990</v>
      </c>
      <c r="BD612" t="s">
        <v>73</v>
      </c>
    </row>
    <row r="613" spans="1:56" x14ac:dyDescent="0.35">
      <c r="A613">
        <v>87865</v>
      </c>
      <c r="B613" t="s">
        <v>684</v>
      </c>
      <c r="D613" t="s">
        <v>57</v>
      </c>
      <c r="E613">
        <v>99</v>
      </c>
      <c r="F613" t="s">
        <v>58</v>
      </c>
      <c r="G613" t="s">
        <v>59</v>
      </c>
      <c r="H613" t="s">
        <v>60</v>
      </c>
      <c r="J613">
        <v>40</v>
      </c>
      <c r="K613" t="s">
        <v>61</v>
      </c>
      <c r="L613" t="s">
        <v>74</v>
      </c>
      <c r="M613" t="s">
        <v>63</v>
      </c>
      <c r="N613" t="s">
        <v>64</v>
      </c>
      <c r="P613" t="s">
        <v>65</v>
      </c>
      <c r="R613">
        <v>0.47</v>
      </c>
      <c r="W613" t="s">
        <v>66</v>
      </c>
      <c r="X613" t="s">
        <v>67</v>
      </c>
      <c r="Y613" t="s">
        <v>67</v>
      </c>
      <c r="Z613" t="s">
        <v>68</v>
      </c>
      <c r="AB613">
        <v>4</v>
      </c>
      <c r="AC613" t="s">
        <v>61</v>
      </c>
      <c r="AJ613" t="s">
        <v>69</v>
      </c>
      <c r="AY613" t="s">
        <v>695</v>
      </c>
      <c r="AZ613">
        <v>15155</v>
      </c>
      <c r="BA613" t="s">
        <v>696</v>
      </c>
      <c r="BB613" t="s">
        <v>697</v>
      </c>
      <c r="BC613">
        <v>1982</v>
      </c>
      <c r="BD613" t="s">
        <v>73</v>
      </c>
    </row>
    <row r="614" spans="1:56" x14ac:dyDescent="0.35">
      <c r="A614">
        <v>87865</v>
      </c>
      <c r="B614" t="s">
        <v>684</v>
      </c>
      <c r="D614" t="s">
        <v>85</v>
      </c>
      <c r="E614" t="s">
        <v>86</v>
      </c>
      <c r="F614" t="s">
        <v>58</v>
      </c>
      <c r="G614" t="s">
        <v>59</v>
      </c>
      <c r="H614" t="s">
        <v>60</v>
      </c>
      <c r="J614" t="s">
        <v>86</v>
      </c>
      <c r="L614" t="s">
        <v>62</v>
      </c>
      <c r="M614" t="s">
        <v>63</v>
      </c>
      <c r="N614" t="s">
        <v>64</v>
      </c>
      <c r="P614" t="s">
        <v>100</v>
      </c>
      <c r="R614">
        <v>0.04</v>
      </c>
      <c r="T614">
        <v>3.7999999999999999E-2</v>
      </c>
      <c r="V614">
        <v>4.2999999999999997E-2</v>
      </c>
      <c r="W614" t="s">
        <v>66</v>
      </c>
      <c r="X614" t="s">
        <v>67</v>
      </c>
      <c r="Y614" t="s">
        <v>67</v>
      </c>
      <c r="Z614" t="s">
        <v>68</v>
      </c>
      <c r="AB614">
        <v>4</v>
      </c>
      <c r="AC614" t="s">
        <v>61</v>
      </c>
      <c r="AJ614" t="s">
        <v>69</v>
      </c>
      <c r="AY614" t="s">
        <v>317</v>
      </c>
      <c r="AZ614">
        <v>153255</v>
      </c>
      <c r="BA614" t="s">
        <v>318</v>
      </c>
      <c r="BB614" t="s">
        <v>319</v>
      </c>
      <c r="BC614">
        <v>2008</v>
      </c>
      <c r="BD614" t="s">
        <v>90</v>
      </c>
    </row>
    <row r="615" spans="1:56" x14ac:dyDescent="0.35">
      <c r="A615">
        <v>87865</v>
      </c>
      <c r="B615" t="s">
        <v>684</v>
      </c>
      <c r="D615" t="s">
        <v>57</v>
      </c>
      <c r="E615" t="s">
        <v>86</v>
      </c>
      <c r="F615" t="s">
        <v>58</v>
      </c>
      <c r="G615" t="s">
        <v>59</v>
      </c>
      <c r="H615" t="s">
        <v>60</v>
      </c>
      <c r="J615" t="s">
        <v>86</v>
      </c>
      <c r="K615" t="s">
        <v>61</v>
      </c>
      <c r="L615" t="s">
        <v>74</v>
      </c>
      <c r="M615" t="s">
        <v>63</v>
      </c>
      <c r="N615" t="s">
        <v>64</v>
      </c>
      <c r="P615" t="s">
        <v>65</v>
      </c>
      <c r="R615">
        <v>0.23</v>
      </c>
      <c r="T615">
        <v>0.21</v>
      </c>
      <c r="V615">
        <v>0.23</v>
      </c>
      <c r="W615" t="s">
        <v>66</v>
      </c>
      <c r="X615" t="s">
        <v>67</v>
      </c>
      <c r="Y615" t="s">
        <v>67</v>
      </c>
      <c r="Z615" t="s">
        <v>68</v>
      </c>
      <c r="AB615">
        <v>4</v>
      </c>
      <c r="AC615" t="s">
        <v>61</v>
      </c>
      <c r="AJ615" t="s">
        <v>69</v>
      </c>
      <c r="AY615" t="s">
        <v>124</v>
      </c>
      <c r="AZ615">
        <v>2189</v>
      </c>
      <c r="BA615" t="s">
        <v>125</v>
      </c>
      <c r="BB615" t="s">
        <v>126</v>
      </c>
      <c r="BC615">
        <v>1981</v>
      </c>
      <c r="BD615" t="s">
        <v>127</v>
      </c>
    </row>
    <row r="616" spans="1:56" x14ac:dyDescent="0.35">
      <c r="A616">
        <v>87865</v>
      </c>
      <c r="B616" t="s">
        <v>684</v>
      </c>
      <c r="D616" t="s">
        <v>57</v>
      </c>
      <c r="E616" t="s">
        <v>86</v>
      </c>
      <c r="F616" t="s">
        <v>58</v>
      </c>
      <c r="G616" t="s">
        <v>59</v>
      </c>
      <c r="H616" t="s">
        <v>60</v>
      </c>
      <c r="I616" t="s">
        <v>211</v>
      </c>
      <c r="J616" t="s">
        <v>86</v>
      </c>
      <c r="L616" t="s">
        <v>74</v>
      </c>
      <c r="M616" t="s">
        <v>63</v>
      </c>
      <c r="N616" t="s">
        <v>64</v>
      </c>
      <c r="P616" t="s">
        <v>65</v>
      </c>
      <c r="R616">
        <v>0.12</v>
      </c>
      <c r="T616">
        <v>0.1</v>
      </c>
      <c r="V616">
        <v>0.15</v>
      </c>
      <c r="W616" t="s">
        <v>66</v>
      </c>
      <c r="X616" t="s">
        <v>67</v>
      </c>
      <c r="Y616" t="s">
        <v>67</v>
      </c>
      <c r="Z616" t="s">
        <v>68</v>
      </c>
      <c r="AB616">
        <v>4</v>
      </c>
      <c r="AC616" t="s">
        <v>61</v>
      </c>
      <c r="AJ616" t="s">
        <v>69</v>
      </c>
      <c r="AY616" t="s">
        <v>688</v>
      </c>
      <c r="AZ616">
        <v>11958</v>
      </c>
      <c r="BA616" t="s">
        <v>689</v>
      </c>
      <c r="BB616" t="s">
        <v>690</v>
      </c>
      <c r="BC616">
        <v>1986</v>
      </c>
      <c r="BD616" t="s">
        <v>90</v>
      </c>
    </row>
    <row r="617" spans="1:56" x14ac:dyDescent="0.35">
      <c r="A617">
        <v>87865</v>
      </c>
      <c r="B617" t="s">
        <v>684</v>
      </c>
      <c r="D617" t="s">
        <v>57</v>
      </c>
      <c r="E617">
        <v>88</v>
      </c>
      <c r="F617" t="s">
        <v>58</v>
      </c>
      <c r="G617" t="s">
        <v>59</v>
      </c>
      <c r="H617" t="s">
        <v>60</v>
      </c>
      <c r="J617">
        <v>30</v>
      </c>
      <c r="K617" t="s">
        <v>61</v>
      </c>
      <c r="L617" t="s">
        <v>74</v>
      </c>
      <c r="M617" t="s">
        <v>63</v>
      </c>
      <c r="N617" t="s">
        <v>64</v>
      </c>
      <c r="P617" t="s">
        <v>65</v>
      </c>
      <c r="R617">
        <v>0.26100000000000001</v>
      </c>
      <c r="T617">
        <v>0.19700000000000001</v>
      </c>
      <c r="V617">
        <v>0.34599999999999997</v>
      </c>
      <c r="W617" t="s">
        <v>66</v>
      </c>
      <c r="X617" t="s">
        <v>67</v>
      </c>
      <c r="Y617" t="s">
        <v>67</v>
      </c>
      <c r="Z617" t="s">
        <v>68</v>
      </c>
      <c r="AB617">
        <v>4</v>
      </c>
      <c r="AC617" t="s">
        <v>61</v>
      </c>
      <c r="AJ617" t="s">
        <v>69</v>
      </c>
      <c r="AY617" t="s">
        <v>75</v>
      </c>
      <c r="AZ617">
        <v>3217</v>
      </c>
      <c r="BA617" t="s">
        <v>76</v>
      </c>
      <c r="BB617" t="s">
        <v>77</v>
      </c>
      <c r="BC617">
        <v>1990</v>
      </c>
      <c r="BD617" t="s">
        <v>73</v>
      </c>
    </row>
    <row r="618" spans="1:56" x14ac:dyDescent="0.35">
      <c r="A618">
        <v>87865</v>
      </c>
      <c r="B618" t="s">
        <v>684</v>
      </c>
      <c r="D618" t="s">
        <v>85</v>
      </c>
      <c r="E618">
        <v>99</v>
      </c>
      <c r="F618" t="s">
        <v>58</v>
      </c>
      <c r="G618" t="s">
        <v>59</v>
      </c>
      <c r="H618" t="s">
        <v>60</v>
      </c>
      <c r="J618" t="s">
        <v>86</v>
      </c>
      <c r="L618" t="s">
        <v>62</v>
      </c>
      <c r="M618" t="s">
        <v>63</v>
      </c>
      <c r="N618" t="s">
        <v>64</v>
      </c>
      <c r="O618">
        <v>8</v>
      </c>
      <c r="P618" t="s">
        <v>65</v>
      </c>
      <c r="R618">
        <v>0.28000000000000003</v>
      </c>
      <c r="T618">
        <v>0.16</v>
      </c>
      <c r="V618">
        <v>0.48</v>
      </c>
      <c r="W618" t="s">
        <v>66</v>
      </c>
      <c r="X618" t="s">
        <v>67</v>
      </c>
      <c r="Y618" t="s">
        <v>67</v>
      </c>
      <c r="Z618" t="s">
        <v>68</v>
      </c>
      <c r="AB618">
        <v>4</v>
      </c>
      <c r="AC618" t="s">
        <v>61</v>
      </c>
      <c r="AJ618" t="s">
        <v>69</v>
      </c>
      <c r="AY618" t="s">
        <v>314</v>
      </c>
      <c r="AZ618">
        <v>73668</v>
      </c>
      <c r="BA618" t="s">
        <v>315</v>
      </c>
      <c r="BB618" t="s">
        <v>316</v>
      </c>
      <c r="BC618">
        <v>1995</v>
      </c>
      <c r="BD618" t="s">
        <v>90</v>
      </c>
    </row>
    <row r="619" spans="1:56" x14ac:dyDescent="0.35">
      <c r="A619">
        <v>87865</v>
      </c>
      <c r="B619" t="s">
        <v>684</v>
      </c>
      <c r="D619" t="s">
        <v>57</v>
      </c>
      <c r="E619" t="s">
        <v>86</v>
      </c>
      <c r="F619" t="s">
        <v>58</v>
      </c>
      <c r="G619" t="s">
        <v>59</v>
      </c>
      <c r="H619" t="s">
        <v>60</v>
      </c>
      <c r="I619" t="s">
        <v>211</v>
      </c>
      <c r="J619" t="s">
        <v>86</v>
      </c>
      <c r="L619" t="s">
        <v>74</v>
      </c>
      <c r="M619" t="s">
        <v>63</v>
      </c>
      <c r="N619" t="s">
        <v>64</v>
      </c>
      <c r="P619" t="s">
        <v>65</v>
      </c>
      <c r="R619">
        <v>0.17</v>
      </c>
      <c r="T619">
        <v>0.15</v>
      </c>
      <c r="V619">
        <v>0.2</v>
      </c>
      <c r="W619" t="s">
        <v>66</v>
      </c>
      <c r="X619" t="s">
        <v>67</v>
      </c>
      <c r="Y619" t="s">
        <v>67</v>
      </c>
      <c r="Z619" t="s">
        <v>68</v>
      </c>
      <c r="AB619">
        <v>4</v>
      </c>
      <c r="AC619" t="s">
        <v>61</v>
      </c>
      <c r="AJ619" t="s">
        <v>69</v>
      </c>
      <c r="AY619" t="s">
        <v>688</v>
      </c>
      <c r="AZ619">
        <v>11958</v>
      </c>
      <c r="BA619" t="s">
        <v>689</v>
      </c>
      <c r="BB619" t="s">
        <v>690</v>
      </c>
      <c r="BC619">
        <v>1986</v>
      </c>
      <c r="BD619" t="s">
        <v>90</v>
      </c>
    </row>
    <row r="620" spans="1:56" x14ac:dyDescent="0.35">
      <c r="A620">
        <v>87865</v>
      </c>
      <c r="B620" t="s">
        <v>684</v>
      </c>
      <c r="D620" t="s">
        <v>57</v>
      </c>
      <c r="E620" t="s">
        <v>86</v>
      </c>
      <c r="F620" t="s">
        <v>58</v>
      </c>
      <c r="G620" t="s">
        <v>59</v>
      </c>
      <c r="H620" t="s">
        <v>60</v>
      </c>
      <c r="I620" t="s">
        <v>211</v>
      </c>
      <c r="J620" t="s">
        <v>86</v>
      </c>
      <c r="L620" t="s">
        <v>74</v>
      </c>
      <c r="M620" t="s">
        <v>63</v>
      </c>
      <c r="N620" t="s">
        <v>64</v>
      </c>
      <c r="P620" t="s">
        <v>65</v>
      </c>
      <c r="R620">
        <v>0.20799999999999999</v>
      </c>
      <c r="T620">
        <v>0.161</v>
      </c>
      <c r="V620">
        <v>0.29599999999999999</v>
      </c>
      <c r="W620" t="s">
        <v>66</v>
      </c>
      <c r="X620" t="s">
        <v>67</v>
      </c>
      <c r="Y620" t="s">
        <v>67</v>
      </c>
      <c r="Z620" t="s">
        <v>68</v>
      </c>
      <c r="AB620">
        <v>4</v>
      </c>
      <c r="AC620" t="s">
        <v>61</v>
      </c>
      <c r="AJ620" t="s">
        <v>69</v>
      </c>
      <c r="AY620" t="s">
        <v>688</v>
      </c>
      <c r="AZ620">
        <v>11958</v>
      </c>
      <c r="BA620" t="s">
        <v>689</v>
      </c>
      <c r="BB620" t="s">
        <v>690</v>
      </c>
      <c r="BC620">
        <v>1986</v>
      </c>
      <c r="BD620" t="s">
        <v>90</v>
      </c>
    </row>
    <row r="621" spans="1:56" x14ac:dyDescent="0.35">
      <c r="A621">
        <v>87865</v>
      </c>
      <c r="B621" t="s">
        <v>684</v>
      </c>
      <c r="D621" t="s">
        <v>57</v>
      </c>
      <c r="E621" t="s">
        <v>86</v>
      </c>
      <c r="F621" t="s">
        <v>58</v>
      </c>
      <c r="G621" t="s">
        <v>59</v>
      </c>
      <c r="H621" t="s">
        <v>60</v>
      </c>
      <c r="J621" t="s">
        <v>86</v>
      </c>
      <c r="K621" t="s">
        <v>61</v>
      </c>
      <c r="L621" t="s">
        <v>74</v>
      </c>
      <c r="M621" t="s">
        <v>63</v>
      </c>
      <c r="N621" t="s">
        <v>64</v>
      </c>
      <c r="P621" t="s">
        <v>65</v>
      </c>
      <c r="R621">
        <v>0.22</v>
      </c>
      <c r="T621">
        <v>0.21</v>
      </c>
      <c r="V621">
        <v>0.23</v>
      </c>
      <c r="W621" t="s">
        <v>66</v>
      </c>
      <c r="X621" t="s">
        <v>67</v>
      </c>
      <c r="Y621" t="s">
        <v>67</v>
      </c>
      <c r="Z621" t="s">
        <v>68</v>
      </c>
      <c r="AB621">
        <v>4</v>
      </c>
      <c r="AC621" t="s">
        <v>61</v>
      </c>
      <c r="AJ621" t="s">
        <v>69</v>
      </c>
      <c r="AY621" t="s">
        <v>124</v>
      </c>
      <c r="AZ621">
        <v>2189</v>
      </c>
      <c r="BA621" t="s">
        <v>125</v>
      </c>
      <c r="BB621" t="s">
        <v>126</v>
      </c>
      <c r="BC621">
        <v>1981</v>
      </c>
      <c r="BD621" t="s">
        <v>127</v>
      </c>
    </row>
    <row r="622" spans="1:56" x14ac:dyDescent="0.35">
      <c r="A622">
        <v>87865</v>
      </c>
      <c r="B622" t="s">
        <v>684</v>
      </c>
      <c r="D622" t="s">
        <v>57</v>
      </c>
      <c r="E622" t="s">
        <v>86</v>
      </c>
      <c r="F622" t="s">
        <v>58</v>
      </c>
      <c r="G622" t="s">
        <v>59</v>
      </c>
      <c r="H622" t="s">
        <v>60</v>
      </c>
      <c r="I622" t="s">
        <v>211</v>
      </c>
      <c r="J622" t="s">
        <v>86</v>
      </c>
      <c r="L622" t="s">
        <v>74</v>
      </c>
      <c r="M622" t="s">
        <v>63</v>
      </c>
      <c r="N622" t="s">
        <v>64</v>
      </c>
      <c r="P622" t="s">
        <v>65</v>
      </c>
      <c r="R622">
        <v>0.3</v>
      </c>
      <c r="T622">
        <v>0.27</v>
      </c>
      <c r="V622">
        <v>0.34</v>
      </c>
      <c r="W622" t="s">
        <v>66</v>
      </c>
      <c r="X622" t="s">
        <v>67</v>
      </c>
      <c r="Y622" t="s">
        <v>67</v>
      </c>
      <c r="Z622" t="s">
        <v>68</v>
      </c>
      <c r="AB622">
        <v>4</v>
      </c>
      <c r="AC622" t="s">
        <v>61</v>
      </c>
      <c r="AJ622" t="s">
        <v>69</v>
      </c>
      <c r="AY622" t="s">
        <v>688</v>
      </c>
      <c r="AZ622">
        <v>11958</v>
      </c>
      <c r="BA622" t="s">
        <v>689</v>
      </c>
      <c r="BB622" t="s">
        <v>690</v>
      </c>
      <c r="BC622">
        <v>1986</v>
      </c>
      <c r="BD622" t="s">
        <v>90</v>
      </c>
    </row>
    <row r="623" spans="1:56" x14ac:dyDescent="0.35">
      <c r="A623">
        <v>87865</v>
      </c>
      <c r="B623" t="s">
        <v>684</v>
      </c>
      <c r="D623" t="s">
        <v>57</v>
      </c>
      <c r="E623">
        <v>99</v>
      </c>
      <c r="F623" t="s">
        <v>58</v>
      </c>
      <c r="G623" t="s">
        <v>59</v>
      </c>
      <c r="H623" t="s">
        <v>60</v>
      </c>
      <c r="J623" t="s">
        <v>86</v>
      </c>
      <c r="L623" t="s">
        <v>74</v>
      </c>
      <c r="M623" t="s">
        <v>63</v>
      </c>
      <c r="N623" t="s">
        <v>64</v>
      </c>
      <c r="P623" t="s">
        <v>65</v>
      </c>
      <c r="R623">
        <v>0.26600000000000001</v>
      </c>
      <c r="T623">
        <v>0.222</v>
      </c>
      <c r="V623">
        <v>0.31900000000000001</v>
      </c>
      <c r="W623" t="s">
        <v>66</v>
      </c>
      <c r="X623" t="s">
        <v>67</v>
      </c>
      <c r="Y623" t="s">
        <v>67</v>
      </c>
      <c r="Z623" t="s">
        <v>68</v>
      </c>
      <c r="AB623">
        <v>4</v>
      </c>
      <c r="AC623" t="s">
        <v>61</v>
      </c>
      <c r="AJ623" t="s">
        <v>69</v>
      </c>
      <c r="AY623" t="s">
        <v>401</v>
      </c>
      <c r="AZ623">
        <v>12004</v>
      </c>
      <c r="BA623" t="s">
        <v>402</v>
      </c>
      <c r="BB623" t="s">
        <v>403</v>
      </c>
      <c r="BC623">
        <v>1985</v>
      </c>
      <c r="BD623" t="s">
        <v>90</v>
      </c>
    </row>
    <row r="624" spans="1:56" x14ac:dyDescent="0.35">
      <c r="A624">
        <v>87865</v>
      </c>
      <c r="B624" t="s">
        <v>684</v>
      </c>
      <c r="D624" t="s">
        <v>57</v>
      </c>
      <c r="E624" t="s">
        <v>86</v>
      </c>
      <c r="F624" t="s">
        <v>58</v>
      </c>
      <c r="G624" t="s">
        <v>59</v>
      </c>
      <c r="H624" t="s">
        <v>60</v>
      </c>
      <c r="I624" t="s">
        <v>129</v>
      </c>
      <c r="J624" t="s">
        <v>86</v>
      </c>
      <c r="K624" t="s">
        <v>61</v>
      </c>
      <c r="L624" t="s">
        <v>74</v>
      </c>
      <c r="M624" t="s">
        <v>63</v>
      </c>
      <c r="N624" t="s">
        <v>64</v>
      </c>
      <c r="P624" t="s">
        <v>65</v>
      </c>
      <c r="R624">
        <v>0.39600000000000002</v>
      </c>
      <c r="T624">
        <v>0.33700000000000002</v>
      </c>
      <c r="V624">
        <v>0.46500000000000002</v>
      </c>
      <c r="W624" t="s">
        <v>66</v>
      </c>
      <c r="X624" t="s">
        <v>67</v>
      </c>
      <c r="Y624" t="s">
        <v>67</v>
      </c>
      <c r="Z624" t="s">
        <v>68</v>
      </c>
      <c r="AB624">
        <v>4</v>
      </c>
      <c r="AC624" t="s">
        <v>61</v>
      </c>
      <c r="AJ624" t="s">
        <v>69</v>
      </c>
      <c r="AY624" t="s">
        <v>688</v>
      </c>
      <c r="AZ624">
        <v>11958</v>
      </c>
      <c r="BA624" t="s">
        <v>689</v>
      </c>
      <c r="BB624" t="s">
        <v>690</v>
      </c>
      <c r="BC624">
        <v>1986</v>
      </c>
      <c r="BD624" t="s">
        <v>691</v>
      </c>
    </row>
    <row r="625" spans="1:56" x14ac:dyDescent="0.35">
      <c r="A625">
        <v>87865</v>
      </c>
      <c r="B625" t="s">
        <v>684</v>
      </c>
      <c r="D625" t="s">
        <v>57</v>
      </c>
      <c r="E625" t="s">
        <v>128</v>
      </c>
      <c r="F625" t="s">
        <v>58</v>
      </c>
      <c r="G625" t="s">
        <v>59</v>
      </c>
      <c r="H625" t="s">
        <v>60</v>
      </c>
      <c r="I625" t="s">
        <v>129</v>
      </c>
      <c r="J625" t="s">
        <v>86</v>
      </c>
      <c r="K625" t="s">
        <v>61</v>
      </c>
      <c r="L625" t="s">
        <v>74</v>
      </c>
      <c r="M625" t="s">
        <v>63</v>
      </c>
      <c r="N625" t="s">
        <v>64</v>
      </c>
      <c r="P625" t="s">
        <v>65</v>
      </c>
      <c r="R625">
        <v>0.44900000000000001</v>
      </c>
      <c r="W625" t="s">
        <v>66</v>
      </c>
      <c r="X625" t="s">
        <v>67</v>
      </c>
      <c r="Y625" t="s">
        <v>67</v>
      </c>
      <c r="Z625" t="s">
        <v>68</v>
      </c>
      <c r="AB625">
        <v>4</v>
      </c>
      <c r="AC625" t="s">
        <v>61</v>
      </c>
      <c r="AJ625" t="s">
        <v>69</v>
      </c>
      <c r="AY625" t="s">
        <v>134</v>
      </c>
      <c r="AZ625">
        <v>15031</v>
      </c>
      <c r="BA625" t="s">
        <v>135</v>
      </c>
      <c r="BB625" t="s">
        <v>136</v>
      </c>
      <c r="BC625">
        <v>1995</v>
      </c>
      <c r="BD625" t="s">
        <v>133</v>
      </c>
    </row>
    <row r="626" spans="1:56" x14ac:dyDescent="0.35">
      <c r="A626">
        <v>87865</v>
      </c>
      <c r="B626" t="s">
        <v>684</v>
      </c>
      <c r="E626" t="s">
        <v>407</v>
      </c>
      <c r="F626" t="s">
        <v>58</v>
      </c>
      <c r="G626" t="s">
        <v>59</v>
      </c>
      <c r="H626" t="s">
        <v>60</v>
      </c>
      <c r="J626" t="s">
        <v>86</v>
      </c>
      <c r="L626" t="s">
        <v>74</v>
      </c>
      <c r="M626" t="s">
        <v>63</v>
      </c>
      <c r="P626" t="s">
        <v>65</v>
      </c>
      <c r="R626">
        <v>0.26633829999999997</v>
      </c>
      <c r="W626" t="s">
        <v>66</v>
      </c>
      <c r="X626" t="s">
        <v>67</v>
      </c>
      <c r="Y626" t="s">
        <v>67</v>
      </c>
      <c r="Z626" t="s">
        <v>68</v>
      </c>
      <c r="AB626">
        <v>4</v>
      </c>
      <c r="AC626" t="s">
        <v>61</v>
      </c>
      <c r="AJ626" t="s">
        <v>69</v>
      </c>
      <c r="AY626" t="s">
        <v>408</v>
      </c>
      <c r="AZ626">
        <v>5876</v>
      </c>
      <c r="BA626" t="s">
        <v>409</v>
      </c>
      <c r="BB626" t="s">
        <v>410</v>
      </c>
      <c r="BC626">
        <v>1988</v>
      </c>
      <c r="BD626" t="s">
        <v>90</v>
      </c>
    </row>
    <row r="627" spans="1:56" x14ac:dyDescent="0.35">
      <c r="A627">
        <v>87865</v>
      </c>
      <c r="B627" t="s">
        <v>684</v>
      </c>
      <c r="C627" t="s">
        <v>91</v>
      </c>
      <c r="E627" t="s">
        <v>86</v>
      </c>
      <c r="F627" t="s">
        <v>58</v>
      </c>
      <c r="G627" t="s">
        <v>59</v>
      </c>
      <c r="H627" t="s">
        <v>60</v>
      </c>
      <c r="I627" t="s">
        <v>211</v>
      </c>
      <c r="J627" t="s">
        <v>86</v>
      </c>
      <c r="L627" t="s">
        <v>74</v>
      </c>
      <c r="M627" t="s">
        <v>63</v>
      </c>
      <c r="N627" t="s">
        <v>64</v>
      </c>
      <c r="P627" t="s">
        <v>65</v>
      </c>
      <c r="R627">
        <v>0.19400000000000001</v>
      </c>
      <c r="W627" t="s">
        <v>66</v>
      </c>
      <c r="X627" t="s">
        <v>67</v>
      </c>
      <c r="Y627" t="s">
        <v>67</v>
      </c>
      <c r="Z627" t="s">
        <v>68</v>
      </c>
      <c r="AB627">
        <v>4</v>
      </c>
      <c r="AC627" t="s">
        <v>61</v>
      </c>
      <c r="AJ627" t="s">
        <v>69</v>
      </c>
      <c r="AY627" t="s">
        <v>116</v>
      </c>
      <c r="AZ627">
        <v>344</v>
      </c>
      <c r="BA627" t="s">
        <v>117</v>
      </c>
      <c r="BB627" t="s">
        <v>118</v>
      </c>
      <c r="BC627">
        <v>1992</v>
      </c>
      <c r="BD627" t="s">
        <v>90</v>
      </c>
    </row>
    <row r="628" spans="1:56" x14ac:dyDescent="0.35">
      <c r="A628">
        <v>87865</v>
      </c>
      <c r="B628" t="s">
        <v>684</v>
      </c>
      <c r="C628" t="s">
        <v>195</v>
      </c>
      <c r="D628" t="s">
        <v>85</v>
      </c>
      <c r="E628" t="s">
        <v>86</v>
      </c>
      <c r="F628" t="s">
        <v>58</v>
      </c>
      <c r="G628" t="s">
        <v>59</v>
      </c>
      <c r="H628" t="s">
        <v>60</v>
      </c>
      <c r="I628" t="s">
        <v>129</v>
      </c>
      <c r="J628" t="s">
        <v>86</v>
      </c>
      <c r="L628" t="s">
        <v>62</v>
      </c>
      <c r="M628" t="s">
        <v>63</v>
      </c>
      <c r="N628" t="s">
        <v>64</v>
      </c>
      <c r="O628">
        <v>5</v>
      </c>
      <c r="P628" t="s">
        <v>65</v>
      </c>
      <c r="R628">
        <v>0.32</v>
      </c>
      <c r="W628" t="s">
        <v>66</v>
      </c>
      <c r="X628" t="s">
        <v>67</v>
      </c>
      <c r="Y628" t="s">
        <v>67</v>
      </c>
      <c r="Z628" t="s">
        <v>68</v>
      </c>
      <c r="AB628">
        <v>4</v>
      </c>
      <c r="AC628" t="s">
        <v>61</v>
      </c>
      <c r="AJ628" t="s">
        <v>69</v>
      </c>
      <c r="AY628" t="s">
        <v>298</v>
      </c>
      <c r="AZ628">
        <v>11951</v>
      </c>
      <c r="BA628" t="s">
        <v>299</v>
      </c>
      <c r="BB628" t="s">
        <v>300</v>
      </c>
      <c r="BC628">
        <v>1986</v>
      </c>
      <c r="BD628" t="s">
        <v>90</v>
      </c>
    </row>
    <row r="629" spans="1:56" x14ac:dyDescent="0.35">
      <c r="A629">
        <v>87865</v>
      </c>
      <c r="B629" t="s">
        <v>684</v>
      </c>
      <c r="C629" t="s">
        <v>91</v>
      </c>
      <c r="D629" t="s">
        <v>57</v>
      </c>
      <c r="E629">
        <v>88</v>
      </c>
      <c r="F629" t="s">
        <v>58</v>
      </c>
      <c r="G629" t="s">
        <v>59</v>
      </c>
      <c r="H629" t="s">
        <v>60</v>
      </c>
      <c r="I629" t="s">
        <v>129</v>
      </c>
      <c r="J629">
        <v>30</v>
      </c>
      <c r="K629" t="s">
        <v>61</v>
      </c>
      <c r="L629" t="s">
        <v>74</v>
      </c>
      <c r="M629" t="s">
        <v>63</v>
      </c>
      <c r="N629" t="s">
        <v>64</v>
      </c>
      <c r="P629" t="s">
        <v>65</v>
      </c>
      <c r="R629">
        <v>9.5000000000000001E-2</v>
      </c>
      <c r="T629">
        <v>7.6999999999999999E-2</v>
      </c>
      <c r="V629">
        <v>0.11600000000000001</v>
      </c>
      <c r="W629" t="s">
        <v>66</v>
      </c>
      <c r="X629" t="s">
        <v>67</v>
      </c>
      <c r="Y629" t="s">
        <v>67</v>
      </c>
      <c r="Z629" t="s">
        <v>68</v>
      </c>
      <c r="AB629">
        <v>4</v>
      </c>
      <c r="AC629" t="s">
        <v>61</v>
      </c>
      <c r="AJ629" t="s">
        <v>69</v>
      </c>
      <c r="AY629" t="s">
        <v>685</v>
      </c>
      <c r="AZ629">
        <v>10679</v>
      </c>
      <c r="BA629" t="s">
        <v>686</v>
      </c>
      <c r="BB629" t="s">
        <v>687</v>
      </c>
      <c r="BC629">
        <v>1985</v>
      </c>
      <c r="BD629" t="s">
        <v>73</v>
      </c>
    </row>
    <row r="630" spans="1:56" x14ac:dyDescent="0.35">
      <c r="A630">
        <v>87865</v>
      </c>
      <c r="B630" t="s">
        <v>684</v>
      </c>
      <c r="D630" t="s">
        <v>57</v>
      </c>
      <c r="E630" t="s">
        <v>86</v>
      </c>
      <c r="F630" t="s">
        <v>58</v>
      </c>
      <c r="G630" t="s">
        <v>59</v>
      </c>
      <c r="H630" t="s">
        <v>60</v>
      </c>
      <c r="I630" t="s">
        <v>211</v>
      </c>
      <c r="J630" t="s">
        <v>86</v>
      </c>
      <c r="L630" t="s">
        <v>74</v>
      </c>
      <c r="M630" t="s">
        <v>63</v>
      </c>
      <c r="N630" t="s">
        <v>64</v>
      </c>
      <c r="P630" t="s">
        <v>65</v>
      </c>
      <c r="R630">
        <v>0.19</v>
      </c>
      <c r="W630" t="s">
        <v>66</v>
      </c>
      <c r="X630" t="s">
        <v>67</v>
      </c>
      <c r="Y630" t="s">
        <v>67</v>
      </c>
      <c r="Z630" t="s">
        <v>68</v>
      </c>
      <c r="AB630">
        <v>4</v>
      </c>
      <c r="AC630" t="s">
        <v>61</v>
      </c>
      <c r="AJ630" t="s">
        <v>69</v>
      </c>
      <c r="AY630" t="s">
        <v>688</v>
      </c>
      <c r="AZ630">
        <v>11958</v>
      </c>
      <c r="BA630" t="s">
        <v>689</v>
      </c>
      <c r="BB630" t="s">
        <v>690</v>
      </c>
      <c r="BC630">
        <v>1986</v>
      </c>
      <c r="BD630" t="s">
        <v>90</v>
      </c>
    </row>
    <row r="631" spans="1:56" x14ac:dyDescent="0.35">
      <c r="A631">
        <v>87865</v>
      </c>
      <c r="B631" t="s">
        <v>684</v>
      </c>
      <c r="D631" t="s">
        <v>57</v>
      </c>
      <c r="E631" t="s">
        <v>86</v>
      </c>
      <c r="F631" t="s">
        <v>58</v>
      </c>
      <c r="G631" t="s">
        <v>59</v>
      </c>
      <c r="H631" t="s">
        <v>60</v>
      </c>
      <c r="I631" t="s">
        <v>211</v>
      </c>
      <c r="J631" t="s">
        <v>86</v>
      </c>
      <c r="L631" t="s">
        <v>74</v>
      </c>
      <c r="M631" t="s">
        <v>63</v>
      </c>
      <c r="N631" t="s">
        <v>64</v>
      </c>
      <c r="P631" t="s">
        <v>65</v>
      </c>
      <c r="R631">
        <v>0.16</v>
      </c>
      <c r="W631" t="s">
        <v>66</v>
      </c>
      <c r="X631" t="s">
        <v>67</v>
      </c>
      <c r="Y631" t="s">
        <v>67</v>
      </c>
      <c r="Z631" t="s">
        <v>68</v>
      </c>
      <c r="AB631">
        <v>4</v>
      </c>
      <c r="AC631" t="s">
        <v>61</v>
      </c>
      <c r="AJ631" t="s">
        <v>69</v>
      </c>
      <c r="AY631" t="s">
        <v>688</v>
      </c>
      <c r="AZ631">
        <v>11958</v>
      </c>
      <c r="BA631" t="s">
        <v>689</v>
      </c>
      <c r="BB631" t="s">
        <v>690</v>
      </c>
      <c r="BC631">
        <v>1986</v>
      </c>
      <c r="BD631" t="s">
        <v>90</v>
      </c>
    </row>
    <row r="632" spans="1:56" x14ac:dyDescent="0.35">
      <c r="A632">
        <v>87865</v>
      </c>
      <c r="B632" t="s">
        <v>684</v>
      </c>
      <c r="D632" t="s">
        <v>57</v>
      </c>
      <c r="E632">
        <v>88</v>
      </c>
      <c r="F632" t="s">
        <v>58</v>
      </c>
      <c r="G632" t="s">
        <v>59</v>
      </c>
      <c r="H632" t="s">
        <v>60</v>
      </c>
      <c r="J632">
        <v>30</v>
      </c>
      <c r="K632" t="s">
        <v>61</v>
      </c>
      <c r="L632" t="s">
        <v>74</v>
      </c>
      <c r="M632" t="s">
        <v>63</v>
      </c>
      <c r="N632" t="s">
        <v>64</v>
      </c>
      <c r="P632" t="s">
        <v>65</v>
      </c>
      <c r="R632">
        <v>9.8599999999999993E-2</v>
      </c>
      <c r="T632">
        <v>8.0600000000000005E-2</v>
      </c>
      <c r="V632">
        <v>0.121</v>
      </c>
      <c r="W632" t="s">
        <v>66</v>
      </c>
      <c r="X632" t="s">
        <v>67</v>
      </c>
      <c r="Y632" t="s">
        <v>67</v>
      </c>
      <c r="Z632" t="s">
        <v>68</v>
      </c>
      <c r="AB632">
        <v>4</v>
      </c>
      <c r="AC632" t="s">
        <v>61</v>
      </c>
      <c r="AJ632" t="s">
        <v>69</v>
      </c>
      <c r="AY632" t="s">
        <v>75</v>
      </c>
      <c r="AZ632">
        <v>3217</v>
      </c>
      <c r="BA632" t="s">
        <v>76</v>
      </c>
      <c r="BB632" t="s">
        <v>77</v>
      </c>
      <c r="BC632">
        <v>1990</v>
      </c>
      <c r="BD632" t="s">
        <v>73</v>
      </c>
    </row>
    <row r="633" spans="1:56" x14ac:dyDescent="0.35">
      <c r="A633">
        <v>87865</v>
      </c>
      <c r="B633" t="s">
        <v>684</v>
      </c>
      <c r="D633" t="s">
        <v>57</v>
      </c>
      <c r="E633">
        <v>88</v>
      </c>
      <c r="F633" t="s">
        <v>58</v>
      </c>
      <c r="G633" t="s">
        <v>59</v>
      </c>
      <c r="H633" t="s">
        <v>60</v>
      </c>
      <c r="J633">
        <v>44</v>
      </c>
      <c r="K633" t="s">
        <v>61</v>
      </c>
      <c r="L633" t="s">
        <v>74</v>
      </c>
      <c r="M633" t="s">
        <v>63</v>
      </c>
      <c r="N633" t="s">
        <v>64</v>
      </c>
      <c r="P633" t="s">
        <v>65</v>
      </c>
      <c r="R633">
        <v>0.30099999999999999</v>
      </c>
      <c r="W633" t="s">
        <v>66</v>
      </c>
      <c r="X633" t="s">
        <v>67</v>
      </c>
      <c r="Y633" t="s">
        <v>67</v>
      </c>
      <c r="Z633" t="s">
        <v>68</v>
      </c>
      <c r="AB633">
        <v>4</v>
      </c>
      <c r="AC633" t="s">
        <v>61</v>
      </c>
      <c r="AJ633" t="s">
        <v>69</v>
      </c>
      <c r="AY633" t="s">
        <v>141</v>
      </c>
      <c r="AZ633">
        <v>12447</v>
      </c>
      <c r="BA633" t="s">
        <v>142</v>
      </c>
      <c r="BB633" t="s">
        <v>143</v>
      </c>
      <c r="BC633">
        <v>1985</v>
      </c>
      <c r="BD633" t="s">
        <v>73</v>
      </c>
    </row>
    <row r="634" spans="1:56" x14ac:dyDescent="0.35">
      <c r="A634">
        <v>87865</v>
      </c>
      <c r="B634" t="s">
        <v>684</v>
      </c>
      <c r="D634" t="s">
        <v>57</v>
      </c>
      <c r="E634">
        <v>88</v>
      </c>
      <c r="F634" t="s">
        <v>58</v>
      </c>
      <c r="G634" t="s">
        <v>59</v>
      </c>
      <c r="H634" t="s">
        <v>60</v>
      </c>
      <c r="J634">
        <v>44</v>
      </c>
      <c r="K634" t="s">
        <v>61</v>
      </c>
      <c r="L634" t="s">
        <v>74</v>
      </c>
      <c r="M634" t="s">
        <v>63</v>
      </c>
      <c r="N634" t="s">
        <v>64</v>
      </c>
      <c r="P634" t="s">
        <v>65</v>
      </c>
      <c r="R634">
        <v>0.24199999999999999</v>
      </c>
      <c r="T634">
        <v>0.216</v>
      </c>
      <c r="V634">
        <v>0.27100000000000002</v>
      </c>
      <c r="W634" t="s">
        <v>66</v>
      </c>
      <c r="X634" t="s">
        <v>67</v>
      </c>
      <c r="Y634" t="s">
        <v>67</v>
      </c>
      <c r="Z634" t="s">
        <v>68</v>
      </c>
      <c r="AB634">
        <v>4</v>
      </c>
      <c r="AC634" t="s">
        <v>61</v>
      </c>
      <c r="AJ634" t="s">
        <v>69</v>
      </c>
      <c r="AY634" t="s">
        <v>141</v>
      </c>
      <c r="AZ634">
        <v>12447</v>
      </c>
      <c r="BA634" t="s">
        <v>142</v>
      </c>
      <c r="BB634" t="s">
        <v>143</v>
      </c>
      <c r="BC634">
        <v>1985</v>
      </c>
      <c r="BD634" t="s">
        <v>73</v>
      </c>
    </row>
    <row r="635" spans="1:56" x14ac:dyDescent="0.35">
      <c r="A635">
        <v>87865</v>
      </c>
      <c r="B635" t="s">
        <v>684</v>
      </c>
      <c r="D635" t="s">
        <v>57</v>
      </c>
      <c r="E635" t="s">
        <v>86</v>
      </c>
      <c r="F635" t="s">
        <v>58</v>
      </c>
      <c r="G635" t="s">
        <v>59</v>
      </c>
      <c r="H635" t="s">
        <v>60</v>
      </c>
      <c r="J635" t="s">
        <v>86</v>
      </c>
      <c r="L635" t="s">
        <v>74</v>
      </c>
      <c r="M635" t="s">
        <v>63</v>
      </c>
      <c r="N635" t="s">
        <v>64</v>
      </c>
      <c r="P635" t="s">
        <v>65</v>
      </c>
      <c r="R635">
        <v>0.28599999999999998</v>
      </c>
      <c r="T635">
        <v>0.17899999999999999</v>
      </c>
      <c r="V635">
        <v>0.34499999999999997</v>
      </c>
      <c r="W635" t="s">
        <v>66</v>
      </c>
      <c r="X635" t="s">
        <v>67</v>
      </c>
      <c r="Y635" t="s">
        <v>67</v>
      </c>
      <c r="Z635" t="s">
        <v>68</v>
      </c>
      <c r="AB635">
        <v>4</v>
      </c>
      <c r="AC635" t="s">
        <v>61</v>
      </c>
      <c r="AJ635" t="s">
        <v>69</v>
      </c>
      <c r="AY635" t="s">
        <v>325</v>
      </c>
      <c r="AZ635">
        <v>10775</v>
      </c>
      <c r="BA635" t="s">
        <v>326</v>
      </c>
      <c r="BB635" t="s">
        <v>327</v>
      </c>
      <c r="BC635">
        <v>1985</v>
      </c>
      <c r="BD635" t="s">
        <v>90</v>
      </c>
    </row>
    <row r="636" spans="1:56" x14ac:dyDescent="0.35">
      <c r="A636">
        <v>87912</v>
      </c>
      <c r="B636" t="s">
        <v>698</v>
      </c>
      <c r="D636" t="s">
        <v>85</v>
      </c>
      <c r="E636" t="s">
        <v>86</v>
      </c>
      <c r="F636" t="s">
        <v>58</v>
      </c>
      <c r="G636" t="s">
        <v>59</v>
      </c>
      <c r="H636" t="s">
        <v>60</v>
      </c>
      <c r="J636" t="s">
        <v>86</v>
      </c>
      <c r="L636" t="s">
        <v>62</v>
      </c>
      <c r="M636" t="s">
        <v>63</v>
      </c>
      <c r="N636" t="s">
        <v>64</v>
      </c>
      <c r="P636" t="s">
        <v>100</v>
      </c>
      <c r="R636">
        <v>650</v>
      </c>
      <c r="W636" t="s">
        <v>66</v>
      </c>
      <c r="X636" t="s">
        <v>67</v>
      </c>
      <c r="Y636" t="s">
        <v>67</v>
      </c>
      <c r="Z636" t="s">
        <v>68</v>
      </c>
      <c r="AB636">
        <v>4</v>
      </c>
      <c r="AC636" t="s">
        <v>61</v>
      </c>
      <c r="AJ636" t="s">
        <v>69</v>
      </c>
      <c r="AY636" t="s">
        <v>412</v>
      </c>
      <c r="AZ636">
        <v>901</v>
      </c>
      <c r="BA636" t="s">
        <v>413</v>
      </c>
      <c r="BB636" t="s">
        <v>414</v>
      </c>
      <c r="BC636">
        <v>1969</v>
      </c>
      <c r="BD636" t="s">
        <v>90</v>
      </c>
    </row>
    <row r="637" spans="1:56" x14ac:dyDescent="0.35">
      <c r="A637">
        <v>88062</v>
      </c>
      <c r="B637" t="s">
        <v>699</v>
      </c>
      <c r="D637" t="s">
        <v>57</v>
      </c>
      <c r="E637" t="s">
        <v>86</v>
      </c>
      <c r="F637" t="s">
        <v>58</v>
      </c>
      <c r="G637" t="s">
        <v>59</v>
      </c>
      <c r="H637" t="s">
        <v>60</v>
      </c>
      <c r="J637" t="s">
        <v>86</v>
      </c>
      <c r="K637" t="s">
        <v>61</v>
      </c>
      <c r="L637" t="s">
        <v>74</v>
      </c>
      <c r="M637" t="s">
        <v>63</v>
      </c>
      <c r="N637" t="s">
        <v>64</v>
      </c>
      <c r="P637" t="s">
        <v>65</v>
      </c>
      <c r="R637">
        <v>8.6</v>
      </c>
      <c r="T637">
        <v>7.6</v>
      </c>
      <c r="V637">
        <v>9.9</v>
      </c>
      <c r="W637" t="s">
        <v>66</v>
      </c>
      <c r="X637" t="s">
        <v>67</v>
      </c>
      <c r="Y637" t="s">
        <v>67</v>
      </c>
      <c r="Z637" t="s">
        <v>68</v>
      </c>
      <c r="AB637">
        <v>4</v>
      </c>
      <c r="AC637" t="s">
        <v>61</v>
      </c>
      <c r="AJ637" t="s">
        <v>69</v>
      </c>
      <c r="AY637" t="s">
        <v>124</v>
      </c>
      <c r="AZ637">
        <v>2189</v>
      </c>
      <c r="BA637" t="s">
        <v>125</v>
      </c>
      <c r="BB637" t="s">
        <v>126</v>
      </c>
      <c r="BC637">
        <v>1981</v>
      </c>
      <c r="BD637" t="s">
        <v>127</v>
      </c>
    </row>
    <row r="638" spans="1:56" x14ac:dyDescent="0.35">
      <c r="A638">
        <v>88062</v>
      </c>
      <c r="B638" t="s">
        <v>699</v>
      </c>
      <c r="D638" t="s">
        <v>57</v>
      </c>
      <c r="E638" t="s">
        <v>86</v>
      </c>
      <c r="F638" t="s">
        <v>58</v>
      </c>
      <c r="G638" t="s">
        <v>59</v>
      </c>
      <c r="H638" t="s">
        <v>60</v>
      </c>
      <c r="J638" t="s">
        <v>86</v>
      </c>
      <c r="L638" t="s">
        <v>74</v>
      </c>
      <c r="M638" t="s">
        <v>63</v>
      </c>
      <c r="N638" t="s">
        <v>64</v>
      </c>
      <c r="P638" t="s">
        <v>65</v>
      </c>
      <c r="R638">
        <v>2.74</v>
      </c>
      <c r="T638">
        <v>2.11</v>
      </c>
      <c r="V638">
        <v>3.56</v>
      </c>
      <c r="W638" t="s">
        <v>66</v>
      </c>
      <c r="X638" t="s">
        <v>67</v>
      </c>
      <c r="Y638" t="s">
        <v>67</v>
      </c>
      <c r="Z638" t="s">
        <v>68</v>
      </c>
      <c r="AB638">
        <v>4</v>
      </c>
      <c r="AC638" t="s">
        <v>61</v>
      </c>
      <c r="AJ638" t="s">
        <v>69</v>
      </c>
      <c r="AY638" t="s">
        <v>144</v>
      </c>
      <c r="AZ638">
        <v>12665</v>
      </c>
      <c r="BA638" t="s">
        <v>145</v>
      </c>
      <c r="BB638" t="s">
        <v>146</v>
      </c>
      <c r="BC638">
        <v>1987</v>
      </c>
      <c r="BD638" t="s">
        <v>90</v>
      </c>
    </row>
    <row r="639" spans="1:56" x14ac:dyDescent="0.35">
      <c r="A639">
        <v>88062</v>
      </c>
      <c r="B639" t="s">
        <v>699</v>
      </c>
      <c r="D639" t="s">
        <v>57</v>
      </c>
      <c r="E639">
        <v>98</v>
      </c>
      <c r="F639" t="s">
        <v>58</v>
      </c>
      <c r="G639" t="s">
        <v>59</v>
      </c>
      <c r="H639" t="s">
        <v>60</v>
      </c>
      <c r="J639">
        <v>29</v>
      </c>
      <c r="K639" t="s">
        <v>61</v>
      </c>
      <c r="L639" t="s">
        <v>74</v>
      </c>
      <c r="M639" t="s">
        <v>63</v>
      </c>
      <c r="N639" t="s">
        <v>64</v>
      </c>
      <c r="P639" t="s">
        <v>65</v>
      </c>
      <c r="R639">
        <v>4.55</v>
      </c>
      <c r="T639">
        <v>3.6</v>
      </c>
      <c r="V639">
        <v>5.76</v>
      </c>
      <c r="W639" t="s">
        <v>66</v>
      </c>
      <c r="X639" t="s">
        <v>67</v>
      </c>
      <c r="Y639" t="s">
        <v>67</v>
      </c>
      <c r="Z639" t="s">
        <v>68</v>
      </c>
      <c r="AB639">
        <v>4</v>
      </c>
      <c r="AC639" t="s">
        <v>61</v>
      </c>
      <c r="AJ639" t="s">
        <v>69</v>
      </c>
      <c r="AY639" t="s">
        <v>80</v>
      </c>
      <c r="AZ639">
        <v>12859</v>
      </c>
      <c r="BA639" t="s">
        <v>81</v>
      </c>
      <c r="BB639" t="s">
        <v>82</v>
      </c>
      <c r="BC639">
        <v>1988</v>
      </c>
      <c r="BD639" t="s">
        <v>73</v>
      </c>
    </row>
    <row r="640" spans="1:56" x14ac:dyDescent="0.35">
      <c r="A640">
        <v>88062</v>
      </c>
      <c r="B640" t="s">
        <v>699</v>
      </c>
      <c r="D640" t="s">
        <v>57</v>
      </c>
      <c r="E640" t="s">
        <v>128</v>
      </c>
      <c r="F640" t="s">
        <v>58</v>
      </c>
      <c r="G640" t="s">
        <v>59</v>
      </c>
      <c r="H640" t="s">
        <v>60</v>
      </c>
      <c r="I640" t="s">
        <v>129</v>
      </c>
      <c r="J640" t="s">
        <v>86</v>
      </c>
      <c r="K640" t="s">
        <v>61</v>
      </c>
      <c r="L640" t="s">
        <v>74</v>
      </c>
      <c r="M640" t="s">
        <v>63</v>
      </c>
      <c r="N640" t="s">
        <v>64</v>
      </c>
      <c r="P640" t="s">
        <v>65</v>
      </c>
      <c r="R640">
        <v>4.55</v>
      </c>
      <c r="W640" t="s">
        <v>66</v>
      </c>
      <c r="X640" t="s">
        <v>67</v>
      </c>
      <c r="Y640" t="s">
        <v>67</v>
      </c>
      <c r="Z640" t="s">
        <v>68</v>
      </c>
      <c r="AB640">
        <v>4</v>
      </c>
      <c r="AC640" t="s">
        <v>61</v>
      </c>
      <c r="AJ640" t="s">
        <v>69</v>
      </c>
      <c r="AY640" t="s">
        <v>134</v>
      </c>
      <c r="AZ640">
        <v>15031</v>
      </c>
      <c r="BA640" t="s">
        <v>135</v>
      </c>
      <c r="BB640" t="s">
        <v>136</v>
      </c>
      <c r="BC640">
        <v>1995</v>
      </c>
      <c r="BD640" t="s">
        <v>133</v>
      </c>
    </row>
    <row r="641" spans="1:56" x14ac:dyDescent="0.35">
      <c r="A641">
        <v>88062</v>
      </c>
      <c r="B641" t="s">
        <v>699</v>
      </c>
      <c r="D641" t="s">
        <v>85</v>
      </c>
      <c r="E641" t="s">
        <v>86</v>
      </c>
      <c r="F641" t="s">
        <v>58</v>
      </c>
      <c r="G641" t="s">
        <v>59</v>
      </c>
      <c r="H641" t="s">
        <v>60</v>
      </c>
      <c r="J641" t="s">
        <v>86</v>
      </c>
      <c r="L641" t="s">
        <v>62</v>
      </c>
      <c r="M641" t="s">
        <v>63</v>
      </c>
      <c r="N641" t="s">
        <v>64</v>
      </c>
      <c r="P641" t="s">
        <v>100</v>
      </c>
      <c r="T641">
        <v>0.1</v>
      </c>
      <c r="V641">
        <v>1</v>
      </c>
      <c r="W641" t="s">
        <v>66</v>
      </c>
      <c r="X641" t="s">
        <v>67</v>
      </c>
      <c r="Y641" t="s">
        <v>67</v>
      </c>
      <c r="Z641" t="s">
        <v>68</v>
      </c>
      <c r="AB641">
        <v>4</v>
      </c>
      <c r="AC641" t="s">
        <v>61</v>
      </c>
      <c r="AJ641" t="s">
        <v>69</v>
      </c>
      <c r="AY641" t="s">
        <v>255</v>
      </c>
      <c r="AZ641">
        <v>8960</v>
      </c>
      <c r="BA641" t="s">
        <v>256</v>
      </c>
      <c r="BB641" t="s">
        <v>257</v>
      </c>
      <c r="BC641">
        <v>1972</v>
      </c>
      <c r="BD641" t="s">
        <v>90</v>
      </c>
    </row>
    <row r="642" spans="1:56" x14ac:dyDescent="0.35">
      <c r="A642">
        <v>88062</v>
      </c>
      <c r="B642" t="s">
        <v>699</v>
      </c>
      <c r="D642" t="s">
        <v>57</v>
      </c>
      <c r="E642">
        <v>98</v>
      </c>
      <c r="F642" t="s">
        <v>58</v>
      </c>
      <c r="G642" t="s">
        <v>59</v>
      </c>
      <c r="H642" t="s">
        <v>60</v>
      </c>
      <c r="J642" t="s">
        <v>86</v>
      </c>
      <c r="K642" t="s">
        <v>61</v>
      </c>
      <c r="L642" t="s">
        <v>74</v>
      </c>
      <c r="M642" t="s">
        <v>63</v>
      </c>
      <c r="N642" t="s">
        <v>64</v>
      </c>
      <c r="P642" t="s">
        <v>65</v>
      </c>
      <c r="R642">
        <v>2.8</v>
      </c>
      <c r="T642">
        <v>2.16</v>
      </c>
      <c r="V642">
        <v>3.63</v>
      </c>
      <c r="W642" t="s">
        <v>66</v>
      </c>
      <c r="X642" t="s">
        <v>67</v>
      </c>
      <c r="Y642" t="s">
        <v>67</v>
      </c>
      <c r="Z642" t="s">
        <v>68</v>
      </c>
      <c r="AB642">
        <v>4</v>
      </c>
      <c r="AC642" t="s">
        <v>61</v>
      </c>
      <c r="AJ642" t="s">
        <v>69</v>
      </c>
      <c r="AY642" t="s">
        <v>75</v>
      </c>
      <c r="AZ642">
        <v>3217</v>
      </c>
      <c r="BA642" t="s">
        <v>76</v>
      </c>
      <c r="BB642" t="s">
        <v>77</v>
      </c>
      <c r="BC642">
        <v>1990</v>
      </c>
      <c r="BD642" t="s">
        <v>700</v>
      </c>
    </row>
    <row r="643" spans="1:56" x14ac:dyDescent="0.35">
      <c r="A643">
        <v>88062</v>
      </c>
      <c r="B643" t="s">
        <v>699</v>
      </c>
      <c r="D643" t="s">
        <v>57</v>
      </c>
      <c r="E643" t="s">
        <v>86</v>
      </c>
      <c r="F643" t="s">
        <v>58</v>
      </c>
      <c r="G643" t="s">
        <v>59</v>
      </c>
      <c r="H643" t="s">
        <v>60</v>
      </c>
      <c r="J643">
        <v>34</v>
      </c>
      <c r="K643" t="s">
        <v>61</v>
      </c>
      <c r="L643" t="s">
        <v>74</v>
      </c>
      <c r="M643" t="s">
        <v>63</v>
      </c>
      <c r="N643" t="s">
        <v>64</v>
      </c>
      <c r="P643" t="s">
        <v>65</v>
      </c>
      <c r="R643">
        <v>9.16</v>
      </c>
      <c r="T643">
        <v>8.1</v>
      </c>
      <c r="V643">
        <v>10.4</v>
      </c>
      <c r="W643" t="s">
        <v>66</v>
      </c>
      <c r="X643" t="s">
        <v>67</v>
      </c>
      <c r="Y643" t="s">
        <v>67</v>
      </c>
      <c r="Z643" t="s">
        <v>68</v>
      </c>
      <c r="AB643">
        <v>4</v>
      </c>
      <c r="AC643" t="s">
        <v>61</v>
      </c>
      <c r="AJ643" t="s">
        <v>69</v>
      </c>
      <c r="AY643" t="s">
        <v>141</v>
      </c>
      <c r="AZ643">
        <v>12447</v>
      </c>
      <c r="BA643" t="s">
        <v>142</v>
      </c>
      <c r="BB643" t="s">
        <v>143</v>
      </c>
      <c r="BC643">
        <v>1985</v>
      </c>
      <c r="BD643" t="s">
        <v>73</v>
      </c>
    </row>
    <row r="644" spans="1:56" x14ac:dyDescent="0.35">
      <c r="A644">
        <v>88062</v>
      </c>
      <c r="B644" t="s">
        <v>699</v>
      </c>
      <c r="D644" t="s">
        <v>57</v>
      </c>
      <c r="E644" t="s">
        <v>86</v>
      </c>
      <c r="F644" t="s">
        <v>58</v>
      </c>
      <c r="G644" t="s">
        <v>59</v>
      </c>
      <c r="H644" t="s">
        <v>60</v>
      </c>
      <c r="J644" t="s">
        <v>86</v>
      </c>
      <c r="K644" t="s">
        <v>61</v>
      </c>
      <c r="L644" t="s">
        <v>74</v>
      </c>
      <c r="M644" t="s">
        <v>63</v>
      </c>
      <c r="N644" t="s">
        <v>64</v>
      </c>
      <c r="P644" t="s">
        <v>65</v>
      </c>
      <c r="R644">
        <v>9.6999999999999993</v>
      </c>
      <c r="W644" t="s">
        <v>66</v>
      </c>
      <c r="X644" t="s">
        <v>67</v>
      </c>
      <c r="Y644" t="s">
        <v>67</v>
      </c>
      <c r="Z644" t="s">
        <v>68</v>
      </c>
      <c r="AB644">
        <v>4</v>
      </c>
      <c r="AC644" t="s">
        <v>61</v>
      </c>
      <c r="AJ644" t="s">
        <v>69</v>
      </c>
      <c r="AY644" t="s">
        <v>124</v>
      </c>
      <c r="AZ644">
        <v>2189</v>
      </c>
      <c r="BA644" t="s">
        <v>125</v>
      </c>
      <c r="BB644" t="s">
        <v>126</v>
      </c>
      <c r="BC644">
        <v>1981</v>
      </c>
      <c r="BD644" t="s">
        <v>127</v>
      </c>
    </row>
    <row r="645" spans="1:56" x14ac:dyDescent="0.35">
      <c r="A645">
        <v>88302</v>
      </c>
      <c r="B645" t="s">
        <v>701</v>
      </c>
      <c r="D645" t="s">
        <v>85</v>
      </c>
      <c r="E645" t="s">
        <v>86</v>
      </c>
      <c r="F645" t="s">
        <v>58</v>
      </c>
      <c r="G645" t="s">
        <v>59</v>
      </c>
      <c r="H645" t="s">
        <v>60</v>
      </c>
      <c r="J645" t="s">
        <v>86</v>
      </c>
      <c r="L645" t="s">
        <v>62</v>
      </c>
      <c r="M645" t="s">
        <v>63</v>
      </c>
      <c r="N645" t="s">
        <v>64</v>
      </c>
      <c r="P645" t="s">
        <v>100</v>
      </c>
      <c r="R645">
        <v>2.84</v>
      </c>
      <c r="T645">
        <v>2.29</v>
      </c>
      <c r="V645">
        <v>3.52</v>
      </c>
      <c r="W645" t="s">
        <v>66</v>
      </c>
      <c r="X645" t="s">
        <v>67</v>
      </c>
      <c r="Y645" t="s">
        <v>67</v>
      </c>
      <c r="Z645" t="s">
        <v>68</v>
      </c>
      <c r="AB645">
        <v>4</v>
      </c>
      <c r="AC645" t="s">
        <v>61</v>
      </c>
      <c r="AJ645" t="s">
        <v>69</v>
      </c>
      <c r="AY645" t="s">
        <v>624</v>
      </c>
      <c r="AZ645">
        <v>10938</v>
      </c>
      <c r="BA645" t="s">
        <v>702</v>
      </c>
      <c r="BB645" t="s">
        <v>703</v>
      </c>
      <c r="BC645">
        <v>1985</v>
      </c>
      <c r="BD645" t="s">
        <v>90</v>
      </c>
    </row>
    <row r="646" spans="1:56" x14ac:dyDescent="0.35">
      <c r="A646">
        <v>88302</v>
      </c>
      <c r="B646" t="s">
        <v>701</v>
      </c>
      <c r="D646" t="s">
        <v>57</v>
      </c>
      <c r="E646">
        <v>99</v>
      </c>
      <c r="F646" t="s">
        <v>58</v>
      </c>
      <c r="G646" t="s">
        <v>59</v>
      </c>
      <c r="H646" t="s">
        <v>60</v>
      </c>
      <c r="J646">
        <v>29</v>
      </c>
      <c r="K646" t="s">
        <v>61</v>
      </c>
      <c r="L646" t="s">
        <v>74</v>
      </c>
      <c r="M646" t="s">
        <v>63</v>
      </c>
      <c r="N646" t="s">
        <v>64</v>
      </c>
      <c r="P646" t="s">
        <v>65</v>
      </c>
      <c r="R646">
        <v>9.14</v>
      </c>
      <c r="T646">
        <v>8.59</v>
      </c>
      <c r="V646">
        <v>9.7200000000000006</v>
      </c>
      <c r="W646" t="s">
        <v>66</v>
      </c>
      <c r="X646" t="s">
        <v>67</v>
      </c>
      <c r="Y646" t="s">
        <v>67</v>
      </c>
      <c r="Z646" t="s">
        <v>68</v>
      </c>
      <c r="AB646">
        <v>4</v>
      </c>
      <c r="AC646" t="s">
        <v>61</v>
      </c>
      <c r="AJ646" t="s">
        <v>69</v>
      </c>
      <c r="AY646" t="s">
        <v>75</v>
      </c>
      <c r="AZ646">
        <v>3217</v>
      </c>
      <c r="BA646" t="s">
        <v>76</v>
      </c>
      <c r="BB646" t="s">
        <v>77</v>
      </c>
      <c r="BC646">
        <v>1990</v>
      </c>
      <c r="BD646" t="s">
        <v>73</v>
      </c>
    </row>
    <row r="647" spans="1:56" x14ac:dyDescent="0.35">
      <c r="A647">
        <v>88302</v>
      </c>
      <c r="B647" t="s">
        <v>701</v>
      </c>
      <c r="C647" t="s">
        <v>704</v>
      </c>
      <c r="D647" t="s">
        <v>85</v>
      </c>
      <c r="E647">
        <v>35.4</v>
      </c>
      <c r="F647" t="s">
        <v>58</v>
      </c>
      <c r="G647" t="s">
        <v>59</v>
      </c>
      <c r="H647" t="s">
        <v>60</v>
      </c>
      <c r="I647" t="s">
        <v>705</v>
      </c>
      <c r="J647" t="s">
        <v>86</v>
      </c>
      <c r="L647" t="s">
        <v>62</v>
      </c>
      <c r="M647" t="s">
        <v>63</v>
      </c>
      <c r="N647" t="s">
        <v>64</v>
      </c>
      <c r="P647" t="s">
        <v>65</v>
      </c>
      <c r="R647">
        <v>4.79</v>
      </c>
      <c r="T647">
        <v>4.1900000000000004</v>
      </c>
      <c r="V647">
        <v>5.47</v>
      </c>
      <c r="W647" t="s">
        <v>706</v>
      </c>
      <c r="X647" t="s">
        <v>67</v>
      </c>
      <c r="Y647" t="s">
        <v>67</v>
      </c>
      <c r="Z647" t="s">
        <v>68</v>
      </c>
      <c r="AB647">
        <v>4</v>
      </c>
      <c r="AC647" t="s">
        <v>61</v>
      </c>
      <c r="AJ647" t="s">
        <v>69</v>
      </c>
      <c r="AY647" t="s">
        <v>707</v>
      </c>
      <c r="AZ647">
        <v>997</v>
      </c>
      <c r="BA647" t="s">
        <v>708</v>
      </c>
      <c r="BB647" t="s">
        <v>709</v>
      </c>
      <c r="BC647">
        <v>1975</v>
      </c>
      <c r="BD647" t="s">
        <v>90</v>
      </c>
    </row>
    <row r="648" spans="1:56" x14ac:dyDescent="0.35">
      <c r="A648">
        <v>88302</v>
      </c>
      <c r="B648" t="s">
        <v>701</v>
      </c>
      <c r="C648" t="s">
        <v>704</v>
      </c>
      <c r="D648" t="s">
        <v>85</v>
      </c>
      <c r="E648">
        <v>35.700000000000003</v>
      </c>
      <c r="F648" t="s">
        <v>58</v>
      </c>
      <c r="G648" t="s">
        <v>59</v>
      </c>
      <c r="H648" t="s">
        <v>60</v>
      </c>
      <c r="I648" t="s">
        <v>211</v>
      </c>
      <c r="J648" t="s">
        <v>86</v>
      </c>
      <c r="L648" t="s">
        <v>62</v>
      </c>
      <c r="M648" t="s">
        <v>63</v>
      </c>
      <c r="N648" t="s">
        <v>64</v>
      </c>
      <c r="P648" t="s">
        <v>65</v>
      </c>
      <c r="R648">
        <v>5.5</v>
      </c>
      <c r="T648">
        <v>4.54</v>
      </c>
      <c r="V648">
        <v>6.67</v>
      </c>
      <c r="W648" t="s">
        <v>66</v>
      </c>
      <c r="X648" t="s">
        <v>67</v>
      </c>
      <c r="Y648" t="s">
        <v>67</v>
      </c>
      <c r="Z648" t="s">
        <v>68</v>
      </c>
      <c r="AB648">
        <v>4</v>
      </c>
      <c r="AC648" t="s">
        <v>61</v>
      </c>
      <c r="AJ648" t="s">
        <v>69</v>
      </c>
      <c r="AY648" t="s">
        <v>710</v>
      </c>
      <c r="AZ648">
        <v>6667</v>
      </c>
      <c r="BA648" t="s">
        <v>711</v>
      </c>
      <c r="BB648" t="s">
        <v>712</v>
      </c>
      <c r="BC648">
        <v>1985</v>
      </c>
      <c r="BD648" t="s">
        <v>90</v>
      </c>
    </row>
    <row r="649" spans="1:56" x14ac:dyDescent="0.35">
      <c r="A649">
        <v>88686</v>
      </c>
      <c r="B649" t="s">
        <v>713</v>
      </c>
      <c r="D649" t="s">
        <v>57</v>
      </c>
      <c r="E649" t="s">
        <v>128</v>
      </c>
      <c r="F649" t="s">
        <v>58</v>
      </c>
      <c r="G649" t="s">
        <v>59</v>
      </c>
      <c r="H649" t="s">
        <v>60</v>
      </c>
      <c r="I649" t="s">
        <v>129</v>
      </c>
      <c r="J649" t="s">
        <v>86</v>
      </c>
      <c r="K649" t="s">
        <v>61</v>
      </c>
      <c r="L649" t="s">
        <v>74</v>
      </c>
      <c r="M649" t="s">
        <v>63</v>
      </c>
      <c r="N649" t="s">
        <v>64</v>
      </c>
      <c r="P649" t="s">
        <v>65</v>
      </c>
      <c r="R649">
        <v>395</v>
      </c>
      <c r="W649" t="s">
        <v>66</v>
      </c>
      <c r="X649" t="s">
        <v>67</v>
      </c>
      <c r="Y649" t="s">
        <v>67</v>
      </c>
      <c r="Z649" t="s">
        <v>68</v>
      </c>
      <c r="AB649">
        <v>4</v>
      </c>
      <c r="AC649" t="s">
        <v>61</v>
      </c>
      <c r="AJ649" t="s">
        <v>69</v>
      </c>
      <c r="AY649" t="s">
        <v>134</v>
      </c>
      <c r="AZ649">
        <v>15031</v>
      </c>
      <c r="BA649" t="s">
        <v>135</v>
      </c>
      <c r="BB649" t="s">
        <v>136</v>
      </c>
      <c r="BC649">
        <v>1995</v>
      </c>
      <c r="BD649" t="s">
        <v>133</v>
      </c>
    </row>
    <row r="650" spans="1:56" x14ac:dyDescent="0.35">
      <c r="A650">
        <v>88686</v>
      </c>
      <c r="B650" t="s">
        <v>713</v>
      </c>
      <c r="D650" t="s">
        <v>57</v>
      </c>
      <c r="E650" t="s">
        <v>407</v>
      </c>
      <c r="F650" t="s">
        <v>58</v>
      </c>
      <c r="G650" t="s">
        <v>59</v>
      </c>
      <c r="H650" t="s">
        <v>60</v>
      </c>
      <c r="J650">
        <v>31</v>
      </c>
      <c r="K650" t="s">
        <v>61</v>
      </c>
      <c r="L650" t="s">
        <v>74</v>
      </c>
      <c r="M650" t="s">
        <v>63</v>
      </c>
      <c r="N650" t="s">
        <v>64</v>
      </c>
      <c r="P650" t="s">
        <v>65</v>
      </c>
      <c r="R650">
        <v>395</v>
      </c>
      <c r="T650">
        <v>354</v>
      </c>
      <c r="V650">
        <v>439</v>
      </c>
      <c r="W650" t="s">
        <v>66</v>
      </c>
      <c r="X650" t="s">
        <v>67</v>
      </c>
      <c r="Y650" t="s">
        <v>67</v>
      </c>
      <c r="Z650" t="s">
        <v>68</v>
      </c>
      <c r="AB650">
        <v>4</v>
      </c>
      <c r="AC650" t="s">
        <v>61</v>
      </c>
      <c r="AJ650" t="s">
        <v>69</v>
      </c>
      <c r="AY650" t="s">
        <v>286</v>
      </c>
      <c r="AZ650">
        <v>12448</v>
      </c>
      <c r="BA650" t="s">
        <v>287</v>
      </c>
      <c r="BB650" t="s">
        <v>288</v>
      </c>
      <c r="BC650">
        <v>1984</v>
      </c>
      <c r="BD650" t="s">
        <v>73</v>
      </c>
    </row>
    <row r="651" spans="1:56" x14ac:dyDescent="0.35">
      <c r="A651">
        <v>88722</v>
      </c>
      <c r="B651" t="s">
        <v>714</v>
      </c>
      <c r="D651" t="s">
        <v>85</v>
      </c>
      <c r="E651" t="s">
        <v>86</v>
      </c>
      <c r="F651" t="s">
        <v>58</v>
      </c>
      <c r="G651" t="s">
        <v>59</v>
      </c>
      <c r="H651" t="s">
        <v>60</v>
      </c>
      <c r="J651" t="s">
        <v>86</v>
      </c>
      <c r="L651" t="s">
        <v>62</v>
      </c>
      <c r="M651" t="s">
        <v>63</v>
      </c>
      <c r="N651" t="s">
        <v>64</v>
      </c>
      <c r="P651" t="s">
        <v>100</v>
      </c>
      <c r="T651">
        <v>19</v>
      </c>
      <c r="V651">
        <v>50</v>
      </c>
      <c r="W651" t="s">
        <v>66</v>
      </c>
      <c r="X651" t="s">
        <v>67</v>
      </c>
      <c r="Y651" t="s">
        <v>67</v>
      </c>
      <c r="Z651" t="s">
        <v>68</v>
      </c>
      <c r="AB651">
        <v>4</v>
      </c>
      <c r="AC651" t="s">
        <v>61</v>
      </c>
      <c r="AJ651" t="s">
        <v>69</v>
      </c>
      <c r="AY651" t="s">
        <v>715</v>
      </c>
      <c r="AZ651">
        <v>5671</v>
      </c>
      <c r="BA651" t="s">
        <v>716</v>
      </c>
      <c r="BB651" t="s">
        <v>717</v>
      </c>
      <c r="BC651">
        <v>1977</v>
      </c>
      <c r="BD651" t="s">
        <v>90</v>
      </c>
    </row>
    <row r="652" spans="1:56" x14ac:dyDescent="0.35">
      <c r="A652">
        <v>88722</v>
      </c>
      <c r="B652" t="s">
        <v>714</v>
      </c>
      <c r="D652" t="s">
        <v>85</v>
      </c>
      <c r="E652" t="s">
        <v>86</v>
      </c>
      <c r="F652" t="s">
        <v>58</v>
      </c>
      <c r="G652" t="s">
        <v>59</v>
      </c>
      <c r="H652" t="s">
        <v>60</v>
      </c>
      <c r="I652" t="s">
        <v>129</v>
      </c>
      <c r="J652" t="s">
        <v>86</v>
      </c>
      <c r="L652" t="s">
        <v>62</v>
      </c>
      <c r="M652" t="s">
        <v>63</v>
      </c>
      <c r="N652" t="s">
        <v>64</v>
      </c>
      <c r="P652" t="s">
        <v>65</v>
      </c>
      <c r="R652">
        <v>37.1</v>
      </c>
      <c r="T652">
        <v>34.6</v>
      </c>
      <c r="V652">
        <v>39.9</v>
      </c>
      <c r="W652" t="s">
        <v>66</v>
      </c>
      <c r="X652" t="s">
        <v>67</v>
      </c>
      <c r="Y652" t="s">
        <v>67</v>
      </c>
      <c r="Z652" t="s">
        <v>68</v>
      </c>
      <c r="AB652">
        <v>4</v>
      </c>
      <c r="AC652" t="s">
        <v>61</v>
      </c>
      <c r="AJ652" t="s">
        <v>69</v>
      </c>
      <c r="AY652" t="s">
        <v>718</v>
      </c>
      <c r="AZ652">
        <v>10141</v>
      </c>
      <c r="BA652" t="s">
        <v>719</v>
      </c>
      <c r="BB652" t="s">
        <v>720</v>
      </c>
      <c r="BC652">
        <v>1983</v>
      </c>
      <c r="BD652" t="s">
        <v>721</v>
      </c>
    </row>
    <row r="653" spans="1:56" x14ac:dyDescent="0.35">
      <c r="A653">
        <v>88722</v>
      </c>
      <c r="B653" t="s">
        <v>714</v>
      </c>
      <c r="D653" t="s">
        <v>85</v>
      </c>
      <c r="E653" t="s">
        <v>86</v>
      </c>
      <c r="F653" t="s">
        <v>58</v>
      </c>
      <c r="G653" t="s">
        <v>59</v>
      </c>
      <c r="H653" t="s">
        <v>60</v>
      </c>
      <c r="I653" t="s">
        <v>129</v>
      </c>
      <c r="J653" t="s">
        <v>86</v>
      </c>
      <c r="L653" t="s">
        <v>62</v>
      </c>
      <c r="M653" t="s">
        <v>63</v>
      </c>
      <c r="N653" t="s">
        <v>64</v>
      </c>
      <c r="P653" t="s">
        <v>100</v>
      </c>
      <c r="R653">
        <v>38</v>
      </c>
      <c r="W653" t="s">
        <v>66</v>
      </c>
      <c r="X653" t="s">
        <v>67</v>
      </c>
      <c r="Y653" t="s">
        <v>67</v>
      </c>
      <c r="Z653" t="s">
        <v>68</v>
      </c>
      <c r="AB653">
        <v>4</v>
      </c>
      <c r="AC653" t="s">
        <v>61</v>
      </c>
      <c r="AJ653" t="s">
        <v>69</v>
      </c>
      <c r="AY653" t="s">
        <v>722</v>
      </c>
      <c r="AZ653">
        <v>5087</v>
      </c>
      <c r="BA653" t="s">
        <v>723</v>
      </c>
      <c r="BB653" t="s">
        <v>724</v>
      </c>
      <c r="BC653">
        <v>1979</v>
      </c>
      <c r="BD653" t="s">
        <v>90</v>
      </c>
    </row>
    <row r="654" spans="1:56" x14ac:dyDescent="0.35">
      <c r="A654">
        <v>88755</v>
      </c>
      <c r="B654" t="s">
        <v>725</v>
      </c>
      <c r="D654" t="s">
        <v>57</v>
      </c>
      <c r="E654">
        <v>85</v>
      </c>
      <c r="F654" t="s">
        <v>58</v>
      </c>
      <c r="G654" t="s">
        <v>59</v>
      </c>
      <c r="H654" t="s">
        <v>60</v>
      </c>
      <c r="J654">
        <v>30</v>
      </c>
      <c r="K654" t="s">
        <v>61</v>
      </c>
      <c r="L654" t="s">
        <v>74</v>
      </c>
      <c r="M654" t="s">
        <v>63</v>
      </c>
      <c r="N654" t="s">
        <v>64</v>
      </c>
      <c r="P654" t="s">
        <v>65</v>
      </c>
      <c r="R654">
        <v>160</v>
      </c>
      <c r="T654">
        <v>141</v>
      </c>
      <c r="V654">
        <v>182</v>
      </c>
      <c r="W654" t="s">
        <v>66</v>
      </c>
      <c r="X654" t="s">
        <v>67</v>
      </c>
      <c r="Y654" t="s">
        <v>67</v>
      </c>
      <c r="Z654" t="s">
        <v>68</v>
      </c>
      <c r="AB654">
        <v>4</v>
      </c>
      <c r="AC654" t="s">
        <v>61</v>
      </c>
      <c r="AJ654" t="s">
        <v>69</v>
      </c>
      <c r="AY654" t="s">
        <v>80</v>
      </c>
      <c r="AZ654">
        <v>12859</v>
      </c>
      <c r="BA654" t="s">
        <v>81</v>
      </c>
      <c r="BB654" t="s">
        <v>82</v>
      </c>
      <c r="BC654">
        <v>1988</v>
      </c>
      <c r="BD654" t="s">
        <v>73</v>
      </c>
    </row>
    <row r="655" spans="1:56" x14ac:dyDescent="0.35">
      <c r="A655">
        <v>88857</v>
      </c>
      <c r="B655" t="s">
        <v>726</v>
      </c>
      <c r="D655" t="s">
        <v>85</v>
      </c>
      <c r="E655">
        <v>13.7</v>
      </c>
      <c r="F655" t="s">
        <v>58</v>
      </c>
      <c r="G655" t="s">
        <v>59</v>
      </c>
      <c r="H655" t="s">
        <v>60</v>
      </c>
      <c r="J655">
        <v>1</v>
      </c>
      <c r="K655" t="s">
        <v>506</v>
      </c>
      <c r="L655" t="s">
        <v>62</v>
      </c>
      <c r="M655" t="s">
        <v>63</v>
      </c>
      <c r="N655" t="s">
        <v>64</v>
      </c>
      <c r="P655" t="s">
        <v>65</v>
      </c>
      <c r="R655">
        <v>9.2999999999999999E-2</v>
      </c>
      <c r="T655">
        <v>7.4999999999999997E-2</v>
      </c>
      <c r="V655">
        <v>0.11</v>
      </c>
      <c r="W655" t="s">
        <v>66</v>
      </c>
      <c r="X655" t="s">
        <v>67</v>
      </c>
      <c r="Y655" t="s">
        <v>67</v>
      </c>
      <c r="Z655" t="s">
        <v>68</v>
      </c>
      <c r="AB655">
        <v>4</v>
      </c>
      <c r="AC655" t="s">
        <v>61</v>
      </c>
      <c r="AJ655" t="s">
        <v>69</v>
      </c>
      <c r="AY655" t="s">
        <v>727</v>
      </c>
      <c r="AZ655">
        <v>759</v>
      </c>
      <c r="BA655" t="s">
        <v>728</v>
      </c>
      <c r="BB655" t="s">
        <v>729</v>
      </c>
      <c r="BC655">
        <v>1989</v>
      </c>
      <c r="BD655" t="s">
        <v>510</v>
      </c>
    </row>
    <row r="656" spans="1:56" x14ac:dyDescent="0.35">
      <c r="A656">
        <v>88857</v>
      </c>
      <c r="B656" t="s">
        <v>726</v>
      </c>
      <c r="C656" t="s">
        <v>91</v>
      </c>
      <c r="D656" t="s">
        <v>57</v>
      </c>
      <c r="E656">
        <v>98</v>
      </c>
      <c r="F656" t="s">
        <v>58</v>
      </c>
      <c r="G656" t="s">
        <v>59</v>
      </c>
      <c r="H656" t="s">
        <v>60</v>
      </c>
      <c r="J656">
        <v>30</v>
      </c>
      <c r="K656" t="s">
        <v>61</v>
      </c>
      <c r="L656" t="s">
        <v>74</v>
      </c>
      <c r="M656" t="s">
        <v>63</v>
      </c>
      <c r="N656" t="s">
        <v>64</v>
      </c>
      <c r="O656">
        <v>6</v>
      </c>
      <c r="P656" t="s">
        <v>65</v>
      </c>
      <c r="R656">
        <v>0.7</v>
      </c>
      <c r="T656">
        <v>0.6</v>
      </c>
      <c r="V656">
        <v>0.7</v>
      </c>
      <c r="W656" t="s">
        <v>66</v>
      </c>
      <c r="X656" t="s">
        <v>67</v>
      </c>
      <c r="Y656" t="s">
        <v>67</v>
      </c>
      <c r="Z656" t="s">
        <v>68</v>
      </c>
      <c r="AB656">
        <v>4</v>
      </c>
      <c r="AC656" t="s">
        <v>61</v>
      </c>
      <c r="AJ656" t="s">
        <v>69</v>
      </c>
      <c r="AY656" t="s">
        <v>730</v>
      </c>
      <c r="AZ656">
        <v>10635</v>
      </c>
      <c r="BA656" t="s">
        <v>731</v>
      </c>
      <c r="BB656" t="s">
        <v>732</v>
      </c>
      <c r="BC656">
        <v>1984</v>
      </c>
      <c r="BD656" t="s">
        <v>73</v>
      </c>
    </row>
    <row r="657" spans="1:56" x14ac:dyDescent="0.35">
      <c r="A657">
        <v>88857</v>
      </c>
      <c r="B657" t="s">
        <v>726</v>
      </c>
      <c r="C657" t="s">
        <v>91</v>
      </c>
      <c r="D657" t="s">
        <v>85</v>
      </c>
      <c r="E657">
        <v>95</v>
      </c>
      <c r="F657" t="s">
        <v>58</v>
      </c>
      <c r="G657" t="s">
        <v>59</v>
      </c>
      <c r="H657" t="s">
        <v>60</v>
      </c>
      <c r="J657">
        <v>1</v>
      </c>
      <c r="K657" t="s">
        <v>506</v>
      </c>
      <c r="L657" t="s">
        <v>62</v>
      </c>
      <c r="M657" t="s">
        <v>63</v>
      </c>
      <c r="N657" t="s">
        <v>64</v>
      </c>
      <c r="P657" t="s">
        <v>65</v>
      </c>
      <c r="R657">
        <v>8.7999999999999995E-2</v>
      </c>
      <c r="T657">
        <v>7.8E-2</v>
      </c>
      <c r="V657">
        <v>9.8000000000000004E-2</v>
      </c>
      <c r="W657" t="s">
        <v>66</v>
      </c>
      <c r="X657" t="s">
        <v>67</v>
      </c>
      <c r="Y657" t="s">
        <v>67</v>
      </c>
      <c r="Z657" t="s">
        <v>68</v>
      </c>
      <c r="AB657">
        <v>4</v>
      </c>
      <c r="AC657" t="s">
        <v>61</v>
      </c>
      <c r="AJ657" t="s">
        <v>69</v>
      </c>
      <c r="AY657" t="s">
        <v>727</v>
      </c>
      <c r="AZ657">
        <v>759</v>
      </c>
      <c r="BA657" t="s">
        <v>728</v>
      </c>
      <c r="BB657" t="s">
        <v>729</v>
      </c>
      <c r="BC657">
        <v>1989</v>
      </c>
      <c r="BD657" t="s">
        <v>510</v>
      </c>
    </row>
    <row r="658" spans="1:56" x14ac:dyDescent="0.35">
      <c r="A658">
        <v>88857</v>
      </c>
      <c r="B658" t="s">
        <v>726</v>
      </c>
      <c r="D658" t="s">
        <v>57</v>
      </c>
      <c r="E658">
        <v>98</v>
      </c>
      <c r="F658" t="s">
        <v>58</v>
      </c>
      <c r="G658" t="s">
        <v>59</v>
      </c>
      <c r="H658" t="s">
        <v>60</v>
      </c>
      <c r="J658">
        <v>30</v>
      </c>
      <c r="K658" t="s">
        <v>61</v>
      </c>
      <c r="L658" t="s">
        <v>74</v>
      </c>
      <c r="M658" t="s">
        <v>63</v>
      </c>
      <c r="N658" t="s">
        <v>64</v>
      </c>
      <c r="P658" t="s">
        <v>65</v>
      </c>
      <c r="R658">
        <v>0.41</v>
      </c>
      <c r="W658" t="s">
        <v>66</v>
      </c>
      <c r="X658" t="s">
        <v>67</v>
      </c>
      <c r="Y658" t="s">
        <v>67</v>
      </c>
      <c r="Z658" t="s">
        <v>68</v>
      </c>
      <c r="AB658">
        <v>4</v>
      </c>
      <c r="AC658" t="s">
        <v>61</v>
      </c>
      <c r="AJ658" t="s">
        <v>69</v>
      </c>
      <c r="AY658" t="s">
        <v>141</v>
      </c>
      <c r="AZ658">
        <v>12447</v>
      </c>
      <c r="BA658" t="s">
        <v>142</v>
      </c>
      <c r="BB658" t="s">
        <v>143</v>
      </c>
      <c r="BC658">
        <v>1985</v>
      </c>
      <c r="BD658" t="s">
        <v>73</v>
      </c>
    </row>
    <row r="659" spans="1:56" x14ac:dyDescent="0.35">
      <c r="A659">
        <v>88857</v>
      </c>
      <c r="B659" t="s">
        <v>726</v>
      </c>
      <c r="D659" t="s">
        <v>85</v>
      </c>
      <c r="E659" t="s">
        <v>79</v>
      </c>
      <c r="F659" t="s">
        <v>58</v>
      </c>
      <c r="G659" t="s">
        <v>59</v>
      </c>
      <c r="H659" t="s">
        <v>60</v>
      </c>
      <c r="J659" t="s">
        <v>86</v>
      </c>
      <c r="L659" t="s">
        <v>62</v>
      </c>
      <c r="M659" t="s">
        <v>63</v>
      </c>
      <c r="N659" t="s">
        <v>64</v>
      </c>
      <c r="P659" t="s">
        <v>65</v>
      </c>
      <c r="R659">
        <v>0.16</v>
      </c>
      <c r="T659">
        <v>0.14000000000000001</v>
      </c>
      <c r="V659">
        <v>0.19</v>
      </c>
      <c r="W659" t="s">
        <v>66</v>
      </c>
      <c r="X659" t="s">
        <v>67</v>
      </c>
      <c r="Y659" t="s">
        <v>67</v>
      </c>
      <c r="Z659" t="s">
        <v>68</v>
      </c>
      <c r="AB659">
        <v>4</v>
      </c>
      <c r="AC659" t="s">
        <v>61</v>
      </c>
      <c r="AJ659" t="s">
        <v>69</v>
      </c>
      <c r="AY659" t="s">
        <v>733</v>
      </c>
      <c r="AZ659">
        <v>11961</v>
      </c>
      <c r="BA659" t="s">
        <v>734</v>
      </c>
      <c r="BB659" t="s">
        <v>735</v>
      </c>
      <c r="BC659">
        <v>1986</v>
      </c>
      <c r="BD659" t="s">
        <v>90</v>
      </c>
    </row>
    <row r="660" spans="1:56" x14ac:dyDescent="0.35">
      <c r="A660">
        <v>88857</v>
      </c>
      <c r="B660" t="s">
        <v>726</v>
      </c>
      <c r="D660" t="s">
        <v>57</v>
      </c>
      <c r="E660">
        <v>98</v>
      </c>
      <c r="F660" t="s">
        <v>58</v>
      </c>
      <c r="G660" t="s">
        <v>59</v>
      </c>
      <c r="H660" t="s">
        <v>60</v>
      </c>
      <c r="J660" t="s">
        <v>86</v>
      </c>
      <c r="K660" t="s">
        <v>61</v>
      </c>
      <c r="L660" t="s">
        <v>74</v>
      </c>
      <c r="M660" t="s">
        <v>63</v>
      </c>
      <c r="N660" t="s">
        <v>64</v>
      </c>
      <c r="O660">
        <v>6</v>
      </c>
      <c r="P660" t="s">
        <v>65</v>
      </c>
      <c r="R660">
        <v>0.41</v>
      </c>
      <c r="W660" t="s">
        <v>66</v>
      </c>
      <c r="X660" t="s">
        <v>67</v>
      </c>
      <c r="Y660" t="s">
        <v>67</v>
      </c>
      <c r="Z660" t="s">
        <v>68</v>
      </c>
      <c r="AB660">
        <v>4</v>
      </c>
      <c r="AC660" t="s">
        <v>61</v>
      </c>
      <c r="AJ660" t="s">
        <v>69</v>
      </c>
      <c r="AY660" t="s">
        <v>120</v>
      </c>
      <c r="AZ660">
        <v>14097</v>
      </c>
      <c r="BA660" t="s">
        <v>121</v>
      </c>
      <c r="BB660" t="s">
        <v>122</v>
      </c>
      <c r="BC660">
        <v>1989</v>
      </c>
      <c r="BD660" t="s">
        <v>123</v>
      </c>
    </row>
    <row r="661" spans="1:56" x14ac:dyDescent="0.35">
      <c r="A661">
        <v>88857</v>
      </c>
      <c r="B661" t="s">
        <v>726</v>
      </c>
      <c r="D661" t="s">
        <v>85</v>
      </c>
      <c r="E661">
        <v>55</v>
      </c>
      <c r="F661" t="s">
        <v>58</v>
      </c>
      <c r="G661" t="s">
        <v>59</v>
      </c>
      <c r="H661" t="s">
        <v>60</v>
      </c>
      <c r="J661">
        <v>1</v>
      </c>
      <c r="K661" t="s">
        <v>506</v>
      </c>
      <c r="L661" t="s">
        <v>62</v>
      </c>
      <c r="M661" t="s">
        <v>63</v>
      </c>
      <c r="N661" t="s">
        <v>64</v>
      </c>
      <c r="P661" t="s">
        <v>65</v>
      </c>
      <c r="R661">
        <v>0.09</v>
      </c>
      <c r="T661">
        <v>7.5999999999999998E-2</v>
      </c>
      <c r="V661">
        <v>0.11</v>
      </c>
      <c r="W661" t="s">
        <v>66</v>
      </c>
      <c r="X661" t="s">
        <v>67</v>
      </c>
      <c r="Y661" t="s">
        <v>67</v>
      </c>
      <c r="Z661" t="s">
        <v>68</v>
      </c>
      <c r="AB661">
        <v>4</v>
      </c>
      <c r="AC661" t="s">
        <v>61</v>
      </c>
      <c r="AJ661" t="s">
        <v>69</v>
      </c>
      <c r="AY661" t="s">
        <v>727</v>
      </c>
      <c r="AZ661">
        <v>759</v>
      </c>
      <c r="BA661" t="s">
        <v>728</v>
      </c>
      <c r="BB661" t="s">
        <v>729</v>
      </c>
      <c r="BC661">
        <v>1989</v>
      </c>
      <c r="BD661" t="s">
        <v>510</v>
      </c>
    </row>
    <row r="662" spans="1:56" x14ac:dyDescent="0.35">
      <c r="A662">
        <v>88857</v>
      </c>
      <c r="B662" t="s">
        <v>726</v>
      </c>
      <c r="D662" t="s">
        <v>85</v>
      </c>
      <c r="E662">
        <v>23.5</v>
      </c>
      <c r="F662" t="s">
        <v>58</v>
      </c>
      <c r="G662" t="s">
        <v>59</v>
      </c>
      <c r="H662" t="s">
        <v>60</v>
      </c>
      <c r="J662">
        <v>1</v>
      </c>
      <c r="K662" t="s">
        <v>506</v>
      </c>
      <c r="L662" t="s">
        <v>62</v>
      </c>
      <c r="M662" t="s">
        <v>63</v>
      </c>
      <c r="N662" t="s">
        <v>64</v>
      </c>
      <c r="P662" t="s">
        <v>65</v>
      </c>
      <c r="R662">
        <v>0.1</v>
      </c>
      <c r="T662">
        <v>8.6999999999999994E-2</v>
      </c>
      <c r="V662">
        <v>0.13</v>
      </c>
      <c r="W662" t="s">
        <v>66</v>
      </c>
      <c r="X662" t="s">
        <v>67</v>
      </c>
      <c r="Y662" t="s">
        <v>67</v>
      </c>
      <c r="Z662" t="s">
        <v>68</v>
      </c>
      <c r="AB662">
        <v>4</v>
      </c>
      <c r="AC662" t="s">
        <v>61</v>
      </c>
      <c r="AJ662" t="s">
        <v>69</v>
      </c>
      <c r="AY662" t="s">
        <v>727</v>
      </c>
      <c r="AZ662">
        <v>759</v>
      </c>
      <c r="BA662" t="s">
        <v>728</v>
      </c>
      <c r="BB662" t="s">
        <v>729</v>
      </c>
      <c r="BC662">
        <v>1989</v>
      </c>
      <c r="BD662" t="s">
        <v>510</v>
      </c>
    </row>
    <row r="663" spans="1:56" x14ac:dyDescent="0.35">
      <c r="A663">
        <v>88857</v>
      </c>
      <c r="B663" t="s">
        <v>726</v>
      </c>
      <c r="D663" t="s">
        <v>85</v>
      </c>
      <c r="E663">
        <v>5.7</v>
      </c>
      <c r="F663" t="s">
        <v>58</v>
      </c>
      <c r="G663" t="s">
        <v>59</v>
      </c>
      <c r="H663" t="s">
        <v>60</v>
      </c>
      <c r="J663">
        <v>1</v>
      </c>
      <c r="K663" t="s">
        <v>506</v>
      </c>
      <c r="L663" t="s">
        <v>62</v>
      </c>
      <c r="M663" t="s">
        <v>63</v>
      </c>
      <c r="N663" t="s">
        <v>64</v>
      </c>
      <c r="P663" t="s">
        <v>65</v>
      </c>
      <c r="R663">
        <v>0.15</v>
      </c>
      <c r="T663">
        <v>0.11</v>
      </c>
      <c r="V663">
        <v>0.2</v>
      </c>
      <c r="W663" t="s">
        <v>66</v>
      </c>
      <c r="X663" t="s">
        <v>67</v>
      </c>
      <c r="Y663" t="s">
        <v>67</v>
      </c>
      <c r="Z663" t="s">
        <v>68</v>
      </c>
      <c r="AB663">
        <v>4</v>
      </c>
      <c r="AC663" t="s">
        <v>61</v>
      </c>
      <c r="AJ663" t="s">
        <v>69</v>
      </c>
      <c r="AY663" t="s">
        <v>727</v>
      </c>
      <c r="AZ663">
        <v>759</v>
      </c>
      <c r="BA663" t="s">
        <v>728</v>
      </c>
      <c r="BB663" t="s">
        <v>729</v>
      </c>
      <c r="BC663">
        <v>1989</v>
      </c>
      <c r="BD663" t="s">
        <v>510</v>
      </c>
    </row>
    <row r="664" spans="1:56" x14ac:dyDescent="0.35">
      <c r="A664">
        <v>88857</v>
      </c>
      <c r="B664" t="s">
        <v>726</v>
      </c>
      <c r="D664" t="s">
        <v>57</v>
      </c>
      <c r="E664">
        <v>98</v>
      </c>
      <c r="F664" t="s">
        <v>58</v>
      </c>
      <c r="G664" t="s">
        <v>59</v>
      </c>
      <c r="H664" t="s">
        <v>60</v>
      </c>
      <c r="J664">
        <v>30</v>
      </c>
      <c r="K664" t="s">
        <v>61</v>
      </c>
      <c r="L664" t="s">
        <v>74</v>
      </c>
      <c r="M664" t="s">
        <v>63</v>
      </c>
      <c r="N664" t="s">
        <v>64</v>
      </c>
      <c r="P664" t="s">
        <v>65</v>
      </c>
      <c r="R664">
        <v>0.7</v>
      </c>
      <c r="T664">
        <v>0.6</v>
      </c>
      <c r="V664">
        <v>0.7</v>
      </c>
      <c r="W664" t="s">
        <v>66</v>
      </c>
      <c r="X664" t="s">
        <v>67</v>
      </c>
      <c r="Y664" t="s">
        <v>67</v>
      </c>
      <c r="Z664" t="s">
        <v>68</v>
      </c>
      <c r="AB664">
        <v>4</v>
      </c>
      <c r="AC664" t="s">
        <v>61</v>
      </c>
      <c r="AJ664" t="s">
        <v>69</v>
      </c>
      <c r="AY664" t="s">
        <v>141</v>
      </c>
      <c r="AZ664">
        <v>12447</v>
      </c>
      <c r="BA664" t="s">
        <v>142</v>
      </c>
      <c r="BB664" t="s">
        <v>143</v>
      </c>
      <c r="BC664">
        <v>1985</v>
      </c>
      <c r="BD664" t="s">
        <v>73</v>
      </c>
    </row>
    <row r="665" spans="1:56" x14ac:dyDescent="0.35">
      <c r="A665">
        <v>88857</v>
      </c>
      <c r="B665" t="s">
        <v>726</v>
      </c>
      <c r="D665" t="s">
        <v>85</v>
      </c>
      <c r="E665" t="s">
        <v>79</v>
      </c>
      <c r="F665" t="s">
        <v>58</v>
      </c>
      <c r="G665" t="s">
        <v>59</v>
      </c>
      <c r="H665" t="s">
        <v>60</v>
      </c>
      <c r="J665" t="s">
        <v>86</v>
      </c>
      <c r="L665" t="s">
        <v>62</v>
      </c>
      <c r="M665" t="s">
        <v>63</v>
      </c>
      <c r="N665" t="s">
        <v>64</v>
      </c>
      <c r="P665" t="s">
        <v>65</v>
      </c>
      <c r="R665">
        <v>0.23</v>
      </c>
      <c r="T665">
        <v>0.19</v>
      </c>
      <c r="V665">
        <v>0.28000000000000003</v>
      </c>
      <c r="W665" t="s">
        <v>66</v>
      </c>
      <c r="X665" t="s">
        <v>67</v>
      </c>
      <c r="Y665" t="s">
        <v>67</v>
      </c>
      <c r="Z665" t="s">
        <v>68</v>
      </c>
      <c r="AB665">
        <v>4</v>
      </c>
      <c r="AC665" t="s">
        <v>61</v>
      </c>
      <c r="AJ665" t="s">
        <v>69</v>
      </c>
      <c r="AY665" t="s">
        <v>733</v>
      </c>
      <c r="AZ665">
        <v>11961</v>
      </c>
      <c r="BA665" t="s">
        <v>734</v>
      </c>
      <c r="BB665" t="s">
        <v>735</v>
      </c>
      <c r="BC665">
        <v>1986</v>
      </c>
      <c r="BD665" t="s">
        <v>90</v>
      </c>
    </row>
    <row r="666" spans="1:56" x14ac:dyDescent="0.35">
      <c r="A666">
        <v>88857</v>
      </c>
      <c r="B666" t="s">
        <v>726</v>
      </c>
      <c r="D666" t="s">
        <v>85</v>
      </c>
      <c r="E666" t="s">
        <v>79</v>
      </c>
      <c r="F666" t="s">
        <v>58</v>
      </c>
      <c r="G666" t="s">
        <v>59</v>
      </c>
      <c r="H666" t="s">
        <v>60</v>
      </c>
      <c r="J666" t="s">
        <v>86</v>
      </c>
      <c r="L666" t="s">
        <v>62</v>
      </c>
      <c r="M666" t="s">
        <v>63</v>
      </c>
      <c r="N666" t="s">
        <v>64</v>
      </c>
      <c r="P666" t="s">
        <v>65</v>
      </c>
      <c r="R666">
        <v>0.13</v>
      </c>
      <c r="T666">
        <v>0.11</v>
      </c>
      <c r="V666">
        <v>0.16</v>
      </c>
      <c r="W666" t="s">
        <v>66</v>
      </c>
      <c r="X666" t="s">
        <v>67</v>
      </c>
      <c r="Y666" t="s">
        <v>67</v>
      </c>
      <c r="Z666" t="s">
        <v>68</v>
      </c>
      <c r="AB666">
        <v>4</v>
      </c>
      <c r="AC666" t="s">
        <v>61</v>
      </c>
      <c r="AJ666" t="s">
        <v>69</v>
      </c>
      <c r="AY666" t="s">
        <v>733</v>
      </c>
      <c r="AZ666">
        <v>11961</v>
      </c>
      <c r="BA666" t="s">
        <v>734</v>
      </c>
      <c r="BB666" t="s">
        <v>735</v>
      </c>
      <c r="BC666">
        <v>1986</v>
      </c>
      <c r="BD666" t="s">
        <v>90</v>
      </c>
    </row>
    <row r="667" spans="1:56" x14ac:dyDescent="0.35">
      <c r="A667">
        <v>88857</v>
      </c>
      <c r="B667" t="s">
        <v>726</v>
      </c>
      <c r="D667" t="s">
        <v>85</v>
      </c>
      <c r="E667" t="s">
        <v>86</v>
      </c>
      <c r="F667" t="s">
        <v>58</v>
      </c>
      <c r="G667" t="s">
        <v>59</v>
      </c>
      <c r="H667" t="s">
        <v>60</v>
      </c>
      <c r="I667" t="s">
        <v>188</v>
      </c>
      <c r="J667" t="s">
        <v>289</v>
      </c>
      <c r="K667" t="s">
        <v>495</v>
      </c>
      <c r="M667" t="s">
        <v>63</v>
      </c>
      <c r="N667" t="s">
        <v>64</v>
      </c>
      <c r="P667" t="s">
        <v>100</v>
      </c>
      <c r="R667">
        <v>0.16</v>
      </c>
      <c r="W667" t="s">
        <v>66</v>
      </c>
      <c r="X667" t="s">
        <v>67</v>
      </c>
      <c r="Y667" t="s">
        <v>67</v>
      </c>
      <c r="Z667" t="s">
        <v>68</v>
      </c>
      <c r="AB667">
        <v>4</v>
      </c>
      <c r="AC667" t="s">
        <v>61</v>
      </c>
      <c r="AJ667" t="s">
        <v>69</v>
      </c>
      <c r="AY667" t="s">
        <v>496</v>
      </c>
      <c r="AZ667">
        <v>177136</v>
      </c>
      <c r="BA667" t="s">
        <v>497</v>
      </c>
      <c r="BB667" t="s">
        <v>498</v>
      </c>
      <c r="BC667">
        <v>2017</v>
      </c>
      <c r="BD667" t="s">
        <v>499</v>
      </c>
    </row>
    <row r="668" spans="1:56" x14ac:dyDescent="0.35">
      <c r="A668">
        <v>89623</v>
      </c>
      <c r="B668" t="s">
        <v>736</v>
      </c>
      <c r="D668" t="s">
        <v>85</v>
      </c>
      <c r="E668" t="s">
        <v>86</v>
      </c>
      <c r="F668" t="s">
        <v>58</v>
      </c>
      <c r="G668" t="s">
        <v>59</v>
      </c>
      <c r="H668" t="s">
        <v>60</v>
      </c>
      <c r="I668" t="s">
        <v>129</v>
      </c>
      <c r="J668" t="s">
        <v>86</v>
      </c>
      <c r="L668" t="s">
        <v>62</v>
      </c>
      <c r="M668" t="s">
        <v>63</v>
      </c>
      <c r="N668" t="s">
        <v>64</v>
      </c>
      <c r="P668" t="s">
        <v>65</v>
      </c>
      <c r="R668">
        <v>24.8</v>
      </c>
      <c r="T668">
        <v>20.6</v>
      </c>
      <c r="V668">
        <v>29.9</v>
      </c>
      <c r="W668" t="s">
        <v>66</v>
      </c>
      <c r="X668" t="s">
        <v>67</v>
      </c>
      <c r="Y668" t="s">
        <v>67</v>
      </c>
      <c r="Z668" t="s">
        <v>68</v>
      </c>
      <c r="AB668">
        <v>4</v>
      </c>
      <c r="AC668" t="s">
        <v>61</v>
      </c>
      <c r="AJ668" t="s">
        <v>69</v>
      </c>
      <c r="AY668" t="s">
        <v>718</v>
      </c>
      <c r="AZ668">
        <v>10141</v>
      </c>
      <c r="BA668" t="s">
        <v>719</v>
      </c>
      <c r="BB668" t="s">
        <v>720</v>
      </c>
      <c r="BC668">
        <v>1983</v>
      </c>
      <c r="BD668" t="s">
        <v>721</v>
      </c>
    </row>
    <row r="669" spans="1:56" x14ac:dyDescent="0.35">
      <c r="A669">
        <v>89838</v>
      </c>
      <c r="B669" t="s">
        <v>737</v>
      </c>
      <c r="C669" t="s">
        <v>195</v>
      </c>
      <c r="D669" t="s">
        <v>85</v>
      </c>
      <c r="E669" t="s">
        <v>86</v>
      </c>
      <c r="F669" t="s">
        <v>58</v>
      </c>
      <c r="G669" t="s">
        <v>59</v>
      </c>
      <c r="H669" t="s">
        <v>60</v>
      </c>
      <c r="I669" t="s">
        <v>129</v>
      </c>
      <c r="J669" t="s">
        <v>86</v>
      </c>
      <c r="L669" t="s">
        <v>62</v>
      </c>
      <c r="M669" t="s">
        <v>63</v>
      </c>
      <c r="N669" t="s">
        <v>64</v>
      </c>
      <c r="O669">
        <v>5</v>
      </c>
      <c r="P669" t="s">
        <v>65</v>
      </c>
      <c r="R669">
        <v>4.2</v>
      </c>
      <c r="W669" t="s">
        <v>66</v>
      </c>
      <c r="X669" t="s">
        <v>67</v>
      </c>
      <c r="Y669" t="s">
        <v>67</v>
      </c>
      <c r="Z669" t="s">
        <v>68</v>
      </c>
      <c r="AB669">
        <v>4</v>
      </c>
      <c r="AC669" t="s">
        <v>61</v>
      </c>
      <c r="AJ669" t="s">
        <v>69</v>
      </c>
      <c r="AY669" t="s">
        <v>298</v>
      </c>
      <c r="AZ669">
        <v>11951</v>
      </c>
      <c r="BA669" t="s">
        <v>299</v>
      </c>
      <c r="BB669" t="s">
        <v>300</v>
      </c>
      <c r="BC669">
        <v>1986</v>
      </c>
      <c r="BD669" t="s">
        <v>90</v>
      </c>
    </row>
    <row r="670" spans="1:56" x14ac:dyDescent="0.35">
      <c r="A670">
        <v>89838</v>
      </c>
      <c r="B670" t="s">
        <v>737</v>
      </c>
      <c r="C670" t="s">
        <v>195</v>
      </c>
      <c r="D670" t="s">
        <v>85</v>
      </c>
      <c r="E670" t="s">
        <v>86</v>
      </c>
      <c r="F670" t="s">
        <v>58</v>
      </c>
      <c r="G670" t="s">
        <v>59</v>
      </c>
      <c r="H670" t="s">
        <v>60</v>
      </c>
      <c r="I670" t="s">
        <v>129</v>
      </c>
      <c r="J670" t="s">
        <v>86</v>
      </c>
      <c r="L670" t="s">
        <v>62</v>
      </c>
      <c r="M670" t="s">
        <v>63</v>
      </c>
      <c r="N670" t="s">
        <v>64</v>
      </c>
      <c r="O670">
        <v>5</v>
      </c>
      <c r="P670" t="s">
        <v>65</v>
      </c>
      <c r="R670">
        <v>3.2</v>
      </c>
      <c r="W670" t="s">
        <v>66</v>
      </c>
      <c r="X670" t="s">
        <v>67</v>
      </c>
      <c r="Y670" t="s">
        <v>67</v>
      </c>
      <c r="Z670" t="s">
        <v>68</v>
      </c>
      <c r="AB670">
        <v>4</v>
      </c>
      <c r="AC670" t="s">
        <v>61</v>
      </c>
      <c r="AJ670" t="s">
        <v>69</v>
      </c>
      <c r="AY670" t="s">
        <v>298</v>
      </c>
      <c r="AZ670">
        <v>11951</v>
      </c>
      <c r="BA670" t="s">
        <v>299</v>
      </c>
      <c r="BB670" t="s">
        <v>300</v>
      </c>
      <c r="BC670">
        <v>1986</v>
      </c>
      <c r="BD670" t="s">
        <v>90</v>
      </c>
    </row>
    <row r="671" spans="1:56" x14ac:dyDescent="0.35">
      <c r="A671">
        <v>89838</v>
      </c>
      <c r="B671" t="s">
        <v>737</v>
      </c>
      <c r="C671" t="s">
        <v>195</v>
      </c>
      <c r="D671" t="s">
        <v>85</v>
      </c>
      <c r="E671" t="s">
        <v>86</v>
      </c>
      <c r="F671" t="s">
        <v>58</v>
      </c>
      <c r="G671" t="s">
        <v>59</v>
      </c>
      <c r="H671" t="s">
        <v>60</v>
      </c>
      <c r="I671" t="s">
        <v>129</v>
      </c>
      <c r="J671" t="s">
        <v>86</v>
      </c>
      <c r="L671" t="s">
        <v>62</v>
      </c>
      <c r="M671" t="s">
        <v>63</v>
      </c>
      <c r="N671" t="s">
        <v>64</v>
      </c>
      <c r="O671">
        <v>5</v>
      </c>
      <c r="P671" t="s">
        <v>65</v>
      </c>
      <c r="R671">
        <v>3.2</v>
      </c>
      <c r="W671" t="s">
        <v>66</v>
      </c>
      <c r="X671" t="s">
        <v>67</v>
      </c>
      <c r="Y671" t="s">
        <v>67</v>
      </c>
      <c r="Z671" t="s">
        <v>68</v>
      </c>
      <c r="AB671">
        <v>4</v>
      </c>
      <c r="AC671" t="s">
        <v>61</v>
      </c>
      <c r="AJ671" t="s">
        <v>69</v>
      </c>
      <c r="AY671" t="s">
        <v>298</v>
      </c>
      <c r="AZ671">
        <v>11951</v>
      </c>
      <c r="BA671" t="s">
        <v>299</v>
      </c>
      <c r="BB671" t="s">
        <v>300</v>
      </c>
      <c r="BC671">
        <v>1986</v>
      </c>
      <c r="BD671" t="s">
        <v>90</v>
      </c>
    </row>
    <row r="672" spans="1:56" x14ac:dyDescent="0.35">
      <c r="A672">
        <v>89838</v>
      </c>
      <c r="B672" t="s">
        <v>737</v>
      </c>
      <c r="C672" t="s">
        <v>195</v>
      </c>
      <c r="D672" t="s">
        <v>85</v>
      </c>
      <c r="E672" t="s">
        <v>86</v>
      </c>
      <c r="F672" t="s">
        <v>58</v>
      </c>
      <c r="G672" t="s">
        <v>59</v>
      </c>
      <c r="H672" t="s">
        <v>60</v>
      </c>
      <c r="I672" t="s">
        <v>129</v>
      </c>
      <c r="J672" t="s">
        <v>86</v>
      </c>
      <c r="L672" t="s">
        <v>62</v>
      </c>
      <c r="M672" t="s">
        <v>63</v>
      </c>
      <c r="N672" t="s">
        <v>64</v>
      </c>
      <c r="O672">
        <v>5</v>
      </c>
      <c r="P672" t="s">
        <v>65</v>
      </c>
      <c r="R672">
        <v>3.2</v>
      </c>
      <c r="W672" t="s">
        <v>66</v>
      </c>
      <c r="X672" t="s">
        <v>67</v>
      </c>
      <c r="Y672" t="s">
        <v>67</v>
      </c>
      <c r="Z672" t="s">
        <v>68</v>
      </c>
      <c r="AB672">
        <v>4</v>
      </c>
      <c r="AC672" t="s">
        <v>61</v>
      </c>
      <c r="AJ672" t="s">
        <v>69</v>
      </c>
      <c r="AY672" t="s">
        <v>298</v>
      </c>
      <c r="AZ672">
        <v>11951</v>
      </c>
      <c r="BA672" t="s">
        <v>299</v>
      </c>
      <c r="BB672" t="s">
        <v>300</v>
      </c>
      <c r="BC672">
        <v>1986</v>
      </c>
      <c r="BD672" t="s">
        <v>90</v>
      </c>
    </row>
    <row r="673" spans="1:56" x14ac:dyDescent="0.35">
      <c r="A673">
        <v>89838</v>
      </c>
      <c r="B673" t="s">
        <v>737</v>
      </c>
      <c r="C673" t="s">
        <v>195</v>
      </c>
      <c r="D673" t="s">
        <v>85</v>
      </c>
      <c r="E673" t="s">
        <v>86</v>
      </c>
      <c r="F673" t="s">
        <v>58</v>
      </c>
      <c r="G673" t="s">
        <v>59</v>
      </c>
      <c r="H673" t="s">
        <v>60</v>
      </c>
      <c r="I673" t="s">
        <v>129</v>
      </c>
      <c r="J673" t="s">
        <v>86</v>
      </c>
      <c r="L673" t="s">
        <v>62</v>
      </c>
      <c r="M673" t="s">
        <v>63</v>
      </c>
      <c r="N673" t="s">
        <v>64</v>
      </c>
      <c r="O673">
        <v>5</v>
      </c>
      <c r="P673" t="s">
        <v>65</v>
      </c>
      <c r="R673">
        <v>3.2</v>
      </c>
      <c r="W673" t="s">
        <v>66</v>
      </c>
      <c r="X673" t="s">
        <v>67</v>
      </c>
      <c r="Y673" t="s">
        <v>67</v>
      </c>
      <c r="Z673" t="s">
        <v>68</v>
      </c>
      <c r="AB673">
        <v>4</v>
      </c>
      <c r="AC673" t="s">
        <v>61</v>
      </c>
      <c r="AJ673" t="s">
        <v>69</v>
      </c>
      <c r="AY673" t="s">
        <v>298</v>
      </c>
      <c r="AZ673">
        <v>11951</v>
      </c>
      <c r="BA673" t="s">
        <v>299</v>
      </c>
      <c r="BB673" t="s">
        <v>300</v>
      </c>
      <c r="BC673">
        <v>1986</v>
      </c>
      <c r="BD673" t="s">
        <v>90</v>
      </c>
    </row>
    <row r="674" spans="1:56" x14ac:dyDescent="0.35">
      <c r="A674">
        <v>89838</v>
      </c>
      <c r="B674" t="s">
        <v>737</v>
      </c>
      <c r="C674" t="s">
        <v>195</v>
      </c>
      <c r="D674" t="s">
        <v>85</v>
      </c>
      <c r="E674" t="s">
        <v>86</v>
      </c>
      <c r="F674" t="s">
        <v>58</v>
      </c>
      <c r="G674" t="s">
        <v>59</v>
      </c>
      <c r="H674" t="s">
        <v>60</v>
      </c>
      <c r="I674" t="s">
        <v>129</v>
      </c>
      <c r="J674" t="s">
        <v>86</v>
      </c>
      <c r="L674" t="s">
        <v>62</v>
      </c>
      <c r="M674" t="s">
        <v>63</v>
      </c>
      <c r="N674" t="s">
        <v>64</v>
      </c>
      <c r="O674">
        <v>5</v>
      </c>
      <c r="P674" t="s">
        <v>65</v>
      </c>
      <c r="R674">
        <v>3.2</v>
      </c>
      <c r="W674" t="s">
        <v>66</v>
      </c>
      <c r="X674" t="s">
        <v>67</v>
      </c>
      <c r="Y674" t="s">
        <v>67</v>
      </c>
      <c r="Z674" t="s">
        <v>68</v>
      </c>
      <c r="AB674">
        <v>4</v>
      </c>
      <c r="AC674" t="s">
        <v>61</v>
      </c>
      <c r="AJ674" t="s">
        <v>69</v>
      </c>
      <c r="AY674" t="s">
        <v>298</v>
      </c>
      <c r="AZ674">
        <v>11951</v>
      </c>
      <c r="BA674" t="s">
        <v>299</v>
      </c>
      <c r="BB674" t="s">
        <v>300</v>
      </c>
      <c r="BC674">
        <v>1986</v>
      </c>
      <c r="BD674" t="s">
        <v>90</v>
      </c>
    </row>
    <row r="675" spans="1:56" x14ac:dyDescent="0.35">
      <c r="A675">
        <v>90028</v>
      </c>
      <c r="B675" t="s">
        <v>738</v>
      </c>
      <c r="D675" t="s">
        <v>57</v>
      </c>
      <c r="E675">
        <v>98</v>
      </c>
      <c r="F675" t="s">
        <v>58</v>
      </c>
      <c r="G675" t="s">
        <v>59</v>
      </c>
      <c r="H675" t="s">
        <v>60</v>
      </c>
      <c r="J675" t="s">
        <v>86</v>
      </c>
      <c r="K675" t="s">
        <v>61</v>
      </c>
      <c r="L675" t="s">
        <v>74</v>
      </c>
      <c r="M675" t="s">
        <v>63</v>
      </c>
      <c r="N675" t="s">
        <v>64</v>
      </c>
      <c r="P675" t="s">
        <v>65</v>
      </c>
      <c r="R675">
        <v>2.2999999999999998</v>
      </c>
      <c r="T675">
        <v>2.2000000000000002</v>
      </c>
      <c r="V675">
        <v>2.5</v>
      </c>
      <c r="W675" t="s">
        <v>66</v>
      </c>
      <c r="X675" t="s">
        <v>67</v>
      </c>
      <c r="Y675" t="s">
        <v>67</v>
      </c>
      <c r="Z675" t="s">
        <v>68</v>
      </c>
      <c r="AB675">
        <v>4</v>
      </c>
      <c r="AC675" t="s">
        <v>61</v>
      </c>
      <c r="AJ675" t="s">
        <v>69</v>
      </c>
      <c r="AY675" t="s">
        <v>286</v>
      </c>
      <c r="AZ675">
        <v>12448</v>
      </c>
      <c r="BA675" t="s">
        <v>287</v>
      </c>
      <c r="BB675" t="s">
        <v>288</v>
      </c>
      <c r="BC675">
        <v>1984</v>
      </c>
      <c r="BD675" t="s">
        <v>739</v>
      </c>
    </row>
    <row r="676" spans="1:56" x14ac:dyDescent="0.35">
      <c r="A676">
        <v>90120</v>
      </c>
      <c r="B676" t="s">
        <v>740</v>
      </c>
      <c r="D676" t="s">
        <v>85</v>
      </c>
      <c r="E676" t="s">
        <v>86</v>
      </c>
      <c r="F676" t="s">
        <v>58</v>
      </c>
      <c r="G676" t="s">
        <v>59</v>
      </c>
      <c r="H676" t="s">
        <v>60</v>
      </c>
      <c r="I676" t="s">
        <v>129</v>
      </c>
      <c r="J676" t="s">
        <v>86</v>
      </c>
      <c r="K676" t="s">
        <v>196</v>
      </c>
      <c r="L676" t="s">
        <v>62</v>
      </c>
      <c r="M676" t="s">
        <v>63</v>
      </c>
      <c r="N676" t="s">
        <v>64</v>
      </c>
      <c r="P676" t="s">
        <v>100</v>
      </c>
      <c r="R676">
        <v>9</v>
      </c>
      <c r="W676" t="s">
        <v>66</v>
      </c>
      <c r="X676" t="s">
        <v>67</v>
      </c>
      <c r="Y676" t="s">
        <v>67</v>
      </c>
      <c r="Z676" t="s">
        <v>68</v>
      </c>
      <c r="AB676">
        <v>4</v>
      </c>
      <c r="AC676" t="s">
        <v>61</v>
      </c>
      <c r="AJ676" t="s">
        <v>69</v>
      </c>
      <c r="AY676" t="s">
        <v>338</v>
      </c>
      <c r="AZ676">
        <v>719</v>
      </c>
      <c r="BA676" t="s">
        <v>339</v>
      </c>
      <c r="BB676" t="s">
        <v>340</v>
      </c>
      <c r="BC676">
        <v>1976</v>
      </c>
      <c r="BD676" t="s">
        <v>341</v>
      </c>
    </row>
    <row r="677" spans="1:56" x14ac:dyDescent="0.35">
      <c r="A677">
        <v>90153</v>
      </c>
      <c r="B677" t="s">
        <v>741</v>
      </c>
      <c r="D677" t="s">
        <v>57</v>
      </c>
      <c r="E677">
        <v>99</v>
      </c>
      <c r="F677" t="s">
        <v>58</v>
      </c>
      <c r="G677" t="s">
        <v>59</v>
      </c>
      <c r="H677" t="s">
        <v>60</v>
      </c>
      <c r="J677">
        <v>31</v>
      </c>
      <c r="K677" t="s">
        <v>61</v>
      </c>
      <c r="L677" t="s">
        <v>74</v>
      </c>
      <c r="M677" t="s">
        <v>63</v>
      </c>
      <c r="N677" t="s">
        <v>64</v>
      </c>
      <c r="P677" t="s">
        <v>65</v>
      </c>
      <c r="R677">
        <v>4.63</v>
      </c>
      <c r="T677">
        <v>4.5</v>
      </c>
      <c r="V677">
        <v>4.7699999999999996</v>
      </c>
      <c r="W677" t="s">
        <v>66</v>
      </c>
      <c r="X677" t="s">
        <v>67</v>
      </c>
      <c r="Y677" t="s">
        <v>67</v>
      </c>
      <c r="Z677" t="s">
        <v>68</v>
      </c>
      <c r="AB677">
        <v>4</v>
      </c>
      <c r="AC677" t="s">
        <v>61</v>
      </c>
      <c r="AJ677" t="s">
        <v>69</v>
      </c>
      <c r="AY677" t="s">
        <v>141</v>
      </c>
      <c r="AZ677">
        <v>12447</v>
      </c>
      <c r="BA677" t="s">
        <v>142</v>
      </c>
      <c r="BB677" t="s">
        <v>143</v>
      </c>
      <c r="BC677">
        <v>1985</v>
      </c>
      <c r="BD677" t="s">
        <v>73</v>
      </c>
    </row>
    <row r="678" spans="1:56" x14ac:dyDescent="0.35">
      <c r="A678">
        <v>90153</v>
      </c>
      <c r="B678" t="s">
        <v>741</v>
      </c>
      <c r="D678" t="s">
        <v>57</v>
      </c>
      <c r="E678" t="s">
        <v>128</v>
      </c>
      <c r="F678" t="s">
        <v>58</v>
      </c>
      <c r="G678" t="s">
        <v>59</v>
      </c>
      <c r="H678" t="s">
        <v>60</v>
      </c>
      <c r="I678" t="s">
        <v>129</v>
      </c>
      <c r="J678" t="s">
        <v>86</v>
      </c>
      <c r="K678" t="s">
        <v>61</v>
      </c>
      <c r="L678" t="s">
        <v>74</v>
      </c>
      <c r="M678" t="s">
        <v>63</v>
      </c>
      <c r="N678" t="s">
        <v>64</v>
      </c>
      <c r="P678" t="s">
        <v>65</v>
      </c>
      <c r="R678">
        <v>4.12</v>
      </c>
      <c r="W678" t="s">
        <v>66</v>
      </c>
      <c r="X678" t="s">
        <v>67</v>
      </c>
      <c r="Y678" t="s">
        <v>67</v>
      </c>
      <c r="Z678" t="s">
        <v>68</v>
      </c>
      <c r="AB678">
        <v>4</v>
      </c>
      <c r="AC678" t="s">
        <v>61</v>
      </c>
      <c r="AJ678" t="s">
        <v>69</v>
      </c>
      <c r="AY678" t="s">
        <v>134</v>
      </c>
      <c r="AZ678">
        <v>15031</v>
      </c>
      <c r="BA678" t="s">
        <v>135</v>
      </c>
      <c r="BB678" t="s">
        <v>136</v>
      </c>
      <c r="BC678">
        <v>1995</v>
      </c>
      <c r="BD678" t="s">
        <v>133</v>
      </c>
    </row>
    <row r="679" spans="1:56" x14ac:dyDescent="0.35">
      <c r="A679">
        <v>90153</v>
      </c>
      <c r="B679" t="s">
        <v>741</v>
      </c>
      <c r="D679" t="s">
        <v>57</v>
      </c>
      <c r="E679" t="s">
        <v>128</v>
      </c>
      <c r="F679" t="s">
        <v>58</v>
      </c>
      <c r="G679" t="s">
        <v>59</v>
      </c>
      <c r="H679" t="s">
        <v>60</v>
      </c>
      <c r="I679" t="s">
        <v>129</v>
      </c>
      <c r="J679" t="s">
        <v>86</v>
      </c>
      <c r="K679" t="s">
        <v>61</v>
      </c>
      <c r="L679" t="s">
        <v>74</v>
      </c>
      <c r="M679" t="s">
        <v>63</v>
      </c>
      <c r="N679" t="s">
        <v>64</v>
      </c>
      <c r="O679">
        <v>6</v>
      </c>
      <c r="P679" t="s">
        <v>65</v>
      </c>
      <c r="R679">
        <v>3.57</v>
      </c>
      <c r="T679">
        <v>3.46</v>
      </c>
      <c r="V679">
        <v>3.69</v>
      </c>
      <c r="W679" t="s">
        <v>66</v>
      </c>
      <c r="X679" t="s">
        <v>67</v>
      </c>
      <c r="Y679" t="s">
        <v>67</v>
      </c>
      <c r="Z679" t="s">
        <v>68</v>
      </c>
      <c r="AB679">
        <v>4</v>
      </c>
      <c r="AC679" t="s">
        <v>61</v>
      </c>
      <c r="AJ679" t="s">
        <v>69</v>
      </c>
      <c r="AY679" t="s">
        <v>130</v>
      </c>
      <c r="AZ679">
        <v>86254</v>
      </c>
      <c r="BA679" t="s">
        <v>131</v>
      </c>
      <c r="BB679" t="s">
        <v>132</v>
      </c>
      <c r="BC679">
        <v>2005</v>
      </c>
      <c r="BD679" t="s">
        <v>133</v>
      </c>
    </row>
    <row r="680" spans="1:56" x14ac:dyDescent="0.35">
      <c r="A680">
        <v>90153</v>
      </c>
      <c r="B680" t="s">
        <v>741</v>
      </c>
      <c r="D680" t="s">
        <v>57</v>
      </c>
      <c r="E680" t="s">
        <v>128</v>
      </c>
      <c r="F680" t="s">
        <v>58</v>
      </c>
      <c r="G680" t="s">
        <v>59</v>
      </c>
      <c r="H680" t="s">
        <v>60</v>
      </c>
      <c r="I680" t="s">
        <v>129</v>
      </c>
      <c r="J680" t="s">
        <v>86</v>
      </c>
      <c r="K680" t="s">
        <v>61</v>
      </c>
      <c r="L680" t="s">
        <v>74</v>
      </c>
      <c r="M680" t="s">
        <v>63</v>
      </c>
      <c r="N680" t="s">
        <v>64</v>
      </c>
      <c r="P680" t="s">
        <v>65</v>
      </c>
      <c r="R680">
        <v>3.57</v>
      </c>
      <c r="W680" t="s">
        <v>66</v>
      </c>
      <c r="X680" t="s">
        <v>67</v>
      </c>
      <c r="Y680" t="s">
        <v>67</v>
      </c>
      <c r="Z680" t="s">
        <v>68</v>
      </c>
      <c r="AB680">
        <v>4</v>
      </c>
      <c r="AC680" t="s">
        <v>61</v>
      </c>
      <c r="AJ680" t="s">
        <v>69</v>
      </c>
      <c r="AY680" t="s">
        <v>134</v>
      </c>
      <c r="AZ680">
        <v>15031</v>
      </c>
      <c r="BA680" t="s">
        <v>135</v>
      </c>
      <c r="BB680" t="s">
        <v>136</v>
      </c>
      <c r="BC680">
        <v>1995</v>
      </c>
      <c r="BD680" t="s">
        <v>133</v>
      </c>
    </row>
    <row r="681" spans="1:56" x14ac:dyDescent="0.35">
      <c r="A681">
        <v>90153</v>
      </c>
      <c r="B681" t="s">
        <v>741</v>
      </c>
      <c r="D681" t="s">
        <v>57</v>
      </c>
      <c r="E681" t="s">
        <v>79</v>
      </c>
      <c r="F681" t="s">
        <v>58</v>
      </c>
      <c r="G681" t="s">
        <v>59</v>
      </c>
      <c r="H681" t="s">
        <v>60</v>
      </c>
      <c r="J681" t="s">
        <v>86</v>
      </c>
      <c r="K681" t="s">
        <v>61</v>
      </c>
      <c r="L681" t="s">
        <v>74</v>
      </c>
      <c r="M681" t="s">
        <v>63</v>
      </c>
      <c r="N681" t="s">
        <v>64</v>
      </c>
      <c r="P681" t="s">
        <v>65</v>
      </c>
      <c r="R681">
        <v>4.24</v>
      </c>
      <c r="T681">
        <v>4.12</v>
      </c>
      <c r="V681">
        <v>4.37</v>
      </c>
      <c r="W681" t="s">
        <v>66</v>
      </c>
      <c r="X681" t="s">
        <v>67</v>
      </c>
      <c r="Y681" t="s">
        <v>67</v>
      </c>
      <c r="Z681" t="s">
        <v>68</v>
      </c>
      <c r="AB681">
        <v>4</v>
      </c>
      <c r="AC681" t="s">
        <v>61</v>
      </c>
      <c r="AJ681" t="s">
        <v>69</v>
      </c>
      <c r="AY681" t="s">
        <v>258</v>
      </c>
      <c r="AZ681">
        <v>10954</v>
      </c>
      <c r="BA681" t="s">
        <v>259</v>
      </c>
      <c r="BB681" t="s">
        <v>260</v>
      </c>
      <c r="BC681">
        <v>1984</v>
      </c>
      <c r="BD681" t="s">
        <v>261</v>
      </c>
    </row>
    <row r="682" spans="1:56" x14ac:dyDescent="0.35">
      <c r="A682">
        <v>90437</v>
      </c>
      <c r="B682" t="s">
        <v>742</v>
      </c>
      <c r="D682" t="s">
        <v>57</v>
      </c>
      <c r="E682" t="s">
        <v>79</v>
      </c>
      <c r="F682" t="s">
        <v>58</v>
      </c>
      <c r="G682" t="s">
        <v>59</v>
      </c>
      <c r="H682" t="s">
        <v>60</v>
      </c>
      <c r="J682" t="s">
        <v>86</v>
      </c>
      <c r="K682" t="s">
        <v>61</v>
      </c>
      <c r="L682" t="s">
        <v>74</v>
      </c>
      <c r="M682" t="s">
        <v>63</v>
      </c>
      <c r="N682" t="s">
        <v>64</v>
      </c>
      <c r="P682" t="s">
        <v>65</v>
      </c>
      <c r="R682">
        <v>5.99</v>
      </c>
      <c r="T682">
        <v>5.7</v>
      </c>
      <c r="V682">
        <v>6.3</v>
      </c>
      <c r="W682" t="s">
        <v>66</v>
      </c>
      <c r="X682" t="s">
        <v>67</v>
      </c>
      <c r="Y682" t="s">
        <v>67</v>
      </c>
      <c r="Z682" t="s">
        <v>68</v>
      </c>
      <c r="AB682">
        <v>4</v>
      </c>
      <c r="AC682" t="s">
        <v>61</v>
      </c>
      <c r="AJ682" t="s">
        <v>69</v>
      </c>
      <c r="AY682" t="s">
        <v>258</v>
      </c>
      <c r="AZ682">
        <v>10954</v>
      </c>
      <c r="BA682" t="s">
        <v>259</v>
      </c>
      <c r="BB682" t="s">
        <v>260</v>
      </c>
      <c r="BC682">
        <v>1984</v>
      </c>
      <c r="BD682" t="s">
        <v>261</v>
      </c>
    </row>
    <row r="683" spans="1:56" x14ac:dyDescent="0.35">
      <c r="A683">
        <v>90437</v>
      </c>
      <c r="B683" t="s">
        <v>742</v>
      </c>
      <c r="D683" t="s">
        <v>57</v>
      </c>
      <c r="E683" t="s">
        <v>128</v>
      </c>
      <c r="F683" t="s">
        <v>58</v>
      </c>
      <c r="G683" t="s">
        <v>59</v>
      </c>
      <c r="H683" t="s">
        <v>60</v>
      </c>
      <c r="I683" t="s">
        <v>129</v>
      </c>
      <c r="J683" t="s">
        <v>86</v>
      </c>
      <c r="K683" t="s">
        <v>61</v>
      </c>
      <c r="L683" t="s">
        <v>74</v>
      </c>
      <c r="M683" t="s">
        <v>63</v>
      </c>
      <c r="N683" t="s">
        <v>64</v>
      </c>
      <c r="O683">
        <v>6</v>
      </c>
      <c r="P683" t="s">
        <v>65</v>
      </c>
      <c r="R683">
        <v>4.79</v>
      </c>
      <c r="T683">
        <v>3.97</v>
      </c>
      <c r="V683">
        <v>6.4</v>
      </c>
      <c r="W683" t="s">
        <v>66</v>
      </c>
      <c r="X683" t="s">
        <v>67</v>
      </c>
      <c r="Y683" t="s">
        <v>67</v>
      </c>
      <c r="Z683" t="s">
        <v>68</v>
      </c>
      <c r="AB683">
        <v>4</v>
      </c>
      <c r="AC683" t="s">
        <v>61</v>
      </c>
      <c r="AJ683" t="s">
        <v>69</v>
      </c>
      <c r="AY683" t="s">
        <v>130</v>
      </c>
      <c r="AZ683">
        <v>86254</v>
      </c>
      <c r="BA683" t="s">
        <v>131</v>
      </c>
      <c r="BB683" t="s">
        <v>132</v>
      </c>
      <c r="BC683">
        <v>2005</v>
      </c>
      <c r="BD683" t="s">
        <v>133</v>
      </c>
    </row>
    <row r="684" spans="1:56" x14ac:dyDescent="0.35">
      <c r="A684">
        <v>90437</v>
      </c>
      <c r="B684" t="s">
        <v>742</v>
      </c>
      <c r="D684" t="s">
        <v>57</v>
      </c>
      <c r="E684">
        <v>99</v>
      </c>
      <c r="F684" t="s">
        <v>58</v>
      </c>
      <c r="G684" t="s">
        <v>59</v>
      </c>
      <c r="H684" t="s">
        <v>60</v>
      </c>
      <c r="J684">
        <v>32</v>
      </c>
      <c r="K684" t="s">
        <v>61</v>
      </c>
      <c r="L684" t="s">
        <v>74</v>
      </c>
      <c r="M684" t="s">
        <v>63</v>
      </c>
      <c r="N684" t="s">
        <v>64</v>
      </c>
      <c r="P684" t="s">
        <v>65</v>
      </c>
      <c r="R684">
        <v>6.15</v>
      </c>
      <c r="T684">
        <v>5.85</v>
      </c>
      <c r="V684">
        <v>6.47</v>
      </c>
      <c r="W684" t="s">
        <v>66</v>
      </c>
      <c r="X684" t="s">
        <v>67</v>
      </c>
      <c r="Y684" t="s">
        <v>67</v>
      </c>
      <c r="Z684" t="s">
        <v>68</v>
      </c>
      <c r="AB684">
        <v>4</v>
      </c>
      <c r="AC684" t="s">
        <v>61</v>
      </c>
      <c r="AJ684" t="s">
        <v>69</v>
      </c>
      <c r="AY684" t="s">
        <v>141</v>
      </c>
      <c r="AZ684">
        <v>12447</v>
      </c>
      <c r="BA684" t="s">
        <v>142</v>
      </c>
      <c r="BB684" t="s">
        <v>143</v>
      </c>
      <c r="BC684">
        <v>1985</v>
      </c>
      <c r="BD684" t="s">
        <v>73</v>
      </c>
    </row>
    <row r="685" spans="1:56" x14ac:dyDescent="0.35">
      <c r="A685">
        <v>90437</v>
      </c>
      <c r="B685" t="s">
        <v>742</v>
      </c>
      <c r="D685" t="s">
        <v>57</v>
      </c>
      <c r="E685" t="s">
        <v>128</v>
      </c>
      <c r="F685" t="s">
        <v>58</v>
      </c>
      <c r="G685" t="s">
        <v>59</v>
      </c>
      <c r="H685" t="s">
        <v>60</v>
      </c>
      <c r="I685" t="s">
        <v>129</v>
      </c>
      <c r="J685" t="s">
        <v>86</v>
      </c>
      <c r="K685" t="s">
        <v>61</v>
      </c>
      <c r="L685" t="s">
        <v>74</v>
      </c>
      <c r="M685" t="s">
        <v>63</v>
      </c>
      <c r="N685" t="s">
        <v>64</v>
      </c>
      <c r="P685" t="s">
        <v>65</v>
      </c>
      <c r="R685">
        <v>4.6900000000000004</v>
      </c>
      <c r="W685" t="s">
        <v>66</v>
      </c>
      <c r="X685" t="s">
        <v>67</v>
      </c>
      <c r="Y685" t="s">
        <v>67</v>
      </c>
      <c r="Z685" t="s">
        <v>68</v>
      </c>
      <c r="AB685">
        <v>4</v>
      </c>
      <c r="AC685" t="s">
        <v>61</v>
      </c>
      <c r="AJ685" t="s">
        <v>69</v>
      </c>
      <c r="AY685" t="s">
        <v>134</v>
      </c>
      <c r="AZ685">
        <v>15031</v>
      </c>
      <c r="BA685" t="s">
        <v>135</v>
      </c>
      <c r="BB685" t="s">
        <v>136</v>
      </c>
      <c r="BC685">
        <v>1995</v>
      </c>
      <c r="BD685" t="s">
        <v>133</v>
      </c>
    </row>
    <row r="686" spans="1:56" x14ac:dyDescent="0.35">
      <c r="A686">
        <v>90437</v>
      </c>
      <c r="B686" t="s">
        <v>742</v>
      </c>
      <c r="D686" t="s">
        <v>57</v>
      </c>
      <c r="E686" t="s">
        <v>128</v>
      </c>
      <c r="F686" t="s">
        <v>58</v>
      </c>
      <c r="G686" t="s">
        <v>59</v>
      </c>
      <c r="H686" t="s">
        <v>60</v>
      </c>
      <c r="I686" t="s">
        <v>129</v>
      </c>
      <c r="J686" t="s">
        <v>86</v>
      </c>
      <c r="K686" t="s">
        <v>61</v>
      </c>
      <c r="L686" t="s">
        <v>74</v>
      </c>
      <c r="M686" t="s">
        <v>63</v>
      </c>
      <c r="N686" t="s">
        <v>64</v>
      </c>
      <c r="O686">
        <v>6</v>
      </c>
      <c r="P686" t="s">
        <v>65</v>
      </c>
      <c r="R686">
        <v>4.09</v>
      </c>
      <c r="T686">
        <v>3.66</v>
      </c>
      <c r="V686">
        <v>4.57</v>
      </c>
      <c r="W686" t="s">
        <v>66</v>
      </c>
      <c r="X686" t="s">
        <v>67</v>
      </c>
      <c r="Y686" t="s">
        <v>67</v>
      </c>
      <c r="Z686" t="s">
        <v>68</v>
      </c>
      <c r="AB686">
        <v>4</v>
      </c>
      <c r="AC686" t="s">
        <v>61</v>
      </c>
      <c r="AJ686" t="s">
        <v>69</v>
      </c>
      <c r="AY686" t="s">
        <v>130</v>
      </c>
      <c r="AZ686">
        <v>86254</v>
      </c>
      <c r="BA686" t="s">
        <v>131</v>
      </c>
      <c r="BB686" t="s">
        <v>132</v>
      </c>
      <c r="BC686">
        <v>2005</v>
      </c>
      <c r="BD686" t="s">
        <v>133</v>
      </c>
    </row>
    <row r="687" spans="1:56" x14ac:dyDescent="0.35">
      <c r="A687">
        <v>90437</v>
      </c>
      <c r="B687" t="s">
        <v>742</v>
      </c>
      <c r="E687">
        <v>99.25</v>
      </c>
      <c r="F687" t="s">
        <v>58</v>
      </c>
      <c r="G687" t="s">
        <v>59</v>
      </c>
      <c r="H687" t="s">
        <v>60</v>
      </c>
      <c r="J687" t="s">
        <v>86</v>
      </c>
      <c r="L687" t="s">
        <v>62</v>
      </c>
      <c r="M687" t="s">
        <v>63</v>
      </c>
      <c r="N687" t="s">
        <v>64</v>
      </c>
      <c r="P687" t="s">
        <v>65</v>
      </c>
      <c r="R687">
        <v>5.5</v>
      </c>
      <c r="T687">
        <v>4.7</v>
      </c>
      <c r="V687">
        <v>6.6</v>
      </c>
      <c r="W687" t="s">
        <v>66</v>
      </c>
      <c r="X687" t="s">
        <v>67</v>
      </c>
      <c r="Y687" t="s">
        <v>67</v>
      </c>
      <c r="Z687" t="s">
        <v>68</v>
      </c>
      <c r="AB687">
        <v>4</v>
      </c>
      <c r="AC687" t="s">
        <v>61</v>
      </c>
      <c r="AJ687" t="s">
        <v>69</v>
      </c>
      <c r="AY687" t="s">
        <v>116</v>
      </c>
      <c r="AZ687">
        <v>344</v>
      </c>
      <c r="BA687" t="s">
        <v>117</v>
      </c>
      <c r="BB687" t="s">
        <v>118</v>
      </c>
      <c r="BC687">
        <v>1992</v>
      </c>
      <c r="BD687" t="s">
        <v>90</v>
      </c>
    </row>
    <row r="688" spans="1:56" x14ac:dyDescent="0.35">
      <c r="A688">
        <v>90437</v>
      </c>
      <c r="B688" t="s">
        <v>742</v>
      </c>
      <c r="D688" t="s">
        <v>57</v>
      </c>
      <c r="E688" t="s">
        <v>128</v>
      </c>
      <c r="F688" t="s">
        <v>58</v>
      </c>
      <c r="G688" t="s">
        <v>59</v>
      </c>
      <c r="H688" t="s">
        <v>60</v>
      </c>
      <c r="I688" t="s">
        <v>129</v>
      </c>
      <c r="J688" t="s">
        <v>86</v>
      </c>
      <c r="K688" t="s">
        <v>61</v>
      </c>
      <c r="L688" t="s">
        <v>74</v>
      </c>
      <c r="M688" t="s">
        <v>63</v>
      </c>
      <c r="N688" t="s">
        <v>64</v>
      </c>
      <c r="P688" t="s">
        <v>65</v>
      </c>
      <c r="R688">
        <v>3.4</v>
      </c>
      <c r="W688" t="s">
        <v>66</v>
      </c>
      <c r="X688" t="s">
        <v>67</v>
      </c>
      <c r="Y688" t="s">
        <v>67</v>
      </c>
      <c r="Z688" t="s">
        <v>68</v>
      </c>
      <c r="AB688">
        <v>4</v>
      </c>
      <c r="AC688" t="s">
        <v>61</v>
      </c>
      <c r="AJ688" t="s">
        <v>69</v>
      </c>
      <c r="AY688" t="s">
        <v>134</v>
      </c>
      <c r="AZ688">
        <v>15031</v>
      </c>
      <c r="BA688" t="s">
        <v>135</v>
      </c>
      <c r="BB688" t="s">
        <v>136</v>
      </c>
      <c r="BC688">
        <v>1995</v>
      </c>
      <c r="BD688" t="s">
        <v>133</v>
      </c>
    </row>
    <row r="689" spans="1:56" x14ac:dyDescent="0.35">
      <c r="A689">
        <v>90595</v>
      </c>
      <c r="B689" t="s">
        <v>743</v>
      </c>
      <c r="D689" t="s">
        <v>85</v>
      </c>
      <c r="E689">
        <v>98</v>
      </c>
      <c r="F689" t="s">
        <v>58</v>
      </c>
      <c r="G689" t="s">
        <v>59</v>
      </c>
      <c r="H689" t="s">
        <v>60</v>
      </c>
      <c r="J689" t="s">
        <v>86</v>
      </c>
      <c r="K689" t="s">
        <v>61</v>
      </c>
      <c r="L689" t="s">
        <v>74</v>
      </c>
      <c r="M689" t="s">
        <v>63</v>
      </c>
      <c r="N689" t="s">
        <v>64</v>
      </c>
      <c r="P689" t="s">
        <v>65</v>
      </c>
      <c r="R689">
        <v>0.85</v>
      </c>
      <c r="T689">
        <v>0.8</v>
      </c>
      <c r="V689">
        <v>0.91</v>
      </c>
      <c r="W689" t="s">
        <v>66</v>
      </c>
      <c r="X689" t="s">
        <v>67</v>
      </c>
      <c r="Y689" t="s">
        <v>67</v>
      </c>
      <c r="Z689" t="s">
        <v>68</v>
      </c>
      <c r="AB689">
        <v>4</v>
      </c>
      <c r="AC689" t="s">
        <v>61</v>
      </c>
      <c r="AJ689" t="s">
        <v>69</v>
      </c>
      <c r="AY689" t="s">
        <v>286</v>
      </c>
      <c r="AZ689">
        <v>12448</v>
      </c>
      <c r="BA689" t="s">
        <v>287</v>
      </c>
      <c r="BB689" t="s">
        <v>288</v>
      </c>
      <c r="BC689">
        <v>1984</v>
      </c>
      <c r="BD689" t="s">
        <v>161</v>
      </c>
    </row>
    <row r="690" spans="1:56" x14ac:dyDescent="0.35">
      <c r="A690">
        <v>91203</v>
      </c>
      <c r="B690" t="s">
        <v>744</v>
      </c>
      <c r="D690" t="s">
        <v>57</v>
      </c>
      <c r="E690">
        <v>98</v>
      </c>
      <c r="F690" t="s">
        <v>58</v>
      </c>
      <c r="G690" t="s">
        <v>59</v>
      </c>
      <c r="H690" t="s">
        <v>60</v>
      </c>
      <c r="J690" t="s">
        <v>86</v>
      </c>
      <c r="K690" t="s">
        <v>61</v>
      </c>
      <c r="L690" t="s">
        <v>74</v>
      </c>
      <c r="M690" t="s">
        <v>63</v>
      </c>
      <c r="N690" t="s">
        <v>64</v>
      </c>
      <c r="P690" t="s">
        <v>65</v>
      </c>
      <c r="R690">
        <v>6.08</v>
      </c>
      <c r="T690">
        <v>5.74</v>
      </c>
      <c r="V690">
        <v>6.44</v>
      </c>
      <c r="W690" t="s">
        <v>66</v>
      </c>
      <c r="X690" t="s">
        <v>67</v>
      </c>
      <c r="Y690" t="s">
        <v>67</v>
      </c>
      <c r="Z690" t="s">
        <v>68</v>
      </c>
      <c r="AB690">
        <v>4</v>
      </c>
      <c r="AC690" t="s">
        <v>61</v>
      </c>
      <c r="AJ690" t="s">
        <v>69</v>
      </c>
      <c r="AY690" t="s">
        <v>258</v>
      </c>
      <c r="AZ690">
        <v>10954</v>
      </c>
      <c r="BA690" t="s">
        <v>259</v>
      </c>
      <c r="BB690" t="s">
        <v>260</v>
      </c>
      <c r="BC690">
        <v>1984</v>
      </c>
      <c r="BD690" t="s">
        <v>261</v>
      </c>
    </row>
    <row r="691" spans="1:56" x14ac:dyDescent="0.35">
      <c r="A691">
        <v>91203</v>
      </c>
      <c r="B691" t="s">
        <v>744</v>
      </c>
      <c r="D691" t="s">
        <v>85</v>
      </c>
      <c r="E691" t="s">
        <v>86</v>
      </c>
      <c r="F691" t="s">
        <v>58</v>
      </c>
      <c r="G691" t="s">
        <v>59</v>
      </c>
      <c r="H691" t="s">
        <v>60</v>
      </c>
      <c r="J691" t="s">
        <v>86</v>
      </c>
      <c r="L691" t="s">
        <v>74</v>
      </c>
      <c r="M691" t="s">
        <v>63</v>
      </c>
      <c r="N691" t="s">
        <v>64</v>
      </c>
      <c r="P691" t="s">
        <v>100</v>
      </c>
      <c r="R691">
        <v>4.9000000000000004</v>
      </c>
      <c r="W691" t="s">
        <v>66</v>
      </c>
      <c r="X691" t="s">
        <v>67</v>
      </c>
      <c r="Y691" t="s">
        <v>67</v>
      </c>
      <c r="Z691" t="s">
        <v>68</v>
      </c>
      <c r="AB691">
        <v>4</v>
      </c>
      <c r="AC691" t="s">
        <v>61</v>
      </c>
      <c r="AJ691" t="s">
        <v>69</v>
      </c>
      <c r="AY691" t="s">
        <v>745</v>
      </c>
      <c r="AZ691">
        <v>59196</v>
      </c>
      <c r="BA691" t="s">
        <v>746</v>
      </c>
      <c r="BB691" t="s">
        <v>747</v>
      </c>
      <c r="BC691">
        <v>1977</v>
      </c>
      <c r="BD691" t="s">
        <v>90</v>
      </c>
    </row>
    <row r="692" spans="1:56" x14ac:dyDescent="0.35">
      <c r="A692">
        <v>91203</v>
      </c>
      <c r="B692" t="s">
        <v>744</v>
      </c>
      <c r="D692" t="s">
        <v>57</v>
      </c>
      <c r="E692" t="s">
        <v>128</v>
      </c>
      <c r="F692" t="s">
        <v>58</v>
      </c>
      <c r="G692" t="s">
        <v>59</v>
      </c>
      <c r="H692" t="s">
        <v>60</v>
      </c>
      <c r="I692" t="s">
        <v>129</v>
      </c>
      <c r="J692" t="s">
        <v>86</v>
      </c>
      <c r="K692" t="s">
        <v>61</v>
      </c>
      <c r="L692" t="s">
        <v>74</v>
      </c>
      <c r="M692" t="s">
        <v>63</v>
      </c>
      <c r="N692" t="s">
        <v>64</v>
      </c>
      <c r="P692" t="s">
        <v>65</v>
      </c>
      <c r="R692">
        <v>6.14</v>
      </c>
      <c r="W692" t="s">
        <v>66</v>
      </c>
      <c r="X692" t="s">
        <v>67</v>
      </c>
      <c r="Y692" t="s">
        <v>67</v>
      </c>
      <c r="Z692" t="s">
        <v>68</v>
      </c>
      <c r="AB692">
        <v>4</v>
      </c>
      <c r="AC692" t="s">
        <v>61</v>
      </c>
      <c r="AJ692" t="s">
        <v>69</v>
      </c>
      <c r="AY692" t="s">
        <v>134</v>
      </c>
      <c r="AZ692">
        <v>15031</v>
      </c>
      <c r="BA692" t="s">
        <v>135</v>
      </c>
      <c r="BB692" t="s">
        <v>136</v>
      </c>
      <c r="BC692">
        <v>1995</v>
      </c>
      <c r="BD692" t="s">
        <v>133</v>
      </c>
    </row>
    <row r="693" spans="1:56" x14ac:dyDescent="0.35">
      <c r="A693">
        <v>91203</v>
      </c>
      <c r="B693" t="s">
        <v>744</v>
      </c>
      <c r="D693" t="s">
        <v>57</v>
      </c>
      <c r="E693" t="s">
        <v>86</v>
      </c>
      <c r="F693" t="s">
        <v>58</v>
      </c>
      <c r="G693" t="s">
        <v>59</v>
      </c>
      <c r="H693" t="s">
        <v>60</v>
      </c>
      <c r="I693" t="s">
        <v>129</v>
      </c>
      <c r="J693" t="s">
        <v>86</v>
      </c>
      <c r="K693" t="s">
        <v>320</v>
      </c>
      <c r="L693" t="s">
        <v>62</v>
      </c>
      <c r="M693" t="s">
        <v>63</v>
      </c>
      <c r="N693" t="s">
        <v>64</v>
      </c>
      <c r="P693" t="s">
        <v>65</v>
      </c>
      <c r="R693">
        <v>1.99</v>
      </c>
      <c r="T693">
        <v>1.3</v>
      </c>
      <c r="V693">
        <v>4.01</v>
      </c>
      <c r="W693" t="s">
        <v>66</v>
      </c>
      <c r="X693" t="s">
        <v>67</v>
      </c>
      <c r="Y693" t="s">
        <v>67</v>
      </c>
      <c r="Z693" t="s">
        <v>68</v>
      </c>
      <c r="AB693">
        <v>4</v>
      </c>
      <c r="AC693" t="s">
        <v>61</v>
      </c>
      <c r="AJ693" t="s">
        <v>69</v>
      </c>
      <c r="AY693" t="s">
        <v>748</v>
      </c>
      <c r="AZ693">
        <v>11725</v>
      </c>
      <c r="BA693" t="s">
        <v>749</v>
      </c>
      <c r="BB693" t="s">
        <v>750</v>
      </c>
      <c r="BC693">
        <v>1984</v>
      </c>
      <c r="BD693" t="s">
        <v>751</v>
      </c>
    </row>
    <row r="694" spans="1:56" x14ac:dyDescent="0.35">
      <c r="A694">
        <v>91203</v>
      </c>
      <c r="B694" t="s">
        <v>744</v>
      </c>
      <c r="D694" t="s">
        <v>57</v>
      </c>
      <c r="E694" t="s">
        <v>86</v>
      </c>
      <c r="F694" t="s">
        <v>58</v>
      </c>
      <c r="G694" t="s">
        <v>59</v>
      </c>
      <c r="H694" t="s">
        <v>60</v>
      </c>
      <c r="J694" t="s">
        <v>752</v>
      </c>
      <c r="K694" t="s">
        <v>196</v>
      </c>
      <c r="L694" t="s">
        <v>74</v>
      </c>
      <c r="M694" t="s">
        <v>63</v>
      </c>
      <c r="N694" t="s">
        <v>64</v>
      </c>
      <c r="O694">
        <v>6</v>
      </c>
      <c r="P694" t="s">
        <v>65</v>
      </c>
      <c r="R694">
        <v>9.93</v>
      </c>
      <c r="W694" t="s">
        <v>66</v>
      </c>
      <c r="X694" t="s">
        <v>67</v>
      </c>
      <c r="Y694" t="s">
        <v>67</v>
      </c>
      <c r="Z694" t="s">
        <v>68</v>
      </c>
      <c r="AB694">
        <v>4</v>
      </c>
      <c r="AC694" t="s">
        <v>61</v>
      </c>
      <c r="AJ694" t="s">
        <v>69</v>
      </c>
      <c r="AY694" t="s">
        <v>753</v>
      </c>
      <c r="AZ694">
        <v>83918</v>
      </c>
      <c r="BA694" t="s">
        <v>754</v>
      </c>
      <c r="BB694" t="s">
        <v>755</v>
      </c>
      <c r="BC694">
        <v>1987</v>
      </c>
      <c r="BD694" t="s">
        <v>200</v>
      </c>
    </row>
    <row r="695" spans="1:56" x14ac:dyDescent="0.35">
      <c r="A695">
        <v>91203</v>
      </c>
      <c r="B695" t="s">
        <v>744</v>
      </c>
      <c r="D695" t="s">
        <v>57</v>
      </c>
      <c r="E695" t="s">
        <v>86</v>
      </c>
      <c r="F695" t="s">
        <v>58</v>
      </c>
      <c r="G695" t="s">
        <v>59</v>
      </c>
      <c r="H695" t="s">
        <v>60</v>
      </c>
      <c r="J695" t="s">
        <v>86</v>
      </c>
      <c r="L695" t="s">
        <v>74</v>
      </c>
      <c r="M695" t="s">
        <v>63</v>
      </c>
      <c r="N695" t="s">
        <v>64</v>
      </c>
      <c r="P695" t="s">
        <v>65</v>
      </c>
      <c r="R695">
        <v>7.9</v>
      </c>
      <c r="W695" t="s">
        <v>66</v>
      </c>
      <c r="X695" t="s">
        <v>67</v>
      </c>
      <c r="Y695" t="s">
        <v>67</v>
      </c>
      <c r="Z695" t="s">
        <v>68</v>
      </c>
      <c r="AB695">
        <v>4</v>
      </c>
      <c r="AC695" t="s">
        <v>61</v>
      </c>
      <c r="AJ695" t="s">
        <v>69</v>
      </c>
      <c r="AY695" t="s">
        <v>756</v>
      </c>
      <c r="AZ695">
        <v>17889</v>
      </c>
      <c r="BA695" t="s">
        <v>757</v>
      </c>
      <c r="BB695" t="s">
        <v>758</v>
      </c>
      <c r="BC695">
        <v>1982</v>
      </c>
      <c r="BD695" t="s">
        <v>90</v>
      </c>
    </row>
    <row r="696" spans="1:56" x14ac:dyDescent="0.35">
      <c r="A696">
        <v>91203</v>
      </c>
      <c r="B696" t="s">
        <v>744</v>
      </c>
      <c r="D696" t="s">
        <v>57</v>
      </c>
      <c r="E696">
        <v>98</v>
      </c>
      <c r="F696" t="s">
        <v>58</v>
      </c>
      <c r="G696" t="s">
        <v>59</v>
      </c>
      <c r="H696" t="s">
        <v>60</v>
      </c>
      <c r="J696">
        <v>34</v>
      </c>
      <c r="K696" t="s">
        <v>61</v>
      </c>
      <c r="L696" t="s">
        <v>74</v>
      </c>
      <c r="M696" t="s">
        <v>63</v>
      </c>
      <c r="N696" t="s">
        <v>64</v>
      </c>
      <c r="P696" t="s">
        <v>65</v>
      </c>
      <c r="R696">
        <v>6.14</v>
      </c>
      <c r="T696">
        <v>5.79</v>
      </c>
      <c r="V696">
        <v>6.5</v>
      </c>
      <c r="W696" t="s">
        <v>66</v>
      </c>
      <c r="X696" t="s">
        <v>67</v>
      </c>
      <c r="Y696" t="s">
        <v>67</v>
      </c>
      <c r="Z696" t="s">
        <v>68</v>
      </c>
      <c r="AB696">
        <v>4</v>
      </c>
      <c r="AC696" t="s">
        <v>61</v>
      </c>
      <c r="AJ696" t="s">
        <v>69</v>
      </c>
      <c r="AY696" t="s">
        <v>141</v>
      </c>
      <c r="AZ696">
        <v>12447</v>
      </c>
      <c r="BA696" t="s">
        <v>142</v>
      </c>
      <c r="BB696" t="s">
        <v>143</v>
      </c>
      <c r="BC696">
        <v>1985</v>
      </c>
      <c r="BD696" t="s">
        <v>73</v>
      </c>
    </row>
    <row r="697" spans="1:56" x14ac:dyDescent="0.35">
      <c r="A697">
        <v>91225</v>
      </c>
      <c r="B697" t="s">
        <v>759</v>
      </c>
      <c r="D697" t="s">
        <v>57</v>
      </c>
      <c r="E697" t="s">
        <v>86</v>
      </c>
      <c r="F697" t="s">
        <v>58</v>
      </c>
      <c r="G697" t="s">
        <v>59</v>
      </c>
      <c r="H697" t="s">
        <v>60</v>
      </c>
      <c r="I697" t="s">
        <v>129</v>
      </c>
      <c r="J697" t="s">
        <v>86</v>
      </c>
      <c r="K697" t="s">
        <v>320</v>
      </c>
      <c r="L697" t="s">
        <v>62</v>
      </c>
      <c r="M697" t="s">
        <v>63</v>
      </c>
      <c r="N697" t="s">
        <v>64</v>
      </c>
      <c r="P697" t="s">
        <v>65</v>
      </c>
      <c r="R697">
        <v>0.44</v>
      </c>
      <c r="T697">
        <v>0.12</v>
      </c>
      <c r="V697">
        <v>1.32</v>
      </c>
      <c r="W697" t="s">
        <v>66</v>
      </c>
      <c r="X697" t="s">
        <v>67</v>
      </c>
      <c r="Y697" t="s">
        <v>67</v>
      </c>
      <c r="Z697" t="s">
        <v>68</v>
      </c>
      <c r="AB697">
        <v>4</v>
      </c>
      <c r="AC697" t="s">
        <v>61</v>
      </c>
      <c r="AJ697" t="s">
        <v>69</v>
      </c>
      <c r="AY697" t="s">
        <v>748</v>
      </c>
      <c r="AZ697">
        <v>11725</v>
      </c>
      <c r="BA697" t="s">
        <v>749</v>
      </c>
      <c r="BB697" t="s">
        <v>750</v>
      </c>
      <c r="BC697">
        <v>1984</v>
      </c>
      <c r="BD697" t="s">
        <v>751</v>
      </c>
    </row>
    <row r="698" spans="1:56" x14ac:dyDescent="0.35">
      <c r="A698">
        <v>91225</v>
      </c>
      <c r="B698" t="s">
        <v>759</v>
      </c>
      <c r="D698" t="s">
        <v>57</v>
      </c>
      <c r="E698">
        <v>99</v>
      </c>
      <c r="F698" t="s">
        <v>58</v>
      </c>
      <c r="G698" t="s">
        <v>59</v>
      </c>
      <c r="H698" t="s">
        <v>60</v>
      </c>
      <c r="J698" t="s">
        <v>86</v>
      </c>
      <c r="K698" t="s">
        <v>61</v>
      </c>
      <c r="L698" t="s">
        <v>74</v>
      </c>
      <c r="M698" t="s">
        <v>63</v>
      </c>
      <c r="N698" t="s">
        <v>64</v>
      </c>
      <c r="P698" t="s">
        <v>65</v>
      </c>
      <c r="R698">
        <v>77.8</v>
      </c>
      <c r="W698" t="s">
        <v>66</v>
      </c>
      <c r="X698" t="s">
        <v>67</v>
      </c>
      <c r="Y698" t="s">
        <v>67</v>
      </c>
      <c r="Z698" t="s">
        <v>68</v>
      </c>
      <c r="AB698">
        <v>4</v>
      </c>
      <c r="AC698" t="s">
        <v>61</v>
      </c>
      <c r="AJ698" t="s">
        <v>69</v>
      </c>
      <c r="AY698" t="s">
        <v>75</v>
      </c>
      <c r="AZ698">
        <v>3217</v>
      </c>
      <c r="BA698" t="s">
        <v>76</v>
      </c>
      <c r="BB698" t="s">
        <v>77</v>
      </c>
      <c r="BC698">
        <v>1990</v>
      </c>
      <c r="BD698" t="s">
        <v>760</v>
      </c>
    </row>
    <row r="699" spans="1:56" x14ac:dyDescent="0.35">
      <c r="A699">
        <v>91225</v>
      </c>
      <c r="B699" t="s">
        <v>759</v>
      </c>
      <c r="D699" t="s">
        <v>85</v>
      </c>
      <c r="E699" t="s">
        <v>86</v>
      </c>
      <c r="F699" t="s">
        <v>58</v>
      </c>
      <c r="G699" t="s">
        <v>59</v>
      </c>
      <c r="H699" t="s">
        <v>60</v>
      </c>
      <c r="I699" t="s">
        <v>129</v>
      </c>
      <c r="J699" t="s">
        <v>86</v>
      </c>
      <c r="K699" t="s">
        <v>196</v>
      </c>
      <c r="L699" t="s">
        <v>62</v>
      </c>
      <c r="M699" t="s">
        <v>63</v>
      </c>
      <c r="N699" t="s">
        <v>64</v>
      </c>
      <c r="P699" t="s">
        <v>100</v>
      </c>
      <c r="R699">
        <v>46</v>
      </c>
      <c r="W699" t="s">
        <v>66</v>
      </c>
      <c r="X699" t="s">
        <v>67</v>
      </c>
      <c r="Y699" t="s">
        <v>67</v>
      </c>
      <c r="Z699" t="s">
        <v>68</v>
      </c>
      <c r="AB699">
        <v>4</v>
      </c>
      <c r="AC699" t="s">
        <v>61</v>
      </c>
      <c r="AJ699" t="s">
        <v>69</v>
      </c>
      <c r="AY699" t="s">
        <v>338</v>
      </c>
      <c r="AZ699">
        <v>719</v>
      </c>
      <c r="BA699" t="s">
        <v>339</v>
      </c>
      <c r="BB699" t="s">
        <v>340</v>
      </c>
      <c r="BC699">
        <v>1976</v>
      </c>
      <c r="BD699" t="s">
        <v>341</v>
      </c>
    </row>
    <row r="700" spans="1:56" x14ac:dyDescent="0.35">
      <c r="A700">
        <v>91236</v>
      </c>
      <c r="B700" t="s">
        <v>761</v>
      </c>
      <c r="D700" t="s">
        <v>57</v>
      </c>
      <c r="E700" t="s">
        <v>86</v>
      </c>
      <c r="F700" t="s">
        <v>58</v>
      </c>
      <c r="G700" t="s">
        <v>59</v>
      </c>
      <c r="H700" t="s">
        <v>60</v>
      </c>
      <c r="J700" t="s">
        <v>86</v>
      </c>
      <c r="L700" t="s">
        <v>62</v>
      </c>
      <c r="M700" t="s">
        <v>63</v>
      </c>
      <c r="N700" t="s">
        <v>64</v>
      </c>
      <c r="O700" t="s">
        <v>267</v>
      </c>
      <c r="P700" t="s">
        <v>65</v>
      </c>
      <c r="R700">
        <v>216.1</v>
      </c>
      <c r="T700">
        <v>129.6</v>
      </c>
      <c r="V700">
        <v>360.5</v>
      </c>
      <c r="W700" t="s">
        <v>66</v>
      </c>
      <c r="X700" t="s">
        <v>67</v>
      </c>
      <c r="Y700" t="s">
        <v>67</v>
      </c>
      <c r="Z700" t="s">
        <v>68</v>
      </c>
      <c r="AB700">
        <v>4</v>
      </c>
      <c r="AC700" t="s">
        <v>61</v>
      </c>
      <c r="AJ700" t="s">
        <v>69</v>
      </c>
      <c r="AY700" t="s">
        <v>268</v>
      </c>
      <c r="AZ700">
        <v>2965</v>
      </c>
      <c r="BA700" t="s">
        <v>269</v>
      </c>
      <c r="BB700" t="s">
        <v>270</v>
      </c>
      <c r="BC700">
        <v>1981</v>
      </c>
      <c r="BD700" t="s">
        <v>90</v>
      </c>
    </row>
    <row r="701" spans="1:56" x14ac:dyDescent="0.35">
      <c r="A701">
        <v>91236</v>
      </c>
      <c r="B701" t="s">
        <v>761</v>
      </c>
      <c r="D701" t="s">
        <v>57</v>
      </c>
      <c r="E701" t="s">
        <v>86</v>
      </c>
      <c r="F701" t="s">
        <v>58</v>
      </c>
      <c r="G701" t="s">
        <v>59</v>
      </c>
      <c r="H701" t="s">
        <v>60</v>
      </c>
      <c r="J701" t="s">
        <v>86</v>
      </c>
      <c r="L701" t="s">
        <v>62</v>
      </c>
      <c r="M701" t="s">
        <v>63</v>
      </c>
      <c r="N701" t="s">
        <v>64</v>
      </c>
      <c r="P701" t="s">
        <v>65</v>
      </c>
      <c r="R701">
        <v>168.8</v>
      </c>
      <c r="T701">
        <v>115.9</v>
      </c>
      <c r="V701">
        <v>245.7</v>
      </c>
      <c r="W701" t="s">
        <v>66</v>
      </c>
      <c r="X701" t="s">
        <v>67</v>
      </c>
      <c r="Y701" t="s">
        <v>67</v>
      </c>
      <c r="Z701" t="s">
        <v>68</v>
      </c>
      <c r="AB701">
        <v>4</v>
      </c>
      <c r="AC701" t="s">
        <v>61</v>
      </c>
      <c r="AJ701" t="s">
        <v>69</v>
      </c>
      <c r="AY701" t="s">
        <v>304</v>
      </c>
      <c r="AZ701">
        <v>2966</v>
      </c>
      <c r="BA701" t="s">
        <v>305</v>
      </c>
      <c r="BB701" t="s">
        <v>306</v>
      </c>
      <c r="BC701">
        <v>1981</v>
      </c>
      <c r="BD701" t="s">
        <v>90</v>
      </c>
    </row>
    <row r="702" spans="1:56" x14ac:dyDescent="0.35">
      <c r="A702">
        <v>91656</v>
      </c>
      <c r="B702" t="s">
        <v>762</v>
      </c>
      <c r="D702" t="s">
        <v>57</v>
      </c>
      <c r="E702">
        <v>97</v>
      </c>
      <c r="F702" t="s">
        <v>58</v>
      </c>
      <c r="G702" t="s">
        <v>59</v>
      </c>
      <c r="H702" t="s">
        <v>60</v>
      </c>
      <c r="J702">
        <v>31</v>
      </c>
      <c r="K702" t="s">
        <v>61</v>
      </c>
      <c r="L702" t="s">
        <v>74</v>
      </c>
      <c r="M702" t="s">
        <v>63</v>
      </c>
      <c r="N702" t="s">
        <v>64</v>
      </c>
      <c r="P702" t="s">
        <v>65</v>
      </c>
      <c r="R702">
        <v>21.4</v>
      </c>
      <c r="T702">
        <v>19.8</v>
      </c>
      <c r="V702">
        <v>23.2</v>
      </c>
      <c r="W702" t="s">
        <v>66</v>
      </c>
      <c r="X702" t="s">
        <v>67</v>
      </c>
      <c r="Y702" t="s">
        <v>67</v>
      </c>
      <c r="Z702" t="s">
        <v>68</v>
      </c>
      <c r="AB702">
        <v>4</v>
      </c>
      <c r="AC702" t="s">
        <v>61</v>
      </c>
      <c r="AJ702" t="s">
        <v>69</v>
      </c>
      <c r="AY702" t="s">
        <v>80</v>
      </c>
      <c r="AZ702">
        <v>12859</v>
      </c>
      <c r="BA702" t="s">
        <v>81</v>
      </c>
      <c r="BB702" t="s">
        <v>82</v>
      </c>
      <c r="BC702">
        <v>1988</v>
      </c>
      <c r="BD702" t="s">
        <v>73</v>
      </c>
    </row>
    <row r="703" spans="1:56" x14ac:dyDescent="0.35">
      <c r="A703">
        <v>91667</v>
      </c>
      <c r="B703" t="s">
        <v>763</v>
      </c>
      <c r="D703" t="s">
        <v>57</v>
      </c>
      <c r="E703">
        <v>99</v>
      </c>
      <c r="F703" t="s">
        <v>58</v>
      </c>
      <c r="G703" t="s">
        <v>59</v>
      </c>
      <c r="H703" t="s">
        <v>60</v>
      </c>
      <c r="J703">
        <v>34</v>
      </c>
      <c r="K703" t="s">
        <v>61</v>
      </c>
      <c r="L703" t="s">
        <v>74</v>
      </c>
      <c r="M703" t="s">
        <v>63</v>
      </c>
      <c r="N703" t="s">
        <v>64</v>
      </c>
      <c r="P703" t="s">
        <v>65</v>
      </c>
      <c r="R703">
        <v>16.399999999999999</v>
      </c>
      <c r="W703" t="s">
        <v>66</v>
      </c>
      <c r="X703" t="s">
        <v>67</v>
      </c>
      <c r="Y703" t="s">
        <v>67</v>
      </c>
      <c r="Z703" t="s">
        <v>68</v>
      </c>
      <c r="AB703">
        <v>4</v>
      </c>
      <c r="AC703" t="s">
        <v>61</v>
      </c>
      <c r="AJ703" t="s">
        <v>69</v>
      </c>
      <c r="AY703" t="s">
        <v>263</v>
      </c>
      <c r="AZ703">
        <v>12858</v>
      </c>
      <c r="BA703" t="s">
        <v>264</v>
      </c>
      <c r="BB703" t="s">
        <v>265</v>
      </c>
      <c r="BC703">
        <v>1986</v>
      </c>
      <c r="BD703" t="s">
        <v>73</v>
      </c>
    </row>
    <row r="704" spans="1:56" x14ac:dyDescent="0.35">
      <c r="A704">
        <v>91883</v>
      </c>
      <c r="B704" t="s">
        <v>764</v>
      </c>
      <c r="D704" t="s">
        <v>57</v>
      </c>
      <c r="E704">
        <v>99</v>
      </c>
      <c r="F704" t="s">
        <v>58</v>
      </c>
      <c r="G704" t="s">
        <v>59</v>
      </c>
      <c r="H704" t="s">
        <v>60</v>
      </c>
      <c r="J704">
        <v>37</v>
      </c>
      <c r="K704" t="s">
        <v>61</v>
      </c>
      <c r="L704" t="s">
        <v>74</v>
      </c>
      <c r="M704" t="s">
        <v>63</v>
      </c>
      <c r="N704" t="s">
        <v>64</v>
      </c>
      <c r="P704" t="s">
        <v>65</v>
      </c>
      <c r="R704">
        <v>52.9</v>
      </c>
      <c r="T704">
        <v>47.9</v>
      </c>
      <c r="V704">
        <v>58.4</v>
      </c>
      <c r="W704" t="s">
        <v>66</v>
      </c>
      <c r="X704" t="s">
        <v>67</v>
      </c>
      <c r="Y704" t="s">
        <v>67</v>
      </c>
      <c r="Z704" t="s">
        <v>68</v>
      </c>
      <c r="AB704">
        <v>4</v>
      </c>
      <c r="AC704" t="s">
        <v>61</v>
      </c>
      <c r="AJ704" t="s">
        <v>69</v>
      </c>
      <c r="AY704" t="s">
        <v>263</v>
      </c>
      <c r="AZ704">
        <v>12858</v>
      </c>
      <c r="BA704" t="s">
        <v>264</v>
      </c>
      <c r="BB704" t="s">
        <v>265</v>
      </c>
      <c r="BC704">
        <v>1986</v>
      </c>
      <c r="BD704" t="s">
        <v>73</v>
      </c>
    </row>
    <row r="705" spans="1:56" x14ac:dyDescent="0.35">
      <c r="A705">
        <v>91941</v>
      </c>
      <c r="B705" t="s">
        <v>765</v>
      </c>
      <c r="D705" t="s">
        <v>85</v>
      </c>
      <c r="E705">
        <v>98</v>
      </c>
      <c r="F705" t="s">
        <v>58</v>
      </c>
      <c r="G705" t="s">
        <v>59</v>
      </c>
      <c r="H705" t="s">
        <v>60</v>
      </c>
      <c r="J705">
        <v>30</v>
      </c>
      <c r="K705" t="s">
        <v>61</v>
      </c>
      <c r="L705" t="s">
        <v>62</v>
      </c>
      <c r="M705" t="s">
        <v>63</v>
      </c>
      <c r="N705" t="s">
        <v>64</v>
      </c>
      <c r="P705" t="s">
        <v>65</v>
      </c>
      <c r="R705">
        <v>2.15</v>
      </c>
      <c r="T705">
        <v>1.84</v>
      </c>
      <c r="V705">
        <v>2.5</v>
      </c>
      <c r="W705" t="s">
        <v>66</v>
      </c>
      <c r="X705" t="s">
        <v>67</v>
      </c>
      <c r="Y705" t="s">
        <v>67</v>
      </c>
      <c r="Z705" t="s">
        <v>68</v>
      </c>
      <c r="AB705">
        <v>4</v>
      </c>
      <c r="AC705" t="s">
        <v>61</v>
      </c>
      <c r="AJ705" t="s">
        <v>69</v>
      </c>
      <c r="AY705" t="s">
        <v>309</v>
      </c>
      <c r="AZ705">
        <v>17138</v>
      </c>
      <c r="BA705" t="s">
        <v>310</v>
      </c>
      <c r="BB705" t="s">
        <v>311</v>
      </c>
      <c r="BC705">
        <v>1991</v>
      </c>
      <c r="BD705" t="s">
        <v>73</v>
      </c>
    </row>
    <row r="706" spans="1:56" x14ac:dyDescent="0.35">
      <c r="A706">
        <v>91941</v>
      </c>
      <c r="B706" t="s">
        <v>765</v>
      </c>
      <c r="D706" t="s">
        <v>57</v>
      </c>
      <c r="E706">
        <v>98</v>
      </c>
      <c r="F706" t="s">
        <v>58</v>
      </c>
      <c r="G706" t="s">
        <v>59</v>
      </c>
      <c r="H706" t="s">
        <v>60</v>
      </c>
      <c r="J706">
        <v>30</v>
      </c>
      <c r="K706" t="s">
        <v>61</v>
      </c>
      <c r="L706" t="s">
        <v>62</v>
      </c>
      <c r="M706" t="s">
        <v>63</v>
      </c>
      <c r="N706" t="s">
        <v>64</v>
      </c>
      <c r="P706" t="s">
        <v>65</v>
      </c>
      <c r="R706">
        <v>1.05</v>
      </c>
      <c r="T706">
        <v>0.82</v>
      </c>
      <c r="V706">
        <v>1.34</v>
      </c>
      <c r="W706" t="s">
        <v>66</v>
      </c>
      <c r="X706" t="s">
        <v>67</v>
      </c>
      <c r="Y706" t="s">
        <v>67</v>
      </c>
      <c r="Z706" t="s">
        <v>68</v>
      </c>
      <c r="AB706">
        <v>4</v>
      </c>
      <c r="AC706" t="s">
        <v>61</v>
      </c>
      <c r="AJ706" t="s">
        <v>69</v>
      </c>
      <c r="AY706" t="s">
        <v>309</v>
      </c>
      <c r="AZ706">
        <v>17138</v>
      </c>
      <c r="BA706" t="s">
        <v>310</v>
      </c>
      <c r="BB706" t="s">
        <v>311</v>
      </c>
      <c r="BC706">
        <v>1991</v>
      </c>
      <c r="BD706" t="s">
        <v>73</v>
      </c>
    </row>
    <row r="707" spans="1:56" x14ac:dyDescent="0.35">
      <c r="A707">
        <v>91941</v>
      </c>
      <c r="B707" t="s">
        <v>765</v>
      </c>
      <c r="D707" t="s">
        <v>85</v>
      </c>
      <c r="E707">
        <v>98</v>
      </c>
      <c r="F707" t="s">
        <v>58</v>
      </c>
      <c r="G707" t="s">
        <v>59</v>
      </c>
      <c r="H707" t="s">
        <v>60</v>
      </c>
      <c r="J707">
        <v>30</v>
      </c>
      <c r="K707" t="s">
        <v>61</v>
      </c>
      <c r="L707" t="s">
        <v>62</v>
      </c>
      <c r="M707" t="s">
        <v>63</v>
      </c>
      <c r="N707" t="s">
        <v>64</v>
      </c>
      <c r="P707" t="s">
        <v>65</v>
      </c>
      <c r="R707">
        <v>3.24</v>
      </c>
      <c r="W707" t="s">
        <v>66</v>
      </c>
      <c r="X707" t="s">
        <v>67</v>
      </c>
      <c r="Y707" t="s">
        <v>67</v>
      </c>
      <c r="Z707" t="s">
        <v>68</v>
      </c>
      <c r="AB707">
        <v>4</v>
      </c>
      <c r="AC707" t="s">
        <v>61</v>
      </c>
      <c r="AJ707" t="s">
        <v>69</v>
      </c>
      <c r="AY707" t="s">
        <v>309</v>
      </c>
      <c r="AZ707">
        <v>17138</v>
      </c>
      <c r="BA707" t="s">
        <v>310</v>
      </c>
      <c r="BB707" t="s">
        <v>311</v>
      </c>
      <c r="BC707">
        <v>1991</v>
      </c>
      <c r="BD707" t="s">
        <v>73</v>
      </c>
    </row>
    <row r="708" spans="1:56" x14ac:dyDescent="0.35">
      <c r="A708">
        <v>91941</v>
      </c>
      <c r="B708" t="s">
        <v>765</v>
      </c>
      <c r="D708" t="s">
        <v>57</v>
      </c>
      <c r="E708">
        <v>98</v>
      </c>
      <c r="F708" t="s">
        <v>58</v>
      </c>
      <c r="G708" t="s">
        <v>59</v>
      </c>
      <c r="H708" t="s">
        <v>60</v>
      </c>
      <c r="J708">
        <v>30</v>
      </c>
      <c r="K708" t="s">
        <v>61</v>
      </c>
      <c r="L708" t="s">
        <v>62</v>
      </c>
      <c r="M708" t="s">
        <v>63</v>
      </c>
      <c r="N708" t="s">
        <v>64</v>
      </c>
      <c r="P708" t="s">
        <v>65</v>
      </c>
      <c r="R708">
        <v>1.88</v>
      </c>
      <c r="T708">
        <v>1.61</v>
      </c>
      <c r="V708">
        <v>2.2000000000000002</v>
      </c>
      <c r="W708" t="s">
        <v>66</v>
      </c>
      <c r="X708" t="s">
        <v>67</v>
      </c>
      <c r="Y708" t="s">
        <v>67</v>
      </c>
      <c r="Z708" t="s">
        <v>68</v>
      </c>
      <c r="AB708">
        <v>4</v>
      </c>
      <c r="AC708" t="s">
        <v>61</v>
      </c>
      <c r="AJ708" t="s">
        <v>69</v>
      </c>
      <c r="AY708" t="s">
        <v>309</v>
      </c>
      <c r="AZ708">
        <v>17138</v>
      </c>
      <c r="BA708" t="s">
        <v>310</v>
      </c>
      <c r="BB708" t="s">
        <v>311</v>
      </c>
      <c r="BC708">
        <v>1991</v>
      </c>
      <c r="BD708" t="s">
        <v>73</v>
      </c>
    </row>
    <row r="709" spans="1:56" x14ac:dyDescent="0.35">
      <c r="A709">
        <v>91941</v>
      </c>
      <c r="B709" t="s">
        <v>765</v>
      </c>
      <c r="D709" t="s">
        <v>57</v>
      </c>
      <c r="E709">
        <v>98</v>
      </c>
      <c r="F709" t="s">
        <v>58</v>
      </c>
      <c r="G709" t="s">
        <v>59</v>
      </c>
      <c r="H709" t="s">
        <v>60</v>
      </c>
      <c r="J709">
        <v>30</v>
      </c>
      <c r="K709" t="s">
        <v>61</v>
      </c>
      <c r="L709" t="s">
        <v>62</v>
      </c>
      <c r="M709" t="s">
        <v>63</v>
      </c>
      <c r="N709" t="s">
        <v>64</v>
      </c>
      <c r="P709" t="s">
        <v>65</v>
      </c>
      <c r="R709">
        <v>2.77</v>
      </c>
      <c r="W709" t="s">
        <v>66</v>
      </c>
      <c r="X709" t="s">
        <v>67</v>
      </c>
      <c r="Y709" t="s">
        <v>67</v>
      </c>
      <c r="Z709" t="s">
        <v>68</v>
      </c>
      <c r="AB709">
        <v>4</v>
      </c>
      <c r="AC709" t="s">
        <v>61</v>
      </c>
      <c r="AJ709" t="s">
        <v>69</v>
      </c>
      <c r="AY709" t="s">
        <v>309</v>
      </c>
      <c r="AZ709">
        <v>17138</v>
      </c>
      <c r="BA709" t="s">
        <v>310</v>
      </c>
      <c r="BB709" t="s">
        <v>311</v>
      </c>
      <c r="BC709">
        <v>1991</v>
      </c>
      <c r="BD709" t="s">
        <v>73</v>
      </c>
    </row>
    <row r="710" spans="1:56" x14ac:dyDescent="0.35">
      <c r="A710">
        <v>91941</v>
      </c>
      <c r="B710" t="s">
        <v>765</v>
      </c>
      <c r="D710" t="s">
        <v>85</v>
      </c>
      <c r="E710">
        <v>98</v>
      </c>
      <c r="F710" t="s">
        <v>58</v>
      </c>
      <c r="G710" t="s">
        <v>59</v>
      </c>
      <c r="H710" t="s">
        <v>60</v>
      </c>
      <c r="J710">
        <v>30</v>
      </c>
      <c r="K710" t="s">
        <v>61</v>
      </c>
      <c r="L710" t="s">
        <v>74</v>
      </c>
      <c r="M710" t="s">
        <v>63</v>
      </c>
      <c r="N710" t="s">
        <v>64</v>
      </c>
      <c r="P710" t="s">
        <v>65</v>
      </c>
      <c r="R710">
        <v>1.77</v>
      </c>
      <c r="T710">
        <v>1.64</v>
      </c>
      <c r="V710">
        <v>1.92</v>
      </c>
      <c r="W710" t="s">
        <v>66</v>
      </c>
      <c r="X710" t="s">
        <v>67</v>
      </c>
      <c r="Y710" t="s">
        <v>67</v>
      </c>
      <c r="Z710" t="s">
        <v>68</v>
      </c>
      <c r="AB710">
        <v>4</v>
      </c>
      <c r="AC710" t="s">
        <v>61</v>
      </c>
      <c r="AJ710" t="s">
        <v>69</v>
      </c>
      <c r="AY710" t="s">
        <v>309</v>
      </c>
      <c r="AZ710">
        <v>17138</v>
      </c>
      <c r="BA710" t="s">
        <v>310</v>
      </c>
      <c r="BB710" t="s">
        <v>311</v>
      </c>
      <c r="BC710">
        <v>1991</v>
      </c>
      <c r="BD710" t="s">
        <v>73</v>
      </c>
    </row>
    <row r="711" spans="1:56" x14ac:dyDescent="0.35">
      <c r="A711">
        <v>91941</v>
      </c>
      <c r="B711" t="s">
        <v>765</v>
      </c>
      <c r="D711" t="s">
        <v>57</v>
      </c>
      <c r="E711">
        <v>98</v>
      </c>
      <c r="F711" t="s">
        <v>58</v>
      </c>
      <c r="G711" t="s">
        <v>59</v>
      </c>
      <c r="H711" t="s">
        <v>60</v>
      </c>
      <c r="J711">
        <v>30</v>
      </c>
      <c r="K711" t="s">
        <v>61</v>
      </c>
      <c r="L711" t="s">
        <v>74</v>
      </c>
      <c r="M711" t="s">
        <v>63</v>
      </c>
      <c r="N711" t="s">
        <v>64</v>
      </c>
      <c r="P711" t="s">
        <v>65</v>
      </c>
      <c r="R711">
        <v>2.08</v>
      </c>
      <c r="W711" t="s">
        <v>66</v>
      </c>
      <c r="X711" t="s">
        <v>67</v>
      </c>
      <c r="Y711" t="s">
        <v>67</v>
      </c>
      <c r="Z711" t="s">
        <v>68</v>
      </c>
      <c r="AB711">
        <v>4</v>
      </c>
      <c r="AC711" t="s">
        <v>61</v>
      </c>
      <c r="AJ711" t="s">
        <v>69</v>
      </c>
      <c r="AY711" t="s">
        <v>309</v>
      </c>
      <c r="AZ711">
        <v>17138</v>
      </c>
      <c r="BA711" t="s">
        <v>310</v>
      </c>
      <c r="BB711" t="s">
        <v>311</v>
      </c>
      <c r="BC711">
        <v>1991</v>
      </c>
      <c r="BD711" t="s">
        <v>73</v>
      </c>
    </row>
    <row r="712" spans="1:56" x14ac:dyDescent="0.35">
      <c r="A712">
        <v>92433</v>
      </c>
      <c r="B712" t="s">
        <v>766</v>
      </c>
      <c r="D712" t="s">
        <v>85</v>
      </c>
      <c r="E712" t="s">
        <v>86</v>
      </c>
      <c r="F712" t="s">
        <v>58</v>
      </c>
      <c r="G712" t="s">
        <v>59</v>
      </c>
      <c r="H712" t="s">
        <v>60</v>
      </c>
      <c r="J712" t="s">
        <v>86</v>
      </c>
      <c r="L712" t="s">
        <v>62</v>
      </c>
      <c r="M712" t="s">
        <v>63</v>
      </c>
      <c r="N712" t="s">
        <v>64</v>
      </c>
      <c r="O712">
        <v>4</v>
      </c>
      <c r="P712" t="s">
        <v>100</v>
      </c>
      <c r="T712">
        <v>1</v>
      </c>
      <c r="V712">
        <v>10</v>
      </c>
      <c r="W712" t="s">
        <v>66</v>
      </c>
      <c r="X712" t="s">
        <v>67</v>
      </c>
      <c r="Y712" t="s">
        <v>67</v>
      </c>
      <c r="Z712" t="s">
        <v>68</v>
      </c>
      <c r="AB712">
        <v>4</v>
      </c>
      <c r="AC712" t="s">
        <v>61</v>
      </c>
      <c r="AJ712" t="s">
        <v>69</v>
      </c>
      <c r="AY712" t="s">
        <v>173</v>
      </c>
      <c r="AZ712">
        <v>167113</v>
      </c>
      <c r="BA712" t="s">
        <v>174</v>
      </c>
      <c r="BB712" t="s">
        <v>175</v>
      </c>
      <c r="BC712">
        <v>1974</v>
      </c>
      <c r="BD712" t="s">
        <v>90</v>
      </c>
    </row>
    <row r="713" spans="1:56" x14ac:dyDescent="0.35">
      <c r="A713">
        <v>92524</v>
      </c>
      <c r="B713" t="s">
        <v>767</v>
      </c>
      <c r="D713" t="s">
        <v>57</v>
      </c>
      <c r="E713">
        <v>99</v>
      </c>
      <c r="F713" t="s">
        <v>58</v>
      </c>
      <c r="G713" t="s">
        <v>59</v>
      </c>
      <c r="H713" t="s">
        <v>60</v>
      </c>
      <c r="J713">
        <v>30</v>
      </c>
      <c r="K713" t="s">
        <v>61</v>
      </c>
      <c r="L713" t="s">
        <v>74</v>
      </c>
      <c r="M713" t="s">
        <v>63</v>
      </c>
      <c r="N713" t="s">
        <v>64</v>
      </c>
      <c r="P713" t="s">
        <v>65</v>
      </c>
      <c r="R713">
        <v>1.95</v>
      </c>
      <c r="T713">
        <v>1.65</v>
      </c>
      <c r="V713">
        <v>2.29</v>
      </c>
      <c r="W713" t="s">
        <v>66</v>
      </c>
      <c r="X713" t="s">
        <v>67</v>
      </c>
      <c r="Y713" t="s">
        <v>67</v>
      </c>
      <c r="Z713" t="s">
        <v>68</v>
      </c>
      <c r="AB713">
        <v>4</v>
      </c>
      <c r="AC713" t="s">
        <v>61</v>
      </c>
      <c r="AJ713" t="s">
        <v>69</v>
      </c>
      <c r="AY713" t="s">
        <v>309</v>
      </c>
      <c r="AZ713">
        <v>17138</v>
      </c>
      <c r="BA713" t="s">
        <v>310</v>
      </c>
      <c r="BB713" t="s">
        <v>311</v>
      </c>
      <c r="BC713">
        <v>1991</v>
      </c>
      <c r="BD713" t="s">
        <v>73</v>
      </c>
    </row>
    <row r="714" spans="1:56" x14ac:dyDescent="0.35">
      <c r="A714">
        <v>92524</v>
      </c>
      <c r="B714" t="s">
        <v>767</v>
      </c>
      <c r="E714">
        <v>95</v>
      </c>
      <c r="F714" t="s">
        <v>58</v>
      </c>
      <c r="G714" t="s">
        <v>59</v>
      </c>
      <c r="H714" t="s">
        <v>60</v>
      </c>
      <c r="J714" t="s">
        <v>86</v>
      </c>
      <c r="L714" t="s">
        <v>62</v>
      </c>
      <c r="M714" t="s">
        <v>63</v>
      </c>
      <c r="N714" t="s">
        <v>64</v>
      </c>
      <c r="P714" t="s">
        <v>65</v>
      </c>
      <c r="R714">
        <v>5.3</v>
      </c>
      <c r="T714">
        <v>4.5999999999999996</v>
      </c>
      <c r="V714">
        <v>6.2</v>
      </c>
      <c r="W714" t="s">
        <v>66</v>
      </c>
      <c r="X714" t="s">
        <v>67</v>
      </c>
      <c r="Y714" t="s">
        <v>67</v>
      </c>
      <c r="Z714" t="s">
        <v>68</v>
      </c>
      <c r="AB714">
        <v>4</v>
      </c>
      <c r="AC714" t="s">
        <v>61</v>
      </c>
      <c r="AJ714" t="s">
        <v>69</v>
      </c>
      <c r="AY714" t="s">
        <v>382</v>
      </c>
      <c r="AZ714">
        <v>96222</v>
      </c>
      <c r="BA714" t="s">
        <v>768</v>
      </c>
      <c r="BB714" t="s">
        <v>769</v>
      </c>
      <c r="BC714">
        <v>1983</v>
      </c>
      <c r="BD714" t="s">
        <v>90</v>
      </c>
    </row>
    <row r="715" spans="1:56" x14ac:dyDescent="0.35">
      <c r="A715">
        <v>92524</v>
      </c>
      <c r="B715" t="s">
        <v>767</v>
      </c>
      <c r="D715" t="s">
        <v>85</v>
      </c>
      <c r="E715">
        <v>99</v>
      </c>
      <c r="F715" t="s">
        <v>58</v>
      </c>
      <c r="G715" t="s">
        <v>59</v>
      </c>
      <c r="H715" t="s">
        <v>60</v>
      </c>
      <c r="J715">
        <v>30</v>
      </c>
      <c r="K715" t="s">
        <v>61</v>
      </c>
      <c r="L715" t="s">
        <v>62</v>
      </c>
      <c r="M715" t="s">
        <v>63</v>
      </c>
      <c r="N715" t="s">
        <v>64</v>
      </c>
      <c r="P715" t="s">
        <v>65</v>
      </c>
      <c r="R715">
        <v>3.5</v>
      </c>
      <c r="T715">
        <v>2.9</v>
      </c>
      <c r="V715">
        <v>4.09</v>
      </c>
      <c r="W715" t="s">
        <v>66</v>
      </c>
      <c r="X715" t="s">
        <v>67</v>
      </c>
      <c r="Y715" t="s">
        <v>67</v>
      </c>
      <c r="Z715" t="s">
        <v>68</v>
      </c>
      <c r="AB715">
        <v>4</v>
      </c>
      <c r="AC715" t="s">
        <v>61</v>
      </c>
      <c r="AJ715" t="s">
        <v>69</v>
      </c>
      <c r="AY715" t="s">
        <v>309</v>
      </c>
      <c r="AZ715">
        <v>17138</v>
      </c>
      <c r="BA715" t="s">
        <v>310</v>
      </c>
      <c r="BB715" t="s">
        <v>311</v>
      </c>
      <c r="BC715">
        <v>1991</v>
      </c>
      <c r="BD715" t="s">
        <v>73</v>
      </c>
    </row>
    <row r="716" spans="1:56" x14ac:dyDescent="0.35">
      <c r="A716">
        <v>92524</v>
      </c>
      <c r="B716" t="s">
        <v>767</v>
      </c>
      <c r="D716" t="s">
        <v>57</v>
      </c>
      <c r="E716">
        <v>99</v>
      </c>
      <c r="F716" t="s">
        <v>58</v>
      </c>
      <c r="G716" t="s">
        <v>59</v>
      </c>
      <c r="H716" t="s">
        <v>60</v>
      </c>
      <c r="J716">
        <v>30</v>
      </c>
      <c r="K716" t="s">
        <v>61</v>
      </c>
      <c r="L716" t="s">
        <v>62</v>
      </c>
      <c r="M716" t="s">
        <v>63</v>
      </c>
      <c r="N716" t="s">
        <v>64</v>
      </c>
      <c r="P716" t="s">
        <v>65</v>
      </c>
      <c r="R716">
        <v>1.45</v>
      </c>
      <c r="T716">
        <v>1.17</v>
      </c>
      <c r="V716">
        <v>1.81</v>
      </c>
      <c r="W716" t="s">
        <v>66</v>
      </c>
      <c r="X716" t="s">
        <v>67</v>
      </c>
      <c r="Y716" t="s">
        <v>67</v>
      </c>
      <c r="Z716" t="s">
        <v>68</v>
      </c>
      <c r="AB716">
        <v>4</v>
      </c>
      <c r="AC716" t="s">
        <v>61</v>
      </c>
      <c r="AJ716" t="s">
        <v>69</v>
      </c>
      <c r="AY716" t="s">
        <v>309</v>
      </c>
      <c r="AZ716">
        <v>17138</v>
      </c>
      <c r="BA716" t="s">
        <v>310</v>
      </c>
      <c r="BB716" t="s">
        <v>311</v>
      </c>
      <c r="BC716">
        <v>1991</v>
      </c>
      <c r="BD716" t="s">
        <v>73</v>
      </c>
    </row>
    <row r="717" spans="1:56" x14ac:dyDescent="0.35">
      <c r="A717">
        <v>92524</v>
      </c>
      <c r="B717" t="s">
        <v>767</v>
      </c>
      <c r="D717" t="s">
        <v>57</v>
      </c>
      <c r="E717">
        <v>99</v>
      </c>
      <c r="F717" t="s">
        <v>58</v>
      </c>
      <c r="G717" t="s">
        <v>59</v>
      </c>
      <c r="H717" t="s">
        <v>60</v>
      </c>
      <c r="J717">
        <v>30</v>
      </c>
      <c r="K717" t="s">
        <v>61</v>
      </c>
      <c r="L717" t="s">
        <v>62</v>
      </c>
      <c r="M717" t="s">
        <v>63</v>
      </c>
      <c r="N717" t="s">
        <v>64</v>
      </c>
      <c r="P717" t="s">
        <v>65</v>
      </c>
      <c r="R717">
        <v>2.94</v>
      </c>
      <c r="T717">
        <v>2.5</v>
      </c>
      <c r="V717">
        <v>3.44</v>
      </c>
      <c r="W717" t="s">
        <v>66</v>
      </c>
      <c r="X717" t="s">
        <v>67</v>
      </c>
      <c r="Y717" t="s">
        <v>67</v>
      </c>
      <c r="Z717" t="s">
        <v>68</v>
      </c>
      <c r="AB717">
        <v>4</v>
      </c>
      <c r="AC717" t="s">
        <v>61</v>
      </c>
      <c r="AJ717" t="s">
        <v>69</v>
      </c>
      <c r="AY717" t="s">
        <v>309</v>
      </c>
      <c r="AZ717">
        <v>17138</v>
      </c>
      <c r="BA717" t="s">
        <v>310</v>
      </c>
      <c r="BB717" t="s">
        <v>311</v>
      </c>
      <c r="BC717">
        <v>1991</v>
      </c>
      <c r="BD717" t="s">
        <v>73</v>
      </c>
    </row>
    <row r="718" spans="1:56" x14ac:dyDescent="0.35">
      <c r="A718">
        <v>92875</v>
      </c>
      <c r="B718" t="s">
        <v>770</v>
      </c>
      <c r="D718" t="s">
        <v>85</v>
      </c>
      <c r="E718" t="s">
        <v>86</v>
      </c>
      <c r="F718" t="s">
        <v>58</v>
      </c>
      <c r="G718" t="s">
        <v>59</v>
      </c>
      <c r="H718" t="s">
        <v>60</v>
      </c>
      <c r="J718" t="s">
        <v>86</v>
      </c>
      <c r="L718" t="s">
        <v>62</v>
      </c>
      <c r="M718" t="s">
        <v>63</v>
      </c>
      <c r="N718" t="s">
        <v>64</v>
      </c>
      <c r="P718" t="s">
        <v>100</v>
      </c>
      <c r="Q718" t="s">
        <v>153</v>
      </c>
      <c r="R718">
        <v>20</v>
      </c>
      <c r="W718" t="s">
        <v>66</v>
      </c>
      <c r="X718" t="s">
        <v>67</v>
      </c>
      <c r="Y718" t="s">
        <v>67</v>
      </c>
      <c r="Z718" t="s">
        <v>68</v>
      </c>
      <c r="AB718">
        <v>4</v>
      </c>
      <c r="AC718" t="s">
        <v>61</v>
      </c>
      <c r="AJ718" t="s">
        <v>69</v>
      </c>
      <c r="AY718" t="s">
        <v>771</v>
      </c>
      <c r="AZ718">
        <v>17728</v>
      </c>
      <c r="BA718" t="s">
        <v>772</v>
      </c>
      <c r="BB718" t="s">
        <v>773</v>
      </c>
      <c r="BC718">
        <v>1973</v>
      </c>
      <c r="BD718" t="s">
        <v>90</v>
      </c>
    </row>
    <row r="719" spans="1:56" x14ac:dyDescent="0.35">
      <c r="A719">
        <v>93721</v>
      </c>
      <c r="B719" t="s">
        <v>774</v>
      </c>
      <c r="D719" t="s">
        <v>85</v>
      </c>
      <c r="E719">
        <v>20</v>
      </c>
      <c r="F719" t="s">
        <v>58</v>
      </c>
      <c r="G719" t="s">
        <v>59</v>
      </c>
      <c r="H719" t="s">
        <v>60</v>
      </c>
      <c r="J719" t="s">
        <v>86</v>
      </c>
      <c r="L719" t="s">
        <v>62</v>
      </c>
      <c r="M719" t="s">
        <v>63</v>
      </c>
      <c r="N719" t="s">
        <v>64</v>
      </c>
      <c r="P719" t="s">
        <v>65</v>
      </c>
      <c r="R719">
        <v>13</v>
      </c>
      <c r="W719" t="s">
        <v>66</v>
      </c>
      <c r="X719" t="s">
        <v>67</v>
      </c>
      <c r="Y719" t="s">
        <v>67</v>
      </c>
      <c r="Z719" t="s">
        <v>68</v>
      </c>
      <c r="AB719">
        <v>4</v>
      </c>
      <c r="AC719" t="s">
        <v>61</v>
      </c>
      <c r="AJ719" t="s">
        <v>69</v>
      </c>
      <c r="AY719" t="s">
        <v>648</v>
      </c>
      <c r="AZ719">
        <v>892</v>
      </c>
      <c r="BA719" t="s">
        <v>649</v>
      </c>
      <c r="BB719" t="s">
        <v>650</v>
      </c>
      <c r="BC719">
        <v>1962</v>
      </c>
      <c r="BD719" t="s">
        <v>90</v>
      </c>
    </row>
    <row r="720" spans="1:56" x14ac:dyDescent="0.35">
      <c r="A720">
        <v>93721</v>
      </c>
      <c r="B720" t="s">
        <v>774</v>
      </c>
      <c r="D720" t="s">
        <v>85</v>
      </c>
      <c r="E720">
        <v>20</v>
      </c>
      <c r="F720" t="s">
        <v>58</v>
      </c>
      <c r="G720" t="s">
        <v>59</v>
      </c>
      <c r="H720" t="s">
        <v>60</v>
      </c>
      <c r="J720" t="s">
        <v>86</v>
      </c>
      <c r="L720" t="s">
        <v>62</v>
      </c>
      <c r="M720" t="s">
        <v>63</v>
      </c>
      <c r="N720" t="s">
        <v>64</v>
      </c>
      <c r="P720" t="s">
        <v>65</v>
      </c>
      <c r="R720">
        <v>73</v>
      </c>
      <c r="W720" t="s">
        <v>66</v>
      </c>
      <c r="X720" t="s">
        <v>67</v>
      </c>
      <c r="Y720" t="s">
        <v>67</v>
      </c>
      <c r="Z720" t="s">
        <v>68</v>
      </c>
      <c r="AB720">
        <v>4</v>
      </c>
      <c r="AC720" t="s">
        <v>61</v>
      </c>
      <c r="AJ720" t="s">
        <v>69</v>
      </c>
      <c r="AY720" t="s">
        <v>648</v>
      </c>
      <c r="AZ720">
        <v>892</v>
      </c>
      <c r="BA720" t="s">
        <v>649</v>
      </c>
      <c r="BB720" t="s">
        <v>650</v>
      </c>
      <c r="BC720">
        <v>1962</v>
      </c>
      <c r="BD720" t="s">
        <v>90</v>
      </c>
    </row>
    <row r="721" spans="1:56" x14ac:dyDescent="0.35">
      <c r="A721">
        <v>93721</v>
      </c>
      <c r="B721" t="s">
        <v>774</v>
      </c>
      <c r="E721">
        <v>45</v>
      </c>
      <c r="F721" t="s">
        <v>58</v>
      </c>
      <c r="G721" t="s">
        <v>59</v>
      </c>
      <c r="H721" t="s">
        <v>60</v>
      </c>
      <c r="J721" t="s">
        <v>86</v>
      </c>
      <c r="L721" t="s">
        <v>62</v>
      </c>
      <c r="M721" t="s">
        <v>63</v>
      </c>
      <c r="N721" t="s">
        <v>64</v>
      </c>
      <c r="P721" t="s">
        <v>65</v>
      </c>
      <c r="R721">
        <v>18.5</v>
      </c>
      <c r="T721">
        <v>13.3</v>
      </c>
      <c r="V721">
        <v>25.8</v>
      </c>
      <c r="W721" t="s">
        <v>66</v>
      </c>
      <c r="X721" t="s">
        <v>67</v>
      </c>
      <c r="Y721" t="s">
        <v>67</v>
      </c>
      <c r="Z721" t="s">
        <v>68</v>
      </c>
      <c r="AB721">
        <v>4</v>
      </c>
      <c r="AC721" t="s">
        <v>61</v>
      </c>
      <c r="AJ721" t="s">
        <v>69</v>
      </c>
      <c r="AY721" t="s">
        <v>96</v>
      </c>
      <c r="AZ721">
        <v>6797</v>
      </c>
      <c r="BA721" t="s">
        <v>97</v>
      </c>
      <c r="BB721" t="s">
        <v>98</v>
      </c>
      <c r="BC721">
        <v>1986</v>
      </c>
      <c r="BD721" t="s">
        <v>90</v>
      </c>
    </row>
    <row r="722" spans="1:56" x14ac:dyDescent="0.35">
      <c r="A722">
        <v>93721</v>
      </c>
      <c r="B722" t="s">
        <v>774</v>
      </c>
      <c r="E722">
        <v>45</v>
      </c>
      <c r="F722" t="s">
        <v>58</v>
      </c>
      <c r="G722" t="s">
        <v>59</v>
      </c>
      <c r="H722" t="s">
        <v>60</v>
      </c>
      <c r="J722" t="s">
        <v>86</v>
      </c>
      <c r="L722" t="s">
        <v>62</v>
      </c>
      <c r="M722" t="s">
        <v>63</v>
      </c>
      <c r="N722" t="s">
        <v>64</v>
      </c>
      <c r="P722" t="s">
        <v>65</v>
      </c>
      <c r="R722">
        <v>15.8</v>
      </c>
      <c r="T722">
        <v>12.2</v>
      </c>
      <c r="V722">
        <v>20.5</v>
      </c>
      <c r="W722" t="s">
        <v>66</v>
      </c>
      <c r="X722" t="s">
        <v>67</v>
      </c>
      <c r="Y722" t="s">
        <v>67</v>
      </c>
      <c r="Z722" t="s">
        <v>68</v>
      </c>
      <c r="AB722">
        <v>4</v>
      </c>
      <c r="AC722" t="s">
        <v>61</v>
      </c>
      <c r="AJ722" t="s">
        <v>69</v>
      </c>
      <c r="AY722" t="s">
        <v>96</v>
      </c>
      <c r="AZ722">
        <v>6797</v>
      </c>
      <c r="BA722" t="s">
        <v>97</v>
      </c>
      <c r="BB722" t="s">
        <v>98</v>
      </c>
      <c r="BC722">
        <v>1986</v>
      </c>
      <c r="BD722" t="s">
        <v>90</v>
      </c>
    </row>
    <row r="723" spans="1:56" x14ac:dyDescent="0.35">
      <c r="A723">
        <v>93721</v>
      </c>
      <c r="B723" t="s">
        <v>774</v>
      </c>
      <c r="D723" t="s">
        <v>85</v>
      </c>
      <c r="E723" t="s">
        <v>86</v>
      </c>
      <c r="F723" t="s">
        <v>58</v>
      </c>
      <c r="G723" t="s">
        <v>59</v>
      </c>
      <c r="H723" t="s">
        <v>60</v>
      </c>
      <c r="J723" t="s">
        <v>86</v>
      </c>
      <c r="M723" t="s">
        <v>775</v>
      </c>
      <c r="N723" t="s">
        <v>64</v>
      </c>
      <c r="P723" t="s">
        <v>100</v>
      </c>
      <c r="R723">
        <v>2.4</v>
      </c>
      <c r="W723" t="s">
        <v>66</v>
      </c>
      <c r="X723" t="s">
        <v>67</v>
      </c>
      <c r="Y723" t="s">
        <v>67</v>
      </c>
      <c r="Z723" t="s">
        <v>68</v>
      </c>
      <c r="AB723">
        <v>4</v>
      </c>
      <c r="AC723" t="s">
        <v>61</v>
      </c>
      <c r="AJ723" t="s">
        <v>69</v>
      </c>
      <c r="AY723" t="s">
        <v>101</v>
      </c>
      <c r="AZ723">
        <v>70421</v>
      </c>
      <c r="BA723" t="s">
        <v>102</v>
      </c>
      <c r="BB723" t="s">
        <v>103</v>
      </c>
      <c r="BC723">
        <v>1974</v>
      </c>
      <c r="BD723" t="s">
        <v>90</v>
      </c>
    </row>
    <row r="724" spans="1:56" x14ac:dyDescent="0.35">
      <c r="A724">
        <v>93890</v>
      </c>
      <c r="B724" t="s">
        <v>776</v>
      </c>
      <c r="D724" t="s">
        <v>57</v>
      </c>
      <c r="E724" t="s">
        <v>79</v>
      </c>
      <c r="F724" t="s">
        <v>58</v>
      </c>
      <c r="G724" t="s">
        <v>59</v>
      </c>
      <c r="H724" t="s">
        <v>60</v>
      </c>
      <c r="I724" t="s">
        <v>188</v>
      </c>
      <c r="J724" t="s">
        <v>289</v>
      </c>
      <c r="K724" t="s">
        <v>184</v>
      </c>
      <c r="L724" t="s">
        <v>74</v>
      </c>
      <c r="M724" t="s">
        <v>63</v>
      </c>
      <c r="N724" t="s">
        <v>64</v>
      </c>
      <c r="P724" t="s">
        <v>65</v>
      </c>
      <c r="R724">
        <v>6.7</v>
      </c>
      <c r="W724" t="s">
        <v>66</v>
      </c>
      <c r="X724" t="s">
        <v>67</v>
      </c>
      <c r="Y724" t="s">
        <v>67</v>
      </c>
      <c r="Z724" t="s">
        <v>68</v>
      </c>
      <c r="AB724">
        <v>4</v>
      </c>
      <c r="AC724" t="s">
        <v>61</v>
      </c>
      <c r="AJ724" t="s">
        <v>69</v>
      </c>
      <c r="AY724" t="s">
        <v>777</v>
      </c>
      <c r="AZ724">
        <v>4343</v>
      </c>
      <c r="BA724" t="s">
        <v>778</v>
      </c>
      <c r="BB724" t="s">
        <v>779</v>
      </c>
      <c r="BC724">
        <v>1993</v>
      </c>
      <c r="BD724" t="s">
        <v>185</v>
      </c>
    </row>
    <row r="725" spans="1:56" x14ac:dyDescent="0.35">
      <c r="A725">
        <v>93890</v>
      </c>
      <c r="B725" t="s">
        <v>776</v>
      </c>
      <c r="D725" t="s">
        <v>57</v>
      </c>
      <c r="E725" t="s">
        <v>79</v>
      </c>
      <c r="F725" t="s">
        <v>58</v>
      </c>
      <c r="G725" t="s">
        <v>59</v>
      </c>
      <c r="H725" t="s">
        <v>60</v>
      </c>
      <c r="J725">
        <v>33</v>
      </c>
      <c r="K725" t="s">
        <v>61</v>
      </c>
      <c r="L725" t="s">
        <v>74</v>
      </c>
      <c r="M725" t="s">
        <v>63</v>
      </c>
      <c r="N725" t="s">
        <v>64</v>
      </c>
      <c r="P725" t="s">
        <v>65</v>
      </c>
      <c r="R725">
        <v>10.8</v>
      </c>
      <c r="T725">
        <v>9.56</v>
      </c>
      <c r="V725">
        <v>12.2</v>
      </c>
      <c r="W725" t="s">
        <v>66</v>
      </c>
      <c r="X725" t="s">
        <v>67</v>
      </c>
      <c r="Y725" t="s">
        <v>67</v>
      </c>
      <c r="Z725" t="s">
        <v>68</v>
      </c>
      <c r="AB725">
        <v>4</v>
      </c>
      <c r="AC725" t="s">
        <v>61</v>
      </c>
      <c r="AJ725" t="s">
        <v>69</v>
      </c>
      <c r="AY725" t="s">
        <v>75</v>
      </c>
      <c r="AZ725">
        <v>3217</v>
      </c>
      <c r="BA725" t="s">
        <v>76</v>
      </c>
      <c r="BB725" t="s">
        <v>77</v>
      </c>
      <c r="BC725">
        <v>1990</v>
      </c>
      <c r="BD725" t="s">
        <v>73</v>
      </c>
    </row>
    <row r="726" spans="1:56" x14ac:dyDescent="0.35">
      <c r="A726">
        <v>93914</v>
      </c>
      <c r="B726" t="s">
        <v>780</v>
      </c>
      <c r="D726" t="s">
        <v>57</v>
      </c>
      <c r="E726">
        <v>98</v>
      </c>
      <c r="F726" t="s">
        <v>58</v>
      </c>
      <c r="G726" t="s">
        <v>59</v>
      </c>
      <c r="H726" t="s">
        <v>60</v>
      </c>
      <c r="J726">
        <v>30</v>
      </c>
      <c r="K726" t="s">
        <v>61</v>
      </c>
      <c r="L726" t="s">
        <v>74</v>
      </c>
      <c r="M726" t="s">
        <v>63</v>
      </c>
      <c r="N726" t="s">
        <v>64</v>
      </c>
      <c r="P726" t="s">
        <v>65</v>
      </c>
      <c r="R726">
        <v>1.1000000000000001</v>
      </c>
      <c r="T726">
        <v>1</v>
      </c>
      <c r="V726">
        <v>1.3</v>
      </c>
      <c r="W726" t="s">
        <v>66</v>
      </c>
      <c r="X726" t="s">
        <v>67</v>
      </c>
      <c r="Y726" t="s">
        <v>67</v>
      </c>
      <c r="Z726" t="s">
        <v>68</v>
      </c>
      <c r="AB726">
        <v>4</v>
      </c>
      <c r="AC726" t="s">
        <v>61</v>
      </c>
      <c r="AJ726" t="s">
        <v>69</v>
      </c>
      <c r="AY726" t="s">
        <v>75</v>
      </c>
      <c r="AZ726">
        <v>3217</v>
      </c>
      <c r="BA726" t="s">
        <v>76</v>
      </c>
      <c r="BB726" t="s">
        <v>77</v>
      </c>
      <c r="BC726">
        <v>1990</v>
      </c>
      <c r="BD726" t="s">
        <v>73</v>
      </c>
    </row>
    <row r="727" spans="1:56" x14ac:dyDescent="0.35">
      <c r="A727">
        <v>94097</v>
      </c>
      <c r="B727" t="s">
        <v>781</v>
      </c>
      <c r="D727" t="s">
        <v>85</v>
      </c>
      <c r="E727">
        <v>98</v>
      </c>
      <c r="F727" t="s">
        <v>58</v>
      </c>
      <c r="G727" t="s">
        <v>59</v>
      </c>
      <c r="H727" t="s">
        <v>60</v>
      </c>
      <c r="J727" t="s">
        <v>86</v>
      </c>
      <c r="L727" t="s">
        <v>62</v>
      </c>
      <c r="M727" t="s">
        <v>63</v>
      </c>
      <c r="N727" t="s">
        <v>64</v>
      </c>
      <c r="P727" t="s">
        <v>65</v>
      </c>
      <c r="R727">
        <v>25.9</v>
      </c>
      <c r="T727">
        <v>24.9</v>
      </c>
      <c r="V727">
        <v>26.9</v>
      </c>
      <c r="W727" t="s">
        <v>66</v>
      </c>
      <c r="X727" t="s">
        <v>67</v>
      </c>
      <c r="Y727" t="s">
        <v>67</v>
      </c>
      <c r="Z727" t="s">
        <v>68</v>
      </c>
      <c r="AB727">
        <v>4</v>
      </c>
      <c r="AC727" t="s">
        <v>61</v>
      </c>
      <c r="AJ727" t="s">
        <v>69</v>
      </c>
      <c r="AY727" t="s">
        <v>782</v>
      </c>
      <c r="AZ727">
        <v>182</v>
      </c>
      <c r="BA727" t="s">
        <v>783</v>
      </c>
      <c r="BB727" t="s">
        <v>784</v>
      </c>
      <c r="BC727">
        <v>1990</v>
      </c>
      <c r="BD727" t="s">
        <v>90</v>
      </c>
    </row>
    <row r="728" spans="1:56" x14ac:dyDescent="0.35">
      <c r="A728">
        <v>94097</v>
      </c>
      <c r="B728" t="s">
        <v>781</v>
      </c>
      <c r="D728" t="s">
        <v>57</v>
      </c>
      <c r="E728" t="s">
        <v>128</v>
      </c>
      <c r="F728" t="s">
        <v>58</v>
      </c>
      <c r="G728" t="s">
        <v>59</v>
      </c>
      <c r="H728" t="s">
        <v>60</v>
      </c>
      <c r="I728" t="s">
        <v>129</v>
      </c>
      <c r="J728" t="s">
        <v>86</v>
      </c>
      <c r="K728" t="s">
        <v>61</v>
      </c>
      <c r="L728" t="s">
        <v>74</v>
      </c>
      <c r="M728" t="s">
        <v>63</v>
      </c>
      <c r="N728" t="s">
        <v>64</v>
      </c>
      <c r="P728" t="s">
        <v>65</v>
      </c>
      <c r="R728">
        <v>39.299999999999997</v>
      </c>
      <c r="W728" t="s">
        <v>66</v>
      </c>
      <c r="X728" t="s">
        <v>67</v>
      </c>
      <c r="Y728" t="s">
        <v>67</v>
      </c>
      <c r="Z728" t="s">
        <v>68</v>
      </c>
      <c r="AB728">
        <v>4</v>
      </c>
      <c r="AC728" t="s">
        <v>61</v>
      </c>
      <c r="AJ728" t="s">
        <v>69</v>
      </c>
      <c r="AY728" t="s">
        <v>134</v>
      </c>
      <c r="AZ728">
        <v>15031</v>
      </c>
      <c r="BA728" t="s">
        <v>135</v>
      </c>
      <c r="BB728" t="s">
        <v>136</v>
      </c>
      <c r="BC728">
        <v>1995</v>
      </c>
      <c r="BD728" t="s">
        <v>133</v>
      </c>
    </row>
    <row r="729" spans="1:56" x14ac:dyDescent="0.35">
      <c r="A729">
        <v>94097</v>
      </c>
      <c r="B729" t="s">
        <v>781</v>
      </c>
      <c r="D729" t="s">
        <v>57</v>
      </c>
      <c r="E729">
        <v>98</v>
      </c>
      <c r="F729" t="s">
        <v>58</v>
      </c>
      <c r="G729" t="s">
        <v>59</v>
      </c>
      <c r="H729" t="s">
        <v>60</v>
      </c>
      <c r="J729">
        <v>33</v>
      </c>
      <c r="K729" t="s">
        <v>61</v>
      </c>
      <c r="L729" t="s">
        <v>74</v>
      </c>
      <c r="M729" t="s">
        <v>63</v>
      </c>
      <c r="N729" t="s">
        <v>64</v>
      </c>
      <c r="O729">
        <v>6</v>
      </c>
      <c r="P729" t="s">
        <v>65</v>
      </c>
      <c r="R729">
        <v>35.4</v>
      </c>
      <c r="T729">
        <v>34.6</v>
      </c>
      <c r="V729">
        <v>36.1</v>
      </c>
      <c r="W729" t="s">
        <v>66</v>
      </c>
      <c r="X729" t="s">
        <v>67</v>
      </c>
      <c r="Y729" t="s">
        <v>67</v>
      </c>
      <c r="Z729" t="s">
        <v>68</v>
      </c>
      <c r="AB729">
        <v>4</v>
      </c>
      <c r="AC729" t="s">
        <v>61</v>
      </c>
      <c r="AJ729" t="s">
        <v>69</v>
      </c>
      <c r="AY729" t="s">
        <v>141</v>
      </c>
      <c r="AZ729">
        <v>12447</v>
      </c>
      <c r="BA729" t="s">
        <v>142</v>
      </c>
      <c r="BB729" t="s">
        <v>143</v>
      </c>
      <c r="BC729">
        <v>1985</v>
      </c>
      <c r="BD729" t="s">
        <v>73</v>
      </c>
    </row>
    <row r="730" spans="1:56" x14ac:dyDescent="0.35">
      <c r="A730">
        <v>94097</v>
      </c>
      <c r="B730" t="s">
        <v>781</v>
      </c>
      <c r="D730" t="s">
        <v>57</v>
      </c>
      <c r="E730">
        <v>98</v>
      </c>
      <c r="F730" t="s">
        <v>58</v>
      </c>
      <c r="G730" t="s">
        <v>59</v>
      </c>
      <c r="H730" t="s">
        <v>60</v>
      </c>
      <c r="J730" t="s">
        <v>86</v>
      </c>
      <c r="K730" t="s">
        <v>61</v>
      </c>
      <c r="L730" t="s">
        <v>74</v>
      </c>
      <c r="M730" t="s">
        <v>63</v>
      </c>
      <c r="N730" t="s">
        <v>64</v>
      </c>
      <c r="P730" t="s">
        <v>65</v>
      </c>
      <c r="R730">
        <v>35.4</v>
      </c>
      <c r="T730">
        <v>34.6</v>
      </c>
      <c r="V730">
        <v>36.1</v>
      </c>
      <c r="W730" t="s">
        <v>66</v>
      </c>
      <c r="X730" t="s">
        <v>67</v>
      </c>
      <c r="Y730" t="s">
        <v>67</v>
      </c>
      <c r="Z730" t="s">
        <v>68</v>
      </c>
      <c r="AB730">
        <v>4</v>
      </c>
      <c r="AC730" t="s">
        <v>61</v>
      </c>
      <c r="AJ730" t="s">
        <v>69</v>
      </c>
      <c r="AY730" t="s">
        <v>258</v>
      </c>
      <c r="AZ730">
        <v>10954</v>
      </c>
      <c r="BA730" t="s">
        <v>259</v>
      </c>
      <c r="BB730" t="s">
        <v>260</v>
      </c>
      <c r="BC730">
        <v>1984</v>
      </c>
      <c r="BD730" t="s">
        <v>261</v>
      </c>
    </row>
    <row r="731" spans="1:56" x14ac:dyDescent="0.35">
      <c r="A731">
        <v>94097</v>
      </c>
      <c r="B731" t="s">
        <v>781</v>
      </c>
      <c r="D731" t="s">
        <v>57</v>
      </c>
      <c r="E731">
        <v>98</v>
      </c>
      <c r="F731" t="s">
        <v>58</v>
      </c>
      <c r="G731" t="s">
        <v>59</v>
      </c>
      <c r="H731" t="s">
        <v>60</v>
      </c>
      <c r="J731">
        <v>28</v>
      </c>
      <c r="K731" t="s">
        <v>61</v>
      </c>
      <c r="L731" t="s">
        <v>74</v>
      </c>
      <c r="M731" t="s">
        <v>63</v>
      </c>
      <c r="N731" t="s">
        <v>64</v>
      </c>
      <c r="O731">
        <v>6</v>
      </c>
      <c r="P731" t="s">
        <v>65</v>
      </c>
      <c r="R731">
        <v>36</v>
      </c>
      <c r="T731">
        <v>33.4</v>
      </c>
      <c r="V731">
        <v>38.799999999999997</v>
      </c>
      <c r="W731" t="s">
        <v>66</v>
      </c>
      <c r="X731" t="s">
        <v>67</v>
      </c>
      <c r="Y731" t="s">
        <v>67</v>
      </c>
      <c r="Z731" t="s">
        <v>68</v>
      </c>
      <c r="AB731">
        <v>4</v>
      </c>
      <c r="AC731" t="s">
        <v>61</v>
      </c>
      <c r="AJ731" t="s">
        <v>69</v>
      </c>
      <c r="AY731" t="s">
        <v>141</v>
      </c>
      <c r="AZ731">
        <v>12447</v>
      </c>
      <c r="BA731" t="s">
        <v>142</v>
      </c>
      <c r="BB731" t="s">
        <v>143</v>
      </c>
      <c r="BC731">
        <v>1985</v>
      </c>
      <c r="BD731" t="s">
        <v>73</v>
      </c>
    </row>
    <row r="732" spans="1:56" x14ac:dyDescent="0.35">
      <c r="A732">
        <v>94622</v>
      </c>
      <c r="B732" t="s">
        <v>785</v>
      </c>
      <c r="D732" t="s">
        <v>57</v>
      </c>
      <c r="E732">
        <v>97</v>
      </c>
      <c r="F732" t="s">
        <v>58</v>
      </c>
      <c r="G732" t="s">
        <v>59</v>
      </c>
      <c r="H732" t="s">
        <v>60</v>
      </c>
      <c r="J732">
        <v>33</v>
      </c>
      <c r="K732" t="s">
        <v>61</v>
      </c>
      <c r="L732" t="s">
        <v>74</v>
      </c>
      <c r="M732" t="s">
        <v>63</v>
      </c>
      <c r="N732" t="s">
        <v>64</v>
      </c>
      <c r="P732" t="s">
        <v>65</v>
      </c>
      <c r="R732">
        <v>7.84</v>
      </c>
      <c r="T732">
        <v>7.04</v>
      </c>
      <c r="V732">
        <v>8.73</v>
      </c>
      <c r="W732" t="s">
        <v>66</v>
      </c>
      <c r="X732" t="s">
        <v>67</v>
      </c>
      <c r="Y732" t="s">
        <v>67</v>
      </c>
      <c r="Z732" t="s">
        <v>68</v>
      </c>
      <c r="AB732">
        <v>4</v>
      </c>
      <c r="AC732" t="s">
        <v>61</v>
      </c>
      <c r="AJ732" t="s">
        <v>69</v>
      </c>
      <c r="AY732" t="s">
        <v>80</v>
      </c>
      <c r="AZ732">
        <v>12859</v>
      </c>
      <c r="BA732" t="s">
        <v>81</v>
      </c>
      <c r="BB732" t="s">
        <v>82</v>
      </c>
      <c r="BC732">
        <v>1988</v>
      </c>
      <c r="BD732" t="s">
        <v>73</v>
      </c>
    </row>
    <row r="733" spans="1:56" x14ac:dyDescent="0.35">
      <c r="A733">
        <v>94677</v>
      </c>
      <c r="B733" t="s">
        <v>786</v>
      </c>
      <c r="D733" t="s">
        <v>57</v>
      </c>
      <c r="E733">
        <v>98</v>
      </c>
      <c r="F733" t="s">
        <v>58</v>
      </c>
      <c r="G733" t="s">
        <v>59</v>
      </c>
      <c r="H733" t="s">
        <v>60</v>
      </c>
      <c r="J733">
        <v>31</v>
      </c>
      <c r="K733" t="s">
        <v>61</v>
      </c>
      <c r="L733" t="s">
        <v>74</v>
      </c>
      <c r="M733" t="s">
        <v>63</v>
      </c>
      <c r="N733" t="s">
        <v>64</v>
      </c>
      <c r="P733" t="s">
        <v>65</v>
      </c>
      <c r="R733">
        <v>3.23</v>
      </c>
      <c r="T733">
        <v>2.73</v>
      </c>
      <c r="V733">
        <v>3.83</v>
      </c>
      <c r="W733" t="s">
        <v>66</v>
      </c>
      <c r="X733" t="s">
        <v>67</v>
      </c>
      <c r="Y733" t="s">
        <v>67</v>
      </c>
      <c r="Z733" t="s">
        <v>68</v>
      </c>
      <c r="AB733">
        <v>4</v>
      </c>
      <c r="AC733" t="s">
        <v>61</v>
      </c>
      <c r="AJ733" t="s">
        <v>69</v>
      </c>
      <c r="AY733" t="s">
        <v>75</v>
      </c>
      <c r="AZ733">
        <v>3217</v>
      </c>
      <c r="BA733" t="s">
        <v>76</v>
      </c>
      <c r="BB733" t="s">
        <v>77</v>
      </c>
      <c r="BC733">
        <v>1990</v>
      </c>
      <c r="BD733" t="s">
        <v>73</v>
      </c>
    </row>
    <row r="734" spans="1:56" x14ac:dyDescent="0.35">
      <c r="A734">
        <v>94757</v>
      </c>
      <c r="B734" t="s">
        <v>787</v>
      </c>
      <c r="D734" t="s">
        <v>57</v>
      </c>
      <c r="E734" t="s">
        <v>86</v>
      </c>
      <c r="F734" t="s">
        <v>58</v>
      </c>
      <c r="G734" t="s">
        <v>59</v>
      </c>
      <c r="H734" t="s">
        <v>60</v>
      </c>
      <c r="I734" t="s">
        <v>188</v>
      </c>
      <c r="J734">
        <v>27</v>
      </c>
      <c r="K734" t="s">
        <v>61</v>
      </c>
      <c r="L734" t="s">
        <v>74</v>
      </c>
      <c r="M734" t="s">
        <v>63</v>
      </c>
      <c r="N734" t="s">
        <v>64</v>
      </c>
      <c r="O734">
        <v>6</v>
      </c>
      <c r="P734" t="s">
        <v>65</v>
      </c>
      <c r="R734">
        <v>1966</v>
      </c>
      <c r="T734">
        <v>1826</v>
      </c>
      <c r="V734">
        <v>2116</v>
      </c>
      <c r="W734" t="s">
        <v>66</v>
      </c>
      <c r="X734" t="s">
        <v>67</v>
      </c>
      <c r="Y734" t="s">
        <v>67</v>
      </c>
      <c r="Z734" t="s">
        <v>68</v>
      </c>
      <c r="AB734">
        <v>4</v>
      </c>
      <c r="AC734" t="s">
        <v>61</v>
      </c>
      <c r="AJ734" t="s">
        <v>69</v>
      </c>
      <c r="AY734" t="s">
        <v>70</v>
      </c>
      <c r="AZ734">
        <v>61180</v>
      </c>
      <c r="BA734" t="s">
        <v>788</v>
      </c>
      <c r="BB734" t="s">
        <v>789</v>
      </c>
      <c r="BC734">
        <v>1989</v>
      </c>
      <c r="BD734" t="s">
        <v>73</v>
      </c>
    </row>
    <row r="735" spans="1:56" x14ac:dyDescent="0.35">
      <c r="A735">
        <v>94757</v>
      </c>
      <c r="B735" t="s">
        <v>787</v>
      </c>
      <c r="C735" t="s">
        <v>91</v>
      </c>
      <c r="D735" t="s">
        <v>85</v>
      </c>
      <c r="E735">
        <v>98.7</v>
      </c>
      <c r="F735" t="s">
        <v>58</v>
      </c>
      <c r="G735" t="s">
        <v>59</v>
      </c>
      <c r="H735" t="s">
        <v>60</v>
      </c>
      <c r="J735" t="s">
        <v>86</v>
      </c>
      <c r="L735" t="s">
        <v>62</v>
      </c>
      <c r="M735" t="s">
        <v>63</v>
      </c>
      <c r="N735" t="s">
        <v>64</v>
      </c>
      <c r="P735" t="s">
        <v>65</v>
      </c>
      <c r="R735">
        <v>263</v>
      </c>
      <c r="T735">
        <v>220</v>
      </c>
      <c r="V735">
        <v>302</v>
      </c>
      <c r="W735" t="s">
        <v>66</v>
      </c>
      <c r="X735" t="s">
        <v>67</v>
      </c>
      <c r="Y735" t="s">
        <v>67</v>
      </c>
      <c r="Z735" t="s">
        <v>68</v>
      </c>
      <c r="AB735">
        <v>4</v>
      </c>
      <c r="AC735" t="s">
        <v>61</v>
      </c>
      <c r="AJ735" t="s">
        <v>69</v>
      </c>
      <c r="AY735" t="s">
        <v>790</v>
      </c>
      <c r="AZ735">
        <v>11504</v>
      </c>
      <c r="BA735" t="s">
        <v>791</v>
      </c>
      <c r="BB735" t="s">
        <v>792</v>
      </c>
      <c r="BC735">
        <v>1985</v>
      </c>
      <c r="BD735" t="s">
        <v>90</v>
      </c>
    </row>
    <row r="736" spans="1:56" x14ac:dyDescent="0.35">
      <c r="A736">
        <v>94757</v>
      </c>
      <c r="B736" t="s">
        <v>787</v>
      </c>
      <c r="E736">
        <v>98.7</v>
      </c>
      <c r="F736" t="s">
        <v>58</v>
      </c>
      <c r="G736" t="s">
        <v>59</v>
      </c>
      <c r="H736" t="s">
        <v>60</v>
      </c>
      <c r="J736" t="s">
        <v>86</v>
      </c>
      <c r="L736" t="s">
        <v>62</v>
      </c>
      <c r="M736" t="s">
        <v>63</v>
      </c>
      <c r="N736" t="s">
        <v>64</v>
      </c>
      <c r="P736" t="s">
        <v>65</v>
      </c>
      <c r="R736">
        <v>133</v>
      </c>
      <c r="T736">
        <v>103</v>
      </c>
      <c r="V736">
        <v>171</v>
      </c>
      <c r="W736" t="s">
        <v>66</v>
      </c>
      <c r="X736" t="s">
        <v>67</v>
      </c>
      <c r="Y736" t="s">
        <v>67</v>
      </c>
      <c r="Z736" t="s">
        <v>68</v>
      </c>
      <c r="AB736">
        <v>4</v>
      </c>
      <c r="AC736" t="s">
        <v>61</v>
      </c>
      <c r="AJ736" t="s">
        <v>69</v>
      </c>
      <c r="AY736" t="s">
        <v>96</v>
      </c>
      <c r="AZ736">
        <v>6797</v>
      </c>
      <c r="BA736" t="s">
        <v>97</v>
      </c>
      <c r="BB736" t="s">
        <v>98</v>
      </c>
      <c r="BC736">
        <v>1986</v>
      </c>
      <c r="BD736" t="s">
        <v>90</v>
      </c>
    </row>
    <row r="737" spans="1:56" x14ac:dyDescent="0.35">
      <c r="A737">
        <v>94757</v>
      </c>
      <c r="B737" t="s">
        <v>787</v>
      </c>
      <c r="E737">
        <v>98.7</v>
      </c>
      <c r="F737" t="s">
        <v>58</v>
      </c>
      <c r="G737" t="s">
        <v>59</v>
      </c>
      <c r="H737" t="s">
        <v>60</v>
      </c>
      <c r="J737" t="s">
        <v>86</v>
      </c>
      <c r="L737" t="s">
        <v>62</v>
      </c>
      <c r="M737" t="s">
        <v>63</v>
      </c>
      <c r="N737" t="s">
        <v>64</v>
      </c>
      <c r="P737" t="s">
        <v>65</v>
      </c>
      <c r="R737">
        <v>320</v>
      </c>
      <c r="T737">
        <v>299</v>
      </c>
      <c r="V737">
        <v>343</v>
      </c>
      <c r="W737" t="s">
        <v>66</v>
      </c>
      <c r="X737" t="s">
        <v>67</v>
      </c>
      <c r="Y737" t="s">
        <v>67</v>
      </c>
      <c r="Z737" t="s">
        <v>68</v>
      </c>
      <c r="AB737">
        <v>4</v>
      </c>
      <c r="AC737" t="s">
        <v>61</v>
      </c>
      <c r="AJ737" t="s">
        <v>69</v>
      </c>
      <c r="AY737" t="s">
        <v>116</v>
      </c>
      <c r="AZ737">
        <v>344</v>
      </c>
      <c r="BA737" t="s">
        <v>117</v>
      </c>
      <c r="BB737" t="s">
        <v>118</v>
      </c>
      <c r="BC737">
        <v>1992</v>
      </c>
      <c r="BD737" t="s">
        <v>90</v>
      </c>
    </row>
    <row r="738" spans="1:56" x14ac:dyDescent="0.35">
      <c r="A738">
        <v>94757</v>
      </c>
      <c r="B738" t="s">
        <v>787</v>
      </c>
      <c r="D738" t="s">
        <v>57</v>
      </c>
      <c r="E738" t="s">
        <v>86</v>
      </c>
      <c r="F738" t="s">
        <v>58</v>
      </c>
      <c r="G738" t="s">
        <v>59</v>
      </c>
      <c r="H738" t="s">
        <v>60</v>
      </c>
      <c r="J738">
        <v>28</v>
      </c>
      <c r="K738" t="s">
        <v>61</v>
      </c>
      <c r="L738" t="s">
        <v>74</v>
      </c>
      <c r="M738" t="s">
        <v>63</v>
      </c>
      <c r="N738" t="s">
        <v>64</v>
      </c>
      <c r="O738">
        <v>6</v>
      </c>
      <c r="P738" t="s">
        <v>65</v>
      </c>
      <c r="R738">
        <v>165</v>
      </c>
      <c r="W738" t="s">
        <v>66</v>
      </c>
      <c r="X738" t="s">
        <v>67</v>
      </c>
      <c r="Y738" t="s">
        <v>67</v>
      </c>
      <c r="Z738" t="s">
        <v>68</v>
      </c>
      <c r="AB738">
        <v>4</v>
      </c>
      <c r="AC738" t="s">
        <v>61</v>
      </c>
      <c r="AJ738" t="s">
        <v>69</v>
      </c>
      <c r="AY738" t="s">
        <v>70</v>
      </c>
      <c r="AZ738">
        <v>61180</v>
      </c>
      <c r="BA738" t="s">
        <v>788</v>
      </c>
      <c r="BB738" t="s">
        <v>789</v>
      </c>
      <c r="BC738">
        <v>1989</v>
      </c>
      <c r="BD738" t="s">
        <v>73</v>
      </c>
    </row>
    <row r="739" spans="1:56" x14ac:dyDescent="0.35">
      <c r="A739">
        <v>94815</v>
      </c>
      <c r="B739" t="s">
        <v>793</v>
      </c>
      <c r="E739">
        <v>90.55</v>
      </c>
      <c r="F739" t="s">
        <v>58</v>
      </c>
      <c r="G739" t="s">
        <v>59</v>
      </c>
      <c r="H739" t="s">
        <v>60</v>
      </c>
      <c r="J739" t="s">
        <v>86</v>
      </c>
      <c r="L739" t="s">
        <v>62</v>
      </c>
      <c r="M739" t="s">
        <v>63</v>
      </c>
      <c r="N739" t="s">
        <v>64</v>
      </c>
      <c r="P739" t="s">
        <v>65</v>
      </c>
      <c r="R739">
        <v>12.5</v>
      </c>
      <c r="T739">
        <v>8.84</v>
      </c>
      <c r="V739">
        <v>17.5</v>
      </c>
      <c r="W739" t="s">
        <v>66</v>
      </c>
      <c r="X739" t="s">
        <v>67</v>
      </c>
      <c r="Y739" t="s">
        <v>67</v>
      </c>
      <c r="Z739" t="s">
        <v>68</v>
      </c>
      <c r="AB739">
        <v>4</v>
      </c>
      <c r="AC739" t="s">
        <v>61</v>
      </c>
      <c r="AJ739" t="s">
        <v>69</v>
      </c>
      <c r="AY739" t="s">
        <v>96</v>
      </c>
      <c r="AZ739">
        <v>6797</v>
      </c>
      <c r="BA739" t="s">
        <v>97</v>
      </c>
      <c r="BB739" t="s">
        <v>98</v>
      </c>
      <c r="BC739">
        <v>1986</v>
      </c>
      <c r="BD739" t="s">
        <v>90</v>
      </c>
    </row>
    <row r="740" spans="1:56" x14ac:dyDescent="0.35">
      <c r="A740">
        <v>94826</v>
      </c>
      <c r="B740" t="s">
        <v>794</v>
      </c>
      <c r="E740">
        <v>100</v>
      </c>
      <c r="F740" t="s">
        <v>58</v>
      </c>
      <c r="G740" t="s">
        <v>59</v>
      </c>
      <c r="H740" t="s">
        <v>60</v>
      </c>
      <c r="J740" t="s">
        <v>86</v>
      </c>
      <c r="L740" t="s">
        <v>62</v>
      </c>
      <c r="M740" t="s">
        <v>63</v>
      </c>
      <c r="N740" t="s">
        <v>64</v>
      </c>
      <c r="P740" t="s">
        <v>65</v>
      </c>
      <c r="R740">
        <v>18</v>
      </c>
      <c r="T740">
        <v>13</v>
      </c>
      <c r="V740">
        <v>25</v>
      </c>
      <c r="W740" t="s">
        <v>66</v>
      </c>
      <c r="X740" t="s">
        <v>67</v>
      </c>
      <c r="Y740" t="s">
        <v>67</v>
      </c>
      <c r="Z740" t="s">
        <v>68</v>
      </c>
      <c r="AB740">
        <v>4</v>
      </c>
      <c r="AC740" t="s">
        <v>61</v>
      </c>
      <c r="AJ740" t="s">
        <v>69</v>
      </c>
      <c r="AY740" t="s">
        <v>96</v>
      </c>
      <c r="AZ740">
        <v>6797</v>
      </c>
      <c r="BA740" t="s">
        <v>97</v>
      </c>
      <c r="BB740" t="s">
        <v>98</v>
      </c>
      <c r="BC740">
        <v>1986</v>
      </c>
      <c r="BD740" t="s">
        <v>90</v>
      </c>
    </row>
    <row r="741" spans="1:56" x14ac:dyDescent="0.35">
      <c r="A741">
        <v>94826</v>
      </c>
      <c r="B741" t="s">
        <v>794</v>
      </c>
      <c r="D741" t="s">
        <v>85</v>
      </c>
      <c r="E741">
        <v>100</v>
      </c>
      <c r="F741" t="s">
        <v>58</v>
      </c>
      <c r="G741" t="s">
        <v>59</v>
      </c>
      <c r="H741" t="s">
        <v>60</v>
      </c>
      <c r="J741" t="s">
        <v>86</v>
      </c>
      <c r="L741" t="s">
        <v>62</v>
      </c>
      <c r="M741" t="s">
        <v>63</v>
      </c>
      <c r="N741" t="s">
        <v>64</v>
      </c>
      <c r="P741" t="s">
        <v>65</v>
      </c>
      <c r="R741">
        <v>18</v>
      </c>
      <c r="T741">
        <v>13</v>
      </c>
      <c r="V741">
        <v>25</v>
      </c>
      <c r="W741" t="s">
        <v>66</v>
      </c>
      <c r="X741" t="s">
        <v>67</v>
      </c>
      <c r="Y741" t="s">
        <v>67</v>
      </c>
      <c r="Z741" t="s">
        <v>68</v>
      </c>
      <c r="AB741">
        <v>4</v>
      </c>
      <c r="AC741" t="s">
        <v>61</v>
      </c>
      <c r="AJ741" t="s">
        <v>69</v>
      </c>
      <c r="AY741" t="s">
        <v>795</v>
      </c>
      <c r="AZ741">
        <v>6615</v>
      </c>
      <c r="BA741" t="s">
        <v>796</v>
      </c>
      <c r="BB741" t="s">
        <v>797</v>
      </c>
      <c r="BC741">
        <v>1970</v>
      </c>
      <c r="BD741" t="s">
        <v>90</v>
      </c>
    </row>
    <row r="742" spans="1:56" x14ac:dyDescent="0.35">
      <c r="A742">
        <v>95012</v>
      </c>
      <c r="B742" t="s">
        <v>798</v>
      </c>
      <c r="D742" t="s">
        <v>57</v>
      </c>
      <c r="E742">
        <v>98</v>
      </c>
      <c r="F742" t="s">
        <v>58</v>
      </c>
      <c r="G742" t="s">
        <v>59</v>
      </c>
      <c r="H742" t="s">
        <v>60</v>
      </c>
      <c r="J742">
        <v>31</v>
      </c>
      <c r="K742" t="s">
        <v>61</v>
      </c>
      <c r="L742" t="s">
        <v>74</v>
      </c>
      <c r="M742" t="s">
        <v>63</v>
      </c>
      <c r="N742" t="s">
        <v>64</v>
      </c>
      <c r="P742" t="s">
        <v>65</v>
      </c>
      <c r="R742">
        <v>13.1</v>
      </c>
      <c r="T742">
        <v>12.3</v>
      </c>
      <c r="V742">
        <v>13.8</v>
      </c>
      <c r="W742" t="s">
        <v>66</v>
      </c>
      <c r="X742" t="s">
        <v>67</v>
      </c>
      <c r="Y742" t="s">
        <v>67</v>
      </c>
      <c r="Z742" t="s">
        <v>68</v>
      </c>
      <c r="AB742">
        <v>4</v>
      </c>
      <c r="AC742" t="s">
        <v>61</v>
      </c>
      <c r="AJ742" t="s">
        <v>69</v>
      </c>
      <c r="AY742" t="s">
        <v>286</v>
      </c>
      <c r="AZ742">
        <v>12448</v>
      </c>
      <c r="BA742" t="s">
        <v>287</v>
      </c>
      <c r="BB742" t="s">
        <v>288</v>
      </c>
      <c r="BC742">
        <v>1984</v>
      </c>
      <c r="BD742" t="s">
        <v>73</v>
      </c>
    </row>
    <row r="743" spans="1:56" x14ac:dyDescent="0.35">
      <c r="A743">
        <v>95136</v>
      </c>
      <c r="B743" t="s">
        <v>799</v>
      </c>
      <c r="D743" t="s">
        <v>85</v>
      </c>
      <c r="E743" t="s">
        <v>86</v>
      </c>
      <c r="F743" t="s">
        <v>58</v>
      </c>
      <c r="G743" t="s">
        <v>59</v>
      </c>
      <c r="H743" t="s">
        <v>60</v>
      </c>
      <c r="I743" t="s">
        <v>188</v>
      </c>
      <c r="J743" t="s">
        <v>289</v>
      </c>
      <c r="K743" t="s">
        <v>495</v>
      </c>
      <c r="M743" t="s">
        <v>63</v>
      </c>
      <c r="N743" t="s">
        <v>64</v>
      </c>
      <c r="P743" t="s">
        <v>100</v>
      </c>
      <c r="R743">
        <v>50.9</v>
      </c>
      <c r="W743" t="s">
        <v>66</v>
      </c>
      <c r="X743" t="s">
        <v>67</v>
      </c>
      <c r="Y743" t="s">
        <v>67</v>
      </c>
      <c r="Z743" t="s">
        <v>68</v>
      </c>
      <c r="AB743">
        <v>4</v>
      </c>
      <c r="AC743" t="s">
        <v>61</v>
      </c>
      <c r="AJ743" t="s">
        <v>69</v>
      </c>
      <c r="AY743" t="s">
        <v>496</v>
      </c>
      <c r="AZ743">
        <v>177136</v>
      </c>
      <c r="BA743" t="s">
        <v>497</v>
      </c>
      <c r="BB743" t="s">
        <v>498</v>
      </c>
      <c r="BC743">
        <v>2017</v>
      </c>
      <c r="BD743" t="s">
        <v>499</v>
      </c>
    </row>
    <row r="744" spans="1:56" x14ac:dyDescent="0.35">
      <c r="A744">
        <v>95147</v>
      </c>
      <c r="B744" t="s">
        <v>800</v>
      </c>
      <c r="D744" t="s">
        <v>57</v>
      </c>
      <c r="E744" t="s">
        <v>86</v>
      </c>
      <c r="F744" t="s">
        <v>58</v>
      </c>
      <c r="G744" t="s">
        <v>59</v>
      </c>
      <c r="H744" t="s">
        <v>60</v>
      </c>
      <c r="J744" t="s">
        <v>86</v>
      </c>
      <c r="K744" t="s">
        <v>61</v>
      </c>
      <c r="L744" t="s">
        <v>190</v>
      </c>
      <c r="M744" t="s">
        <v>63</v>
      </c>
      <c r="N744" t="s">
        <v>64</v>
      </c>
      <c r="P744" t="s">
        <v>65</v>
      </c>
      <c r="R744">
        <v>65</v>
      </c>
      <c r="T744">
        <v>38</v>
      </c>
      <c r="V744">
        <v>75</v>
      </c>
      <c r="W744" t="s">
        <v>66</v>
      </c>
      <c r="X744" t="s">
        <v>67</v>
      </c>
      <c r="Y744" t="s">
        <v>67</v>
      </c>
      <c r="Z744" t="s">
        <v>68</v>
      </c>
      <c r="AB744">
        <v>4</v>
      </c>
      <c r="AC744" t="s">
        <v>61</v>
      </c>
      <c r="AJ744" t="s">
        <v>69</v>
      </c>
      <c r="AY744" t="s">
        <v>801</v>
      </c>
      <c r="AZ744">
        <v>60072</v>
      </c>
      <c r="BA744" t="s">
        <v>802</v>
      </c>
      <c r="BB744" t="s">
        <v>803</v>
      </c>
      <c r="BC744">
        <v>2001</v>
      </c>
      <c r="BD744" t="s">
        <v>804</v>
      </c>
    </row>
    <row r="745" spans="1:56" x14ac:dyDescent="0.35">
      <c r="A745">
        <v>95169</v>
      </c>
      <c r="B745" t="s">
        <v>805</v>
      </c>
      <c r="D745" t="s">
        <v>57</v>
      </c>
      <c r="E745" t="s">
        <v>806</v>
      </c>
      <c r="F745" t="s">
        <v>58</v>
      </c>
      <c r="G745" t="s">
        <v>59</v>
      </c>
      <c r="H745" t="s">
        <v>60</v>
      </c>
      <c r="J745">
        <v>29</v>
      </c>
      <c r="K745" t="s">
        <v>61</v>
      </c>
      <c r="L745" t="s">
        <v>74</v>
      </c>
      <c r="M745" t="s">
        <v>63</v>
      </c>
      <c r="N745" t="s">
        <v>64</v>
      </c>
      <c r="P745" t="s">
        <v>65</v>
      </c>
      <c r="R745">
        <v>64</v>
      </c>
      <c r="T745">
        <v>58.8</v>
      </c>
      <c r="V745">
        <v>69.7</v>
      </c>
      <c r="W745" t="s">
        <v>66</v>
      </c>
      <c r="X745" t="s">
        <v>67</v>
      </c>
      <c r="Y745" t="s">
        <v>67</v>
      </c>
      <c r="Z745" t="s">
        <v>68</v>
      </c>
      <c r="AB745">
        <v>4</v>
      </c>
      <c r="AC745" t="s">
        <v>61</v>
      </c>
      <c r="AJ745" t="s">
        <v>69</v>
      </c>
      <c r="AY745" t="s">
        <v>75</v>
      </c>
      <c r="AZ745">
        <v>3217</v>
      </c>
      <c r="BA745" t="s">
        <v>76</v>
      </c>
      <c r="BB745" t="s">
        <v>77</v>
      </c>
      <c r="BC745">
        <v>1990</v>
      </c>
      <c r="BD745" t="s">
        <v>73</v>
      </c>
    </row>
    <row r="746" spans="1:56" x14ac:dyDescent="0.35">
      <c r="A746">
        <v>95476</v>
      </c>
      <c r="B746" t="s">
        <v>807</v>
      </c>
      <c r="D746" t="s">
        <v>57</v>
      </c>
      <c r="E746" t="s">
        <v>79</v>
      </c>
      <c r="F746" t="s">
        <v>58</v>
      </c>
      <c r="G746" t="s">
        <v>59</v>
      </c>
      <c r="H746" t="s">
        <v>60</v>
      </c>
      <c r="J746">
        <v>32</v>
      </c>
      <c r="K746" t="s">
        <v>61</v>
      </c>
      <c r="L746" t="s">
        <v>74</v>
      </c>
      <c r="M746" t="s">
        <v>63</v>
      </c>
      <c r="N746" t="s">
        <v>64</v>
      </c>
      <c r="P746" t="s">
        <v>65</v>
      </c>
      <c r="R746">
        <v>16.399999999999999</v>
      </c>
      <c r="W746" t="s">
        <v>66</v>
      </c>
      <c r="X746" t="s">
        <v>67</v>
      </c>
      <c r="Y746" t="s">
        <v>67</v>
      </c>
      <c r="Z746" t="s">
        <v>68</v>
      </c>
      <c r="AB746">
        <v>4</v>
      </c>
      <c r="AC746" t="s">
        <v>61</v>
      </c>
      <c r="AJ746" t="s">
        <v>69</v>
      </c>
      <c r="AY746" t="s">
        <v>75</v>
      </c>
      <c r="AZ746">
        <v>3217</v>
      </c>
      <c r="BA746" t="s">
        <v>76</v>
      </c>
      <c r="BB746" t="s">
        <v>77</v>
      </c>
      <c r="BC746">
        <v>1990</v>
      </c>
      <c r="BD746" t="s">
        <v>73</v>
      </c>
    </row>
    <row r="747" spans="1:56" x14ac:dyDescent="0.35">
      <c r="A747">
        <v>95476</v>
      </c>
      <c r="B747" t="s">
        <v>807</v>
      </c>
      <c r="D747" t="s">
        <v>57</v>
      </c>
      <c r="E747">
        <v>97</v>
      </c>
      <c r="F747" t="s">
        <v>58</v>
      </c>
      <c r="G747" t="s">
        <v>59</v>
      </c>
      <c r="H747" t="s">
        <v>60</v>
      </c>
      <c r="J747" t="s">
        <v>86</v>
      </c>
      <c r="K747" t="s">
        <v>61</v>
      </c>
      <c r="L747" t="s">
        <v>74</v>
      </c>
      <c r="M747" t="s">
        <v>63</v>
      </c>
      <c r="N747" t="s">
        <v>64</v>
      </c>
      <c r="P747" t="s">
        <v>65</v>
      </c>
      <c r="R747">
        <v>16.399999999999999</v>
      </c>
      <c r="W747" t="s">
        <v>66</v>
      </c>
      <c r="X747" t="s">
        <v>67</v>
      </c>
      <c r="Y747" t="s">
        <v>67</v>
      </c>
      <c r="Z747" t="s">
        <v>68</v>
      </c>
      <c r="AB747">
        <v>4</v>
      </c>
      <c r="AC747" t="s">
        <v>61</v>
      </c>
      <c r="AJ747" t="s">
        <v>69</v>
      </c>
      <c r="AY747" t="s">
        <v>75</v>
      </c>
      <c r="AZ747">
        <v>3217</v>
      </c>
      <c r="BA747" t="s">
        <v>76</v>
      </c>
      <c r="BB747" t="s">
        <v>77</v>
      </c>
      <c r="BC747">
        <v>1990</v>
      </c>
      <c r="BD747" t="s">
        <v>808</v>
      </c>
    </row>
    <row r="748" spans="1:56" x14ac:dyDescent="0.35">
      <c r="A748">
        <v>95476</v>
      </c>
      <c r="B748" t="s">
        <v>807</v>
      </c>
      <c r="D748" t="s">
        <v>57</v>
      </c>
      <c r="E748" t="s">
        <v>86</v>
      </c>
      <c r="F748" t="s">
        <v>58</v>
      </c>
      <c r="G748" t="s">
        <v>59</v>
      </c>
      <c r="H748" t="s">
        <v>60</v>
      </c>
      <c r="J748" t="s">
        <v>86</v>
      </c>
      <c r="L748" t="s">
        <v>74</v>
      </c>
      <c r="M748" t="s">
        <v>63</v>
      </c>
      <c r="N748" t="s">
        <v>64</v>
      </c>
      <c r="P748" t="s">
        <v>65</v>
      </c>
      <c r="R748">
        <v>16.100000000000001</v>
      </c>
      <c r="T748">
        <v>11.6</v>
      </c>
      <c r="V748">
        <v>22.4</v>
      </c>
      <c r="W748" t="s">
        <v>66</v>
      </c>
      <c r="X748" t="s">
        <v>67</v>
      </c>
      <c r="Y748" t="s">
        <v>67</v>
      </c>
      <c r="Z748" t="s">
        <v>68</v>
      </c>
      <c r="AB748">
        <v>4</v>
      </c>
      <c r="AC748" t="s">
        <v>61</v>
      </c>
      <c r="AJ748" t="s">
        <v>69</v>
      </c>
      <c r="AY748" t="s">
        <v>144</v>
      </c>
      <c r="AZ748">
        <v>12665</v>
      </c>
      <c r="BA748" t="s">
        <v>145</v>
      </c>
      <c r="BB748" t="s">
        <v>146</v>
      </c>
      <c r="BC748">
        <v>1987</v>
      </c>
      <c r="BD748" t="s">
        <v>90</v>
      </c>
    </row>
    <row r="749" spans="1:56" x14ac:dyDescent="0.35">
      <c r="A749">
        <v>95487</v>
      </c>
      <c r="B749" t="s">
        <v>809</v>
      </c>
      <c r="D749" t="s">
        <v>57</v>
      </c>
      <c r="E749" t="s">
        <v>810</v>
      </c>
      <c r="F749" t="s">
        <v>58</v>
      </c>
      <c r="G749" t="s">
        <v>59</v>
      </c>
      <c r="H749" t="s">
        <v>60</v>
      </c>
      <c r="J749">
        <v>29</v>
      </c>
      <c r="K749" t="s">
        <v>61</v>
      </c>
      <c r="L749" t="s">
        <v>74</v>
      </c>
      <c r="M749" t="s">
        <v>63</v>
      </c>
      <c r="N749" t="s">
        <v>64</v>
      </c>
      <c r="P749" t="s">
        <v>65</v>
      </c>
      <c r="R749">
        <v>14</v>
      </c>
      <c r="T749">
        <v>13.2</v>
      </c>
      <c r="V749">
        <v>14.8</v>
      </c>
      <c r="W749" t="s">
        <v>66</v>
      </c>
      <c r="X749" t="s">
        <v>67</v>
      </c>
      <c r="Y749" t="s">
        <v>67</v>
      </c>
      <c r="Z749" t="s">
        <v>68</v>
      </c>
      <c r="AB749">
        <v>4</v>
      </c>
      <c r="AC749" t="s">
        <v>61</v>
      </c>
      <c r="AJ749" t="s">
        <v>69</v>
      </c>
      <c r="AY749" t="s">
        <v>75</v>
      </c>
      <c r="AZ749">
        <v>3217</v>
      </c>
      <c r="BA749" t="s">
        <v>76</v>
      </c>
      <c r="BB749" t="s">
        <v>77</v>
      </c>
      <c r="BC749">
        <v>1990</v>
      </c>
      <c r="BD749" t="s">
        <v>73</v>
      </c>
    </row>
    <row r="750" spans="1:56" x14ac:dyDescent="0.35">
      <c r="A750">
        <v>95487</v>
      </c>
      <c r="B750" t="s">
        <v>809</v>
      </c>
      <c r="D750" t="s">
        <v>85</v>
      </c>
      <c r="E750">
        <v>95</v>
      </c>
      <c r="F750" t="s">
        <v>58</v>
      </c>
      <c r="G750" t="s">
        <v>59</v>
      </c>
      <c r="H750" t="s">
        <v>60</v>
      </c>
      <c r="J750" t="s">
        <v>86</v>
      </c>
      <c r="L750" t="s">
        <v>62</v>
      </c>
      <c r="M750" t="s">
        <v>63</v>
      </c>
      <c r="N750" t="s">
        <v>64</v>
      </c>
      <c r="P750" t="s">
        <v>65</v>
      </c>
      <c r="R750">
        <v>13.42</v>
      </c>
      <c r="T750">
        <v>10.5</v>
      </c>
      <c r="V750">
        <v>17.149999999999999</v>
      </c>
      <c r="W750" t="s">
        <v>66</v>
      </c>
      <c r="X750" t="s">
        <v>67</v>
      </c>
      <c r="Y750" t="s">
        <v>67</v>
      </c>
      <c r="Z750" t="s">
        <v>68</v>
      </c>
      <c r="AB750">
        <v>4</v>
      </c>
      <c r="AC750" t="s">
        <v>61</v>
      </c>
      <c r="AJ750" t="s">
        <v>69</v>
      </c>
      <c r="AY750" t="s">
        <v>168</v>
      </c>
      <c r="AZ750">
        <v>728</v>
      </c>
      <c r="BA750" t="s">
        <v>426</v>
      </c>
      <c r="BB750" t="s">
        <v>427</v>
      </c>
      <c r="BC750">
        <v>1966</v>
      </c>
      <c r="BD750" t="s">
        <v>90</v>
      </c>
    </row>
    <row r="751" spans="1:56" x14ac:dyDescent="0.35">
      <c r="A751">
        <v>95487</v>
      </c>
      <c r="B751" t="s">
        <v>809</v>
      </c>
      <c r="D751" t="s">
        <v>57</v>
      </c>
      <c r="E751" t="s">
        <v>86</v>
      </c>
      <c r="F751" t="s">
        <v>58</v>
      </c>
      <c r="G751" t="s">
        <v>59</v>
      </c>
      <c r="H751" t="s">
        <v>60</v>
      </c>
      <c r="J751" t="s">
        <v>86</v>
      </c>
      <c r="L751" t="s">
        <v>74</v>
      </c>
      <c r="M751" t="s">
        <v>63</v>
      </c>
      <c r="N751" t="s">
        <v>64</v>
      </c>
      <c r="P751" t="s">
        <v>65</v>
      </c>
      <c r="R751">
        <v>18.2</v>
      </c>
      <c r="W751" t="s">
        <v>66</v>
      </c>
      <c r="X751" t="s">
        <v>67</v>
      </c>
      <c r="Y751" t="s">
        <v>67</v>
      </c>
      <c r="Z751" t="s">
        <v>68</v>
      </c>
      <c r="AB751">
        <v>4</v>
      </c>
      <c r="AC751" t="s">
        <v>61</v>
      </c>
      <c r="AJ751" t="s">
        <v>69</v>
      </c>
      <c r="AY751" t="s">
        <v>811</v>
      </c>
      <c r="AZ751">
        <v>569</v>
      </c>
      <c r="BA751" t="s">
        <v>812</v>
      </c>
      <c r="BB751" t="s">
        <v>813</v>
      </c>
      <c r="BC751">
        <v>1980</v>
      </c>
      <c r="BD751" t="s">
        <v>90</v>
      </c>
    </row>
    <row r="752" spans="1:56" x14ac:dyDescent="0.35">
      <c r="A752">
        <v>95487</v>
      </c>
      <c r="B752" t="s">
        <v>809</v>
      </c>
      <c r="D752" t="s">
        <v>85</v>
      </c>
      <c r="E752" t="s">
        <v>86</v>
      </c>
      <c r="F752" t="s">
        <v>58</v>
      </c>
      <c r="G752" t="s">
        <v>59</v>
      </c>
      <c r="H752" t="s">
        <v>60</v>
      </c>
      <c r="J752" t="s">
        <v>86</v>
      </c>
      <c r="L752" t="s">
        <v>74</v>
      </c>
      <c r="M752" t="s">
        <v>63</v>
      </c>
      <c r="N752" t="s">
        <v>64</v>
      </c>
      <c r="P752" t="s">
        <v>100</v>
      </c>
      <c r="R752">
        <v>18.2</v>
      </c>
      <c r="W752" t="s">
        <v>66</v>
      </c>
      <c r="X752" t="s">
        <v>67</v>
      </c>
      <c r="Y752" t="s">
        <v>67</v>
      </c>
      <c r="Z752" t="s">
        <v>68</v>
      </c>
      <c r="AB752">
        <v>4</v>
      </c>
      <c r="AC752" t="s">
        <v>61</v>
      </c>
      <c r="AJ752" t="s">
        <v>69</v>
      </c>
      <c r="AY752" t="s">
        <v>745</v>
      </c>
      <c r="AZ752">
        <v>59196</v>
      </c>
      <c r="BA752" t="s">
        <v>746</v>
      </c>
      <c r="BB752" t="s">
        <v>747</v>
      </c>
      <c r="BC752">
        <v>1977</v>
      </c>
      <c r="BD752" t="s">
        <v>90</v>
      </c>
    </row>
    <row r="753" spans="1:56" x14ac:dyDescent="0.35">
      <c r="A753">
        <v>95487</v>
      </c>
      <c r="B753" t="s">
        <v>809</v>
      </c>
      <c r="D753" t="s">
        <v>85</v>
      </c>
      <c r="E753">
        <v>95</v>
      </c>
      <c r="F753" t="s">
        <v>58</v>
      </c>
      <c r="G753" t="s">
        <v>59</v>
      </c>
      <c r="H753" t="s">
        <v>60</v>
      </c>
      <c r="J753" t="s">
        <v>86</v>
      </c>
      <c r="L753" t="s">
        <v>62</v>
      </c>
      <c r="M753" t="s">
        <v>63</v>
      </c>
      <c r="N753" t="s">
        <v>64</v>
      </c>
      <c r="P753" t="s">
        <v>65</v>
      </c>
      <c r="R753">
        <v>12.55</v>
      </c>
      <c r="T753">
        <v>9.7200000000000006</v>
      </c>
      <c r="V753">
        <v>15.92</v>
      </c>
      <c r="W753" t="s">
        <v>66</v>
      </c>
      <c r="X753" t="s">
        <v>67</v>
      </c>
      <c r="Y753" t="s">
        <v>67</v>
      </c>
      <c r="Z753" t="s">
        <v>68</v>
      </c>
      <c r="AB753">
        <v>4</v>
      </c>
      <c r="AC753" t="s">
        <v>61</v>
      </c>
      <c r="AJ753" t="s">
        <v>69</v>
      </c>
      <c r="AY753" t="s">
        <v>168</v>
      </c>
      <c r="AZ753">
        <v>728</v>
      </c>
      <c r="BA753" t="s">
        <v>426</v>
      </c>
      <c r="BB753" t="s">
        <v>427</v>
      </c>
      <c r="BC753">
        <v>1966</v>
      </c>
      <c r="BD753" t="s">
        <v>90</v>
      </c>
    </row>
    <row r="754" spans="1:56" x14ac:dyDescent="0.35">
      <c r="A754">
        <v>95501</v>
      </c>
      <c r="B754" t="s">
        <v>814</v>
      </c>
      <c r="D754" t="s">
        <v>57</v>
      </c>
      <c r="E754">
        <v>95</v>
      </c>
      <c r="F754" t="s">
        <v>58</v>
      </c>
      <c r="G754" t="s">
        <v>59</v>
      </c>
      <c r="H754" t="s">
        <v>60</v>
      </c>
      <c r="J754">
        <v>3</v>
      </c>
      <c r="K754" t="s">
        <v>320</v>
      </c>
      <c r="L754" t="s">
        <v>190</v>
      </c>
      <c r="M754" t="s">
        <v>63</v>
      </c>
      <c r="N754" t="s">
        <v>64</v>
      </c>
      <c r="P754" t="s">
        <v>65</v>
      </c>
      <c r="R754">
        <v>6.0271558000000001</v>
      </c>
      <c r="T754">
        <v>5.3215375600000003</v>
      </c>
      <c r="V754">
        <v>6.8209763199999998</v>
      </c>
      <c r="W754" t="s">
        <v>66</v>
      </c>
      <c r="X754" t="s">
        <v>67</v>
      </c>
      <c r="Y754" t="s">
        <v>67</v>
      </c>
      <c r="Z754" t="s">
        <v>68</v>
      </c>
      <c r="AB754">
        <v>4</v>
      </c>
      <c r="AC754" t="s">
        <v>61</v>
      </c>
      <c r="AJ754" t="s">
        <v>69</v>
      </c>
      <c r="AY754" t="s">
        <v>815</v>
      </c>
      <c r="AZ754">
        <v>7257</v>
      </c>
      <c r="BA754" t="s">
        <v>816</v>
      </c>
      <c r="BB754" t="s">
        <v>817</v>
      </c>
      <c r="BC754">
        <v>1993</v>
      </c>
      <c r="BD754" t="s">
        <v>324</v>
      </c>
    </row>
    <row r="755" spans="1:56" x14ac:dyDescent="0.35">
      <c r="A755">
        <v>95501</v>
      </c>
      <c r="B755" t="s">
        <v>814</v>
      </c>
      <c r="D755" t="s">
        <v>57</v>
      </c>
      <c r="E755" t="s">
        <v>86</v>
      </c>
      <c r="F755" t="s">
        <v>58</v>
      </c>
      <c r="G755" t="s">
        <v>59</v>
      </c>
      <c r="H755" t="s">
        <v>60</v>
      </c>
      <c r="J755" t="s">
        <v>86</v>
      </c>
      <c r="L755" t="s">
        <v>62</v>
      </c>
      <c r="M755" t="s">
        <v>63</v>
      </c>
      <c r="N755" t="s">
        <v>64</v>
      </c>
      <c r="O755" t="s">
        <v>267</v>
      </c>
      <c r="P755" t="s">
        <v>65</v>
      </c>
      <c r="R755">
        <v>57</v>
      </c>
      <c r="T755">
        <v>42.6</v>
      </c>
      <c r="V755">
        <v>80.400000000000006</v>
      </c>
      <c r="W755" t="s">
        <v>66</v>
      </c>
      <c r="X755" t="s">
        <v>67</v>
      </c>
      <c r="Y755" t="s">
        <v>67</v>
      </c>
      <c r="Z755" t="s">
        <v>68</v>
      </c>
      <c r="AB755">
        <v>4</v>
      </c>
      <c r="AC755" t="s">
        <v>61</v>
      </c>
      <c r="AJ755" t="s">
        <v>69</v>
      </c>
      <c r="AY755" t="s">
        <v>268</v>
      </c>
      <c r="AZ755">
        <v>2965</v>
      </c>
      <c r="BA755" t="s">
        <v>269</v>
      </c>
      <c r="BB755" t="s">
        <v>270</v>
      </c>
      <c r="BC755">
        <v>1981</v>
      </c>
      <c r="BD755" t="s">
        <v>90</v>
      </c>
    </row>
    <row r="756" spans="1:56" x14ac:dyDescent="0.35">
      <c r="A756">
        <v>95501</v>
      </c>
      <c r="B756" t="s">
        <v>814</v>
      </c>
      <c r="D756" t="s">
        <v>57</v>
      </c>
      <c r="E756" t="s">
        <v>86</v>
      </c>
      <c r="F756" t="s">
        <v>58</v>
      </c>
      <c r="G756" t="s">
        <v>59</v>
      </c>
      <c r="H756" t="s">
        <v>60</v>
      </c>
      <c r="J756" t="s">
        <v>86</v>
      </c>
      <c r="L756" t="s">
        <v>62</v>
      </c>
      <c r="M756" t="s">
        <v>63</v>
      </c>
      <c r="N756" t="s">
        <v>64</v>
      </c>
      <c r="P756" t="s">
        <v>65</v>
      </c>
      <c r="R756">
        <v>57</v>
      </c>
      <c r="T756">
        <v>42.6</v>
      </c>
      <c r="V756">
        <v>80.400000000000006</v>
      </c>
      <c r="W756" t="s">
        <v>66</v>
      </c>
      <c r="X756" t="s">
        <v>67</v>
      </c>
      <c r="Y756" t="s">
        <v>67</v>
      </c>
      <c r="Z756" t="s">
        <v>68</v>
      </c>
      <c r="AB756">
        <v>4</v>
      </c>
      <c r="AC756" t="s">
        <v>61</v>
      </c>
      <c r="AJ756" t="s">
        <v>69</v>
      </c>
      <c r="AY756" t="s">
        <v>818</v>
      </c>
      <c r="AZ756">
        <v>875</v>
      </c>
      <c r="BA756" t="s">
        <v>819</v>
      </c>
      <c r="BB756" t="s">
        <v>820</v>
      </c>
      <c r="BC756">
        <v>1979</v>
      </c>
      <c r="BD756" t="s">
        <v>90</v>
      </c>
    </row>
    <row r="757" spans="1:56" x14ac:dyDescent="0.35">
      <c r="A757">
        <v>95501</v>
      </c>
      <c r="B757" t="s">
        <v>814</v>
      </c>
      <c r="D757" t="s">
        <v>57</v>
      </c>
      <c r="E757">
        <v>99</v>
      </c>
      <c r="F757" t="s">
        <v>58</v>
      </c>
      <c r="G757" t="s">
        <v>59</v>
      </c>
      <c r="H757" t="s">
        <v>60</v>
      </c>
      <c r="J757">
        <v>32</v>
      </c>
      <c r="K757" t="s">
        <v>61</v>
      </c>
      <c r="L757" t="s">
        <v>74</v>
      </c>
      <c r="M757" t="s">
        <v>63</v>
      </c>
      <c r="N757" t="s">
        <v>64</v>
      </c>
      <c r="O757">
        <v>6</v>
      </c>
      <c r="P757" t="s">
        <v>65</v>
      </c>
      <c r="R757">
        <v>9.4700000000000006</v>
      </c>
      <c r="T757">
        <v>8.23</v>
      </c>
      <c r="V757">
        <v>10.9</v>
      </c>
      <c r="W757" t="s">
        <v>66</v>
      </c>
      <c r="X757" t="s">
        <v>67</v>
      </c>
      <c r="Y757" t="s">
        <v>67</v>
      </c>
      <c r="Z757" t="s">
        <v>68</v>
      </c>
      <c r="AB757">
        <v>4</v>
      </c>
      <c r="AC757" t="s">
        <v>61</v>
      </c>
      <c r="AJ757" t="s">
        <v>69</v>
      </c>
      <c r="AY757" t="s">
        <v>263</v>
      </c>
      <c r="AZ757">
        <v>12858</v>
      </c>
      <c r="BA757" t="s">
        <v>264</v>
      </c>
      <c r="BB757" t="s">
        <v>265</v>
      </c>
      <c r="BC757">
        <v>1986</v>
      </c>
      <c r="BD757" t="s">
        <v>73</v>
      </c>
    </row>
    <row r="758" spans="1:56" x14ac:dyDescent="0.35">
      <c r="A758">
        <v>95501</v>
      </c>
      <c r="B758" t="s">
        <v>814</v>
      </c>
      <c r="D758" t="s">
        <v>57</v>
      </c>
      <c r="E758" t="s">
        <v>86</v>
      </c>
      <c r="F758" t="s">
        <v>58</v>
      </c>
      <c r="G758" t="s">
        <v>59</v>
      </c>
      <c r="H758" t="s">
        <v>60</v>
      </c>
      <c r="J758" t="s">
        <v>86</v>
      </c>
      <c r="L758" t="s">
        <v>62</v>
      </c>
      <c r="M758" t="s">
        <v>63</v>
      </c>
      <c r="N758" t="s">
        <v>64</v>
      </c>
      <c r="P758" t="s">
        <v>65</v>
      </c>
      <c r="R758">
        <v>57</v>
      </c>
      <c r="T758">
        <v>42.6</v>
      </c>
      <c r="V758">
        <v>80.400000000000006</v>
      </c>
      <c r="W758" t="s">
        <v>66</v>
      </c>
      <c r="X758" t="s">
        <v>67</v>
      </c>
      <c r="Y758" t="s">
        <v>67</v>
      </c>
      <c r="Z758" t="s">
        <v>68</v>
      </c>
      <c r="AB758">
        <v>4</v>
      </c>
      <c r="AC758" t="s">
        <v>61</v>
      </c>
      <c r="AJ758" t="s">
        <v>69</v>
      </c>
      <c r="AY758" t="s">
        <v>818</v>
      </c>
      <c r="AZ758">
        <v>5735</v>
      </c>
      <c r="BA758" t="s">
        <v>821</v>
      </c>
      <c r="BB758" t="s">
        <v>822</v>
      </c>
      <c r="BC758">
        <v>1978</v>
      </c>
      <c r="BD758" t="s">
        <v>90</v>
      </c>
    </row>
    <row r="759" spans="1:56" x14ac:dyDescent="0.35">
      <c r="A759">
        <v>95512</v>
      </c>
      <c r="B759" t="s">
        <v>823</v>
      </c>
      <c r="D759" t="s">
        <v>57</v>
      </c>
      <c r="E759" t="s">
        <v>407</v>
      </c>
      <c r="F759" t="s">
        <v>58</v>
      </c>
      <c r="G759" t="s">
        <v>59</v>
      </c>
      <c r="H759" t="s">
        <v>60</v>
      </c>
      <c r="J759">
        <v>29</v>
      </c>
      <c r="K759" t="s">
        <v>61</v>
      </c>
      <c r="L759" t="s">
        <v>74</v>
      </c>
      <c r="M759" t="s">
        <v>63</v>
      </c>
      <c r="N759" t="s">
        <v>64</v>
      </c>
      <c r="P759" t="s">
        <v>65</v>
      </c>
      <c r="R759">
        <v>5.68</v>
      </c>
      <c r="T759">
        <v>5.34</v>
      </c>
      <c r="V759">
        <v>6.04</v>
      </c>
      <c r="W759" t="s">
        <v>66</v>
      </c>
      <c r="X759" t="s">
        <v>67</v>
      </c>
      <c r="Y759" t="s">
        <v>67</v>
      </c>
      <c r="Z759" t="s">
        <v>68</v>
      </c>
      <c r="AB759">
        <v>4</v>
      </c>
      <c r="AC759" t="s">
        <v>61</v>
      </c>
      <c r="AJ759" t="s">
        <v>69</v>
      </c>
      <c r="AY759" t="s">
        <v>263</v>
      </c>
      <c r="AZ759">
        <v>12858</v>
      </c>
      <c r="BA759" t="s">
        <v>264</v>
      </c>
      <c r="BB759" t="s">
        <v>265</v>
      </c>
      <c r="BC759">
        <v>1986</v>
      </c>
      <c r="BD759" t="s">
        <v>73</v>
      </c>
    </row>
    <row r="760" spans="1:56" x14ac:dyDescent="0.35">
      <c r="A760">
        <v>95512</v>
      </c>
      <c r="B760" t="s">
        <v>823</v>
      </c>
      <c r="D760" t="s">
        <v>57</v>
      </c>
      <c r="E760" t="s">
        <v>407</v>
      </c>
      <c r="F760" t="s">
        <v>58</v>
      </c>
      <c r="G760" t="s">
        <v>59</v>
      </c>
      <c r="H760" t="s">
        <v>60</v>
      </c>
      <c r="J760">
        <v>36</v>
      </c>
      <c r="K760" t="s">
        <v>61</v>
      </c>
      <c r="L760" t="s">
        <v>74</v>
      </c>
      <c r="M760" t="s">
        <v>63</v>
      </c>
      <c r="N760" t="s">
        <v>64</v>
      </c>
      <c r="P760" t="s">
        <v>65</v>
      </c>
      <c r="R760">
        <v>5.81</v>
      </c>
      <c r="T760">
        <v>5.0199999999999996</v>
      </c>
      <c r="V760">
        <v>6.72</v>
      </c>
      <c r="W760" t="s">
        <v>66</v>
      </c>
      <c r="X760" t="s">
        <v>67</v>
      </c>
      <c r="Y760" t="s">
        <v>67</v>
      </c>
      <c r="Z760" t="s">
        <v>68</v>
      </c>
      <c r="AB760">
        <v>4</v>
      </c>
      <c r="AC760" t="s">
        <v>61</v>
      </c>
      <c r="AJ760" t="s">
        <v>69</v>
      </c>
      <c r="AY760" t="s">
        <v>286</v>
      </c>
      <c r="AZ760">
        <v>12448</v>
      </c>
      <c r="BA760" t="s">
        <v>287</v>
      </c>
      <c r="BB760" t="s">
        <v>288</v>
      </c>
      <c r="BC760">
        <v>1984</v>
      </c>
      <c r="BD760" t="s">
        <v>73</v>
      </c>
    </row>
    <row r="761" spans="1:56" x14ac:dyDescent="0.35">
      <c r="A761">
        <v>95512</v>
      </c>
      <c r="B761" t="s">
        <v>823</v>
      </c>
      <c r="D761" t="s">
        <v>57</v>
      </c>
      <c r="E761" t="s">
        <v>128</v>
      </c>
      <c r="F761" t="s">
        <v>58</v>
      </c>
      <c r="G761" t="s">
        <v>59</v>
      </c>
      <c r="H761" t="s">
        <v>60</v>
      </c>
      <c r="I761" t="s">
        <v>129</v>
      </c>
      <c r="J761" t="s">
        <v>86</v>
      </c>
      <c r="K761" t="s">
        <v>61</v>
      </c>
      <c r="L761" t="s">
        <v>74</v>
      </c>
      <c r="M761" t="s">
        <v>63</v>
      </c>
      <c r="N761" t="s">
        <v>64</v>
      </c>
      <c r="P761" t="s">
        <v>65</v>
      </c>
      <c r="R761">
        <v>5.65</v>
      </c>
      <c r="W761" t="s">
        <v>66</v>
      </c>
      <c r="X761" t="s">
        <v>67</v>
      </c>
      <c r="Y761" t="s">
        <v>67</v>
      </c>
      <c r="Z761" t="s">
        <v>68</v>
      </c>
      <c r="AB761">
        <v>4</v>
      </c>
      <c r="AC761" t="s">
        <v>61</v>
      </c>
      <c r="AJ761" t="s">
        <v>69</v>
      </c>
      <c r="AY761" t="s">
        <v>134</v>
      </c>
      <c r="AZ761">
        <v>15031</v>
      </c>
      <c r="BA761" t="s">
        <v>135</v>
      </c>
      <c r="BB761" t="s">
        <v>136</v>
      </c>
      <c r="BC761">
        <v>1995</v>
      </c>
      <c r="BD761" t="s">
        <v>133</v>
      </c>
    </row>
    <row r="762" spans="1:56" x14ac:dyDescent="0.35">
      <c r="A762">
        <v>95512</v>
      </c>
      <c r="B762" t="s">
        <v>823</v>
      </c>
      <c r="D762" t="s">
        <v>57</v>
      </c>
      <c r="E762" t="s">
        <v>128</v>
      </c>
      <c r="F762" t="s">
        <v>58</v>
      </c>
      <c r="G762" t="s">
        <v>59</v>
      </c>
      <c r="H762" t="s">
        <v>60</v>
      </c>
      <c r="I762" t="s">
        <v>129</v>
      </c>
      <c r="J762" t="s">
        <v>86</v>
      </c>
      <c r="K762" t="s">
        <v>61</v>
      </c>
      <c r="L762" t="s">
        <v>74</v>
      </c>
      <c r="M762" t="s">
        <v>63</v>
      </c>
      <c r="N762" t="s">
        <v>64</v>
      </c>
      <c r="P762" t="s">
        <v>65</v>
      </c>
      <c r="R762">
        <v>5.13</v>
      </c>
      <c r="W762" t="s">
        <v>66</v>
      </c>
      <c r="X762" t="s">
        <v>67</v>
      </c>
      <c r="Y762" t="s">
        <v>67</v>
      </c>
      <c r="Z762" t="s">
        <v>68</v>
      </c>
      <c r="AB762">
        <v>4</v>
      </c>
      <c r="AC762" t="s">
        <v>61</v>
      </c>
      <c r="AJ762" t="s">
        <v>69</v>
      </c>
      <c r="AY762" t="s">
        <v>134</v>
      </c>
      <c r="AZ762">
        <v>15031</v>
      </c>
      <c r="BA762" t="s">
        <v>135</v>
      </c>
      <c r="BB762" t="s">
        <v>136</v>
      </c>
      <c r="BC762">
        <v>1995</v>
      </c>
      <c r="BD762" t="s">
        <v>133</v>
      </c>
    </row>
    <row r="763" spans="1:56" x14ac:dyDescent="0.35">
      <c r="A763">
        <v>95523</v>
      </c>
      <c r="B763" t="s">
        <v>824</v>
      </c>
      <c r="D763" t="s">
        <v>57</v>
      </c>
      <c r="E763" t="s">
        <v>79</v>
      </c>
      <c r="F763" t="s">
        <v>58</v>
      </c>
      <c r="G763" t="s">
        <v>59</v>
      </c>
      <c r="H763" t="s">
        <v>60</v>
      </c>
      <c r="J763">
        <v>33</v>
      </c>
      <c r="K763" t="s">
        <v>61</v>
      </c>
      <c r="L763" t="s">
        <v>74</v>
      </c>
      <c r="M763" t="s">
        <v>63</v>
      </c>
      <c r="N763" t="s">
        <v>64</v>
      </c>
      <c r="P763" t="s">
        <v>65</v>
      </c>
      <c r="R763">
        <v>19.600000000000001</v>
      </c>
      <c r="T763">
        <v>17.899999999999999</v>
      </c>
      <c r="V763">
        <v>21.4</v>
      </c>
      <c r="W763" t="s">
        <v>66</v>
      </c>
      <c r="X763" t="s">
        <v>67</v>
      </c>
      <c r="Y763" t="s">
        <v>67</v>
      </c>
      <c r="Z763" t="s">
        <v>68</v>
      </c>
      <c r="AB763">
        <v>4</v>
      </c>
      <c r="AC763" t="s">
        <v>61</v>
      </c>
      <c r="AJ763" t="s">
        <v>69</v>
      </c>
      <c r="AY763" t="s">
        <v>263</v>
      </c>
      <c r="AZ763">
        <v>12858</v>
      </c>
      <c r="BA763" t="s">
        <v>264</v>
      </c>
      <c r="BB763" t="s">
        <v>265</v>
      </c>
      <c r="BC763">
        <v>1986</v>
      </c>
      <c r="BD763" t="s">
        <v>73</v>
      </c>
    </row>
    <row r="764" spans="1:56" x14ac:dyDescent="0.35">
      <c r="A764">
        <v>95523</v>
      </c>
      <c r="B764" t="s">
        <v>824</v>
      </c>
      <c r="D764" t="s">
        <v>57</v>
      </c>
      <c r="E764" t="s">
        <v>79</v>
      </c>
      <c r="F764" t="s">
        <v>58</v>
      </c>
      <c r="G764" t="s">
        <v>59</v>
      </c>
      <c r="H764" t="s">
        <v>60</v>
      </c>
      <c r="J764">
        <v>34</v>
      </c>
      <c r="K764" t="s">
        <v>61</v>
      </c>
      <c r="L764" t="s">
        <v>74</v>
      </c>
      <c r="M764" t="s">
        <v>63</v>
      </c>
      <c r="N764" t="s">
        <v>64</v>
      </c>
      <c r="P764" t="s">
        <v>65</v>
      </c>
      <c r="R764">
        <v>19.3</v>
      </c>
      <c r="T764">
        <v>17.399999999999999</v>
      </c>
      <c r="V764">
        <v>21.4</v>
      </c>
      <c r="W764" t="s">
        <v>66</v>
      </c>
      <c r="X764" t="s">
        <v>67</v>
      </c>
      <c r="Y764" t="s">
        <v>67</v>
      </c>
      <c r="Z764" t="s">
        <v>68</v>
      </c>
      <c r="AB764">
        <v>4</v>
      </c>
      <c r="AC764" t="s">
        <v>61</v>
      </c>
      <c r="AJ764" t="s">
        <v>69</v>
      </c>
      <c r="AY764" t="s">
        <v>263</v>
      </c>
      <c r="AZ764">
        <v>12858</v>
      </c>
      <c r="BA764" t="s">
        <v>264</v>
      </c>
      <c r="BB764" t="s">
        <v>265</v>
      </c>
      <c r="BC764">
        <v>1986</v>
      </c>
      <c r="BD764" t="s">
        <v>73</v>
      </c>
    </row>
    <row r="765" spans="1:56" x14ac:dyDescent="0.35">
      <c r="A765">
        <v>95578</v>
      </c>
      <c r="B765" t="s">
        <v>825</v>
      </c>
      <c r="D765" t="s">
        <v>57</v>
      </c>
      <c r="E765" t="s">
        <v>407</v>
      </c>
      <c r="F765" t="s">
        <v>58</v>
      </c>
      <c r="G765" t="s">
        <v>59</v>
      </c>
      <c r="H765" t="s">
        <v>60</v>
      </c>
      <c r="J765" t="s">
        <v>86</v>
      </c>
      <c r="L765" t="s">
        <v>74</v>
      </c>
      <c r="M765" t="s">
        <v>63</v>
      </c>
      <c r="N765" t="s">
        <v>64</v>
      </c>
      <c r="O765">
        <v>7</v>
      </c>
      <c r="P765" t="s">
        <v>65</v>
      </c>
      <c r="Q765" t="s">
        <v>153</v>
      </c>
      <c r="R765">
        <v>28</v>
      </c>
      <c r="W765" t="s">
        <v>66</v>
      </c>
      <c r="X765" t="s">
        <v>67</v>
      </c>
      <c r="Y765" t="s">
        <v>67</v>
      </c>
      <c r="Z765" t="s">
        <v>68</v>
      </c>
      <c r="AB765">
        <v>4</v>
      </c>
      <c r="AC765" t="s">
        <v>61</v>
      </c>
      <c r="AJ765" t="s">
        <v>69</v>
      </c>
      <c r="AY765" t="s">
        <v>351</v>
      </c>
      <c r="AZ765">
        <v>9994</v>
      </c>
      <c r="BA765" t="s">
        <v>352</v>
      </c>
      <c r="BB765" t="s">
        <v>353</v>
      </c>
      <c r="BC765">
        <v>1982</v>
      </c>
      <c r="BD765" t="s">
        <v>90</v>
      </c>
    </row>
    <row r="766" spans="1:56" x14ac:dyDescent="0.35">
      <c r="A766">
        <v>95578</v>
      </c>
      <c r="B766" t="s">
        <v>825</v>
      </c>
      <c r="D766" t="s">
        <v>57</v>
      </c>
      <c r="E766">
        <v>97</v>
      </c>
      <c r="F766" t="s">
        <v>58</v>
      </c>
      <c r="G766" t="s">
        <v>59</v>
      </c>
      <c r="H766" t="s">
        <v>60</v>
      </c>
      <c r="J766">
        <v>28</v>
      </c>
      <c r="K766" t="s">
        <v>61</v>
      </c>
      <c r="L766" t="s">
        <v>74</v>
      </c>
      <c r="M766" t="s">
        <v>63</v>
      </c>
      <c r="N766" t="s">
        <v>64</v>
      </c>
      <c r="P766" t="s">
        <v>65</v>
      </c>
      <c r="R766">
        <v>9.41</v>
      </c>
      <c r="T766">
        <v>8.64</v>
      </c>
      <c r="V766">
        <v>10.199999999999999</v>
      </c>
      <c r="W766" t="s">
        <v>66</v>
      </c>
      <c r="X766" t="s">
        <v>67</v>
      </c>
      <c r="Y766" t="s">
        <v>67</v>
      </c>
      <c r="Z766" t="s">
        <v>68</v>
      </c>
      <c r="AB766">
        <v>4</v>
      </c>
      <c r="AC766" t="s">
        <v>61</v>
      </c>
      <c r="AJ766" t="s">
        <v>69</v>
      </c>
      <c r="AY766" t="s">
        <v>80</v>
      </c>
      <c r="AZ766">
        <v>12859</v>
      </c>
      <c r="BA766" t="s">
        <v>81</v>
      </c>
      <c r="BB766" t="s">
        <v>82</v>
      </c>
      <c r="BC766">
        <v>1988</v>
      </c>
      <c r="BD766" t="s">
        <v>73</v>
      </c>
    </row>
    <row r="767" spans="1:56" x14ac:dyDescent="0.35">
      <c r="A767">
        <v>95578</v>
      </c>
      <c r="B767" t="s">
        <v>825</v>
      </c>
      <c r="D767" t="s">
        <v>85</v>
      </c>
      <c r="E767" t="s">
        <v>86</v>
      </c>
      <c r="F767" t="s">
        <v>58</v>
      </c>
      <c r="G767" t="s">
        <v>59</v>
      </c>
      <c r="H767" t="s">
        <v>60</v>
      </c>
      <c r="J767" t="s">
        <v>86</v>
      </c>
      <c r="L767" t="s">
        <v>62</v>
      </c>
      <c r="M767" t="s">
        <v>63</v>
      </c>
      <c r="N767" t="s">
        <v>64</v>
      </c>
      <c r="P767" t="s">
        <v>100</v>
      </c>
      <c r="R767">
        <v>11.63</v>
      </c>
      <c r="T767">
        <v>8.86</v>
      </c>
      <c r="V767">
        <v>14.66</v>
      </c>
      <c r="W767" t="s">
        <v>66</v>
      </c>
      <c r="X767" t="s">
        <v>67</v>
      </c>
      <c r="Y767" t="s">
        <v>67</v>
      </c>
      <c r="Z767" t="s">
        <v>68</v>
      </c>
      <c r="AB767">
        <v>4</v>
      </c>
      <c r="AC767" t="s">
        <v>61</v>
      </c>
      <c r="AJ767" t="s">
        <v>69</v>
      </c>
      <c r="AY767" t="s">
        <v>168</v>
      </c>
      <c r="AZ767">
        <v>728</v>
      </c>
      <c r="BA767" t="s">
        <v>426</v>
      </c>
      <c r="BB767" t="s">
        <v>427</v>
      </c>
      <c r="BC767">
        <v>1966</v>
      </c>
      <c r="BD767" t="s">
        <v>90</v>
      </c>
    </row>
    <row r="768" spans="1:56" x14ac:dyDescent="0.35">
      <c r="A768">
        <v>95578</v>
      </c>
      <c r="B768" t="s">
        <v>825</v>
      </c>
      <c r="D768" t="s">
        <v>57</v>
      </c>
      <c r="E768" t="s">
        <v>86</v>
      </c>
      <c r="F768" t="s">
        <v>58</v>
      </c>
      <c r="G768" t="s">
        <v>59</v>
      </c>
      <c r="H768" t="s">
        <v>60</v>
      </c>
      <c r="J768">
        <v>34</v>
      </c>
      <c r="K768" t="s">
        <v>61</v>
      </c>
      <c r="L768" t="s">
        <v>74</v>
      </c>
      <c r="M768" t="s">
        <v>63</v>
      </c>
      <c r="N768" t="s">
        <v>64</v>
      </c>
      <c r="P768" t="s">
        <v>65</v>
      </c>
      <c r="R768">
        <v>13.8</v>
      </c>
      <c r="T768">
        <v>12.4</v>
      </c>
      <c r="V768">
        <v>15.3</v>
      </c>
      <c r="W768" t="s">
        <v>66</v>
      </c>
      <c r="X768" t="s">
        <v>67</v>
      </c>
      <c r="Y768" t="s">
        <v>67</v>
      </c>
      <c r="Z768" t="s">
        <v>68</v>
      </c>
      <c r="AB768">
        <v>4</v>
      </c>
      <c r="AC768" t="s">
        <v>61</v>
      </c>
      <c r="AJ768" t="s">
        <v>69</v>
      </c>
      <c r="AY768" t="s">
        <v>141</v>
      </c>
      <c r="AZ768">
        <v>12447</v>
      </c>
      <c r="BA768" t="s">
        <v>142</v>
      </c>
      <c r="BB768" t="s">
        <v>143</v>
      </c>
      <c r="BC768">
        <v>1985</v>
      </c>
      <c r="BD768" t="s">
        <v>73</v>
      </c>
    </row>
    <row r="769" spans="1:56" x14ac:dyDescent="0.35">
      <c r="A769">
        <v>95578</v>
      </c>
      <c r="B769" t="s">
        <v>825</v>
      </c>
      <c r="D769" t="s">
        <v>57</v>
      </c>
      <c r="E769" t="s">
        <v>407</v>
      </c>
      <c r="F769" t="s">
        <v>58</v>
      </c>
      <c r="G769" t="s">
        <v>59</v>
      </c>
      <c r="H769" t="s">
        <v>60</v>
      </c>
      <c r="J769" t="s">
        <v>86</v>
      </c>
      <c r="L769" t="s">
        <v>62</v>
      </c>
      <c r="M769" t="s">
        <v>63</v>
      </c>
      <c r="N769" t="s">
        <v>64</v>
      </c>
      <c r="O769">
        <v>6</v>
      </c>
      <c r="P769" t="s">
        <v>65</v>
      </c>
      <c r="R769">
        <v>8.4</v>
      </c>
      <c r="T769">
        <v>6.2</v>
      </c>
      <c r="V769">
        <v>12</v>
      </c>
      <c r="W769" t="s">
        <v>66</v>
      </c>
      <c r="X769" t="s">
        <v>67</v>
      </c>
      <c r="Y769" t="s">
        <v>67</v>
      </c>
      <c r="Z769" t="s">
        <v>68</v>
      </c>
      <c r="AB769">
        <v>4</v>
      </c>
      <c r="AC769" t="s">
        <v>61</v>
      </c>
      <c r="AJ769" t="s">
        <v>69</v>
      </c>
      <c r="AY769" t="s">
        <v>351</v>
      </c>
      <c r="AZ769">
        <v>9994</v>
      </c>
      <c r="BA769" t="s">
        <v>352</v>
      </c>
      <c r="BB769" t="s">
        <v>353</v>
      </c>
      <c r="BC769">
        <v>1982</v>
      </c>
      <c r="BD769" t="s">
        <v>90</v>
      </c>
    </row>
    <row r="770" spans="1:56" x14ac:dyDescent="0.35">
      <c r="A770">
        <v>95578</v>
      </c>
      <c r="B770" t="s">
        <v>825</v>
      </c>
      <c r="D770" t="s">
        <v>57</v>
      </c>
      <c r="E770" t="s">
        <v>407</v>
      </c>
      <c r="F770" t="s">
        <v>58</v>
      </c>
      <c r="G770" t="s">
        <v>59</v>
      </c>
      <c r="H770" t="s">
        <v>60</v>
      </c>
      <c r="J770" t="s">
        <v>86</v>
      </c>
      <c r="L770" t="s">
        <v>74</v>
      </c>
      <c r="M770" t="s">
        <v>63</v>
      </c>
      <c r="N770" t="s">
        <v>64</v>
      </c>
      <c r="O770">
        <v>7</v>
      </c>
      <c r="P770" t="s">
        <v>65</v>
      </c>
      <c r="R770">
        <v>16</v>
      </c>
      <c r="T770">
        <v>14</v>
      </c>
      <c r="V770">
        <v>18</v>
      </c>
      <c r="W770" t="s">
        <v>66</v>
      </c>
      <c r="X770" t="s">
        <v>67</v>
      </c>
      <c r="Y770" t="s">
        <v>67</v>
      </c>
      <c r="Z770" t="s">
        <v>68</v>
      </c>
      <c r="AB770">
        <v>4</v>
      </c>
      <c r="AC770" t="s">
        <v>61</v>
      </c>
      <c r="AJ770" t="s">
        <v>69</v>
      </c>
      <c r="AY770" t="s">
        <v>351</v>
      </c>
      <c r="AZ770">
        <v>9994</v>
      </c>
      <c r="BA770" t="s">
        <v>352</v>
      </c>
      <c r="BB770" t="s">
        <v>353</v>
      </c>
      <c r="BC770">
        <v>1982</v>
      </c>
      <c r="BD770" t="s">
        <v>90</v>
      </c>
    </row>
    <row r="771" spans="1:56" x14ac:dyDescent="0.35">
      <c r="A771">
        <v>95578</v>
      </c>
      <c r="B771" t="s">
        <v>825</v>
      </c>
      <c r="D771" t="s">
        <v>57</v>
      </c>
      <c r="E771" t="s">
        <v>86</v>
      </c>
      <c r="F771" t="s">
        <v>58</v>
      </c>
      <c r="G771" t="s">
        <v>59</v>
      </c>
      <c r="H771" t="s">
        <v>60</v>
      </c>
      <c r="J771" t="s">
        <v>86</v>
      </c>
      <c r="K771" t="s">
        <v>61</v>
      </c>
      <c r="L771" t="s">
        <v>74</v>
      </c>
      <c r="M771" t="s">
        <v>63</v>
      </c>
      <c r="N771" t="s">
        <v>64</v>
      </c>
      <c r="P771" t="s">
        <v>65</v>
      </c>
      <c r="R771">
        <v>13</v>
      </c>
      <c r="T771">
        <v>11</v>
      </c>
      <c r="V771">
        <v>16</v>
      </c>
      <c r="W771" t="s">
        <v>66</v>
      </c>
      <c r="X771" t="s">
        <v>67</v>
      </c>
      <c r="Y771" t="s">
        <v>67</v>
      </c>
      <c r="Z771" t="s">
        <v>68</v>
      </c>
      <c r="AB771">
        <v>4</v>
      </c>
      <c r="AC771" t="s">
        <v>61</v>
      </c>
      <c r="AJ771" t="s">
        <v>69</v>
      </c>
      <c r="AY771" t="s">
        <v>124</v>
      </c>
      <c r="AZ771">
        <v>2189</v>
      </c>
      <c r="BA771" t="s">
        <v>125</v>
      </c>
      <c r="BB771" t="s">
        <v>126</v>
      </c>
      <c r="BC771">
        <v>1981</v>
      </c>
      <c r="BD771" t="s">
        <v>127</v>
      </c>
    </row>
    <row r="772" spans="1:56" x14ac:dyDescent="0.35">
      <c r="A772">
        <v>95578</v>
      </c>
      <c r="B772" t="s">
        <v>825</v>
      </c>
      <c r="D772" t="s">
        <v>57</v>
      </c>
      <c r="E772" t="s">
        <v>128</v>
      </c>
      <c r="F772" t="s">
        <v>58</v>
      </c>
      <c r="G772" t="s">
        <v>59</v>
      </c>
      <c r="H772" t="s">
        <v>60</v>
      </c>
      <c r="I772" t="s">
        <v>129</v>
      </c>
      <c r="J772" t="s">
        <v>86</v>
      </c>
      <c r="K772" t="s">
        <v>61</v>
      </c>
      <c r="L772" t="s">
        <v>74</v>
      </c>
      <c r="M772" t="s">
        <v>63</v>
      </c>
      <c r="N772" t="s">
        <v>64</v>
      </c>
      <c r="P772" t="s">
        <v>65</v>
      </c>
      <c r="R772">
        <v>9.41</v>
      </c>
      <c r="W772" t="s">
        <v>66</v>
      </c>
      <c r="X772" t="s">
        <v>67</v>
      </c>
      <c r="Y772" t="s">
        <v>67</v>
      </c>
      <c r="Z772" t="s">
        <v>68</v>
      </c>
      <c r="AB772">
        <v>4</v>
      </c>
      <c r="AC772" t="s">
        <v>61</v>
      </c>
      <c r="AJ772" t="s">
        <v>69</v>
      </c>
      <c r="AY772" t="s">
        <v>134</v>
      </c>
      <c r="AZ772">
        <v>15031</v>
      </c>
      <c r="BA772" t="s">
        <v>135</v>
      </c>
      <c r="BB772" t="s">
        <v>136</v>
      </c>
      <c r="BC772">
        <v>1995</v>
      </c>
      <c r="BD772" t="s">
        <v>133</v>
      </c>
    </row>
    <row r="773" spans="1:56" x14ac:dyDescent="0.35">
      <c r="A773">
        <v>95578</v>
      </c>
      <c r="B773" t="s">
        <v>825</v>
      </c>
      <c r="D773" t="s">
        <v>57</v>
      </c>
      <c r="E773" t="s">
        <v>407</v>
      </c>
      <c r="F773" t="s">
        <v>58</v>
      </c>
      <c r="G773" t="s">
        <v>59</v>
      </c>
      <c r="H773" t="s">
        <v>60</v>
      </c>
      <c r="J773" t="s">
        <v>86</v>
      </c>
      <c r="L773" t="s">
        <v>62</v>
      </c>
      <c r="M773" t="s">
        <v>63</v>
      </c>
      <c r="N773" t="s">
        <v>64</v>
      </c>
      <c r="O773">
        <v>6</v>
      </c>
      <c r="P773" t="s">
        <v>65</v>
      </c>
      <c r="R773">
        <v>14</v>
      </c>
      <c r="T773">
        <v>12</v>
      </c>
      <c r="V773">
        <v>18</v>
      </c>
      <c r="W773" t="s">
        <v>66</v>
      </c>
      <c r="X773" t="s">
        <v>67</v>
      </c>
      <c r="Y773" t="s">
        <v>67</v>
      </c>
      <c r="Z773" t="s">
        <v>68</v>
      </c>
      <c r="AB773">
        <v>4</v>
      </c>
      <c r="AC773" t="s">
        <v>61</v>
      </c>
      <c r="AJ773" t="s">
        <v>69</v>
      </c>
      <c r="AY773" t="s">
        <v>351</v>
      </c>
      <c r="AZ773">
        <v>9994</v>
      </c>
      <c r="BA773" t="s">
        <v>352</v>
      </c>
      <c r="BB773" t="s">
        <v>353</v>
      </c>
      <c r="BC773">
        <v>1982</v>
      </c>
      <c r="BD773" t="s">
        <v>90</v>
      </c>
    </row>
    <row r="774" spans="1:56" x14ac:dyDescent="0.35">
      <c r="A774">
        <v>95578</v>
      </c>
      <c r="B774" t="s">
        <v>825</v>
      </c>
      <c r="D774" t="s">
        <v>85</v>
      </c>
      <c r="E774" t="s">
        <v>86</v>
      </c>
      <c r="F774" t="s">
        <v>58</v>
      </c>
      <c r="G774" t="s">
        <v>59</v>
      </c>
      <c r="H774" t="s">
        <v>60</v>
      </c>
      <c r="J774" t="s">
        <v>86</v>
      </c>
      <c r="L774" t="s">
        <v>62</v>
      </c>
      <c r="M774" t="s">
        <v>63</v>
      </c>
      <c r="N774" t="s">
        <v>64</v>
      </c>
      <c r="P774" t="s">
        <v>100</v>
      </c>
      <c r="R774">
        <v>14.48</v>
      </c>
      <c r="T774">
        <v>11.43</v>
      </c>
      <c r="V774">
        <v>18.739999999999998</v>
      </c>
      <c r="W774" t="s">
        <v>66</v>
      </c>
      <c r="X774" t="s">
        <v>67</v>
      </c>
      <c r="Y774" t="s">
        <v>67</v>
      </c>
      <c r="Z774" t="s">
        <v>68</v>
      </c>
      <c r="AB774">
        <v>4</v>
      </c>
      <c r="AC774" t="s">
        <v>61</v>
      </c>
      <c r="AJ774" t="s">
        <v>69</v>
      </c>
      <c r="AY774" t="s">
        <v>168</v>
      </c>
      <c r="AZ774">
        <v>728</v>
      </c>
      <c r="BA774" t="s">
        <v>426</v>
      </c>
      <c r="BB774" t="s">
        <v>427</v>
      </c>
      <c r="BC774">
        <v>1966</v>
      </c>
      <c r="BD774" t="s">
        <v>90</v>
      </c>
    </row>
    <row r="775" spans="1:56" x14ac:dyDescent="0.35">
      <c r="A775">
        <v>95578</v>
      </c>
      <c r="B775" t="s">
        <v>825</v>
      </c>
      <c r="D775" t="s">
        <v>57</v>
      </c>
      <c r="E775" t="s">
        <v>86</v>
      </c>
      <c r="F775" t="s">
        <v>58</v>
      </c>
      <c r="G775" t="s">
        <v>59</v>
      </c>
      <c r="H775" t="s">
        <v>60</v>
      </c>
      <c r="J775" t="s">
        <v>86</v>
      </c>
      <c r="K775" t="s">
        <v>61</v>
      </c>
      <c r="L775" t="s">
        <v>74</v>
      </c>
      <c r="M775" t="s">
        <v>63</v>
      </c>
      <c r="N775" t="s">
        <v>64</v>
      </c>
      <c r="P775" t="s">
        <v>65</v>
      </c>
      <c r="R775">
        <v>11</v>
      </c>
      <c r="T775">
        <v>9.6999999999999993</v>
      </c>
      <c r="V775">
        <v>13</v>
      </c>
      <c r="W775" t="s">
        <v>66</v>
      </c>
      <c r="X775" t="s">
        <v>67</v>
      </c>
      <c r="Y775" t="s">
        <v>67</v>
      </c>
      <c r="Z775" t="s">
        <v>68</v>
      </c>
      <c r="AB775">
        <v>4</v>
      </c>
      <c r="AC775" t="s">
        <v>61</v>
      </c>
      <c r="AJ775" t="s">
        <v>69</v>
      </c>
      <c r="AY775" t="s">
        <v>124</v>
      </c>
      <c r="AZ775">
        <v>2189</v>
      </c>
      <c r="BA775" t="s">
        <v>125</v>
      </c>
      <c r="BB775" t="s">
        <v>126</v>
      </c>
      <c r="BC775">
        <v>1981</v>
      </c>
      <c r="BD775" t="s">
        <v>127</v>
      </c>
    </row>
    <row r="776" spans="1:56" x14ac:dyDescent="0.35">
      <c r="A776">
        <v>95636</v>
      </c>
      <c r="B776" t="s">
        <v>826</v>
      </c>
      <c r="D776" t="s">
        <v>57</v>
      </c>
      <c r="E776">
        <v>99</v>
      </c>
      <c r="F776" t="s">
        <v>58</v>
      </c>
      <c r="G776" t="s">
        <v>59</v>
      </c>
      <c r="H776" t="s">
        <v>60</v>
      </c>
      <c r="J776">
        <v>34</v>
      </c>
      <c r="K776" t="s">
        <v>61</v>
      </c>
      <c r="L776" t="s">
        <v>74</v>
      </c>
      <c r="M776" t="s">
        <v>63</v>
      </c>
      <c r="N776" t="s">
        <v>64</v>
      </c>
      <c r="P776" t="s">
        <v>65</v>
      </c>
      <c r="R776">
        <v>7.72</v>
      </c>
      <c r="T776">
        <v>7.19</v>
      </c>
      <c r="V776">
        <v>8.2799999999999994</v>
      </c>
      <c r="W776" t="s">
        <v>66</v>
      </c>
      <c r="X776" t="s">
        <v>67</v>
      </c>
      <c r="Y776" t="s">
        <v>67</v>
      </c>
      <c r="Z776" t="s">
        <v>68</v>
      </c>
      <c r="AB776">
        <v>4</v>
      </c>
      <c r="AC776" t="s">
        <v>61</v>
      </c>
      <c r="AJ776" t="s">
        <v>69</v>
      </c>
      <c r="AY776" t="s">
        <v>263</v>
      </c>
      <c r="AZ776">
        <v>12858</v>
      </c>
      <c r="BA776" t="s">
        <v>264</v>
      </c>
      <c r="BB776" t="s">
        <v>265</v>
      </c>
      <c r="BC776">
        <v>1986</v>
      </c>
      <c r="BD776" t="s">
        <v>73</v>
      </c>
    </row>
    <row r="777" spans="1:56" x14ac:dyDescent="0.35">
      <c r="A777">
        <v>95658</v>
      </c>
      <c r="B777" t="s">
        <v>827</v>
      </c>
      <c r="D777" t="s">
        <v>85</v>
      </c>
      <c r="E777" t="s">
        <v>86</v>
      </c>
      <c r="F777" t="s">
        <v>58</v>
      </c>
      <c r="G777" t="s">
        <v>59</v>
      </c>
      <c r="H777" t="s">
        <v>60</v>
      </c>
      <c r="I777" t="s">
        <v>129</v>
      </c>
      <c r="J777" t="s">
        <v>86</v>
      </c>
      <c r="K777" t="s">
        <v>196</v>
      </c>
      <c r="L777" t="s">
        <v>62</v>
      </c>
      <c r="M777" t="s">
        <v>63</v>
      </c>
      <c r="N777" t="s">
        <v>64</v>
      </c>
      <c r="P777" t="s">
        <v>100</v>
      </c>
      <c r="R777">
        <v>14</v>
      </c>
      <c r="W777" t="s">
        <v>66</v>
      </c>
      <c r="X777" t="s">
        <v>67</v>
      </c>
      <c r="Y777" t="s">
        <v>67</v>
      </c>
      <c r="Z777" t="s">
        <v>68</v>
      </c>
      <c r="AB777">
        <v>4</v>
      </c>
      <c r="AC777" t="s">
        <v>61</v>
      </c>
      <c r="AJ777" t="s">
        <v>69</v>
      </c>
      <c r="AY777" t="s">
        <v>338</v>
      </c>
      <c r="AZ777">
        <v>719</v>
      </c>
      <c r="BA777" t="s">
        <v>339</v>
      </c>
      <c r="BB777" t="s">
        <v>340</v>
      </c>
      <c r="BC777">
        <v>1976</v>
      </c>
      <c r="BD777" t="s">
        <v>341</v>
      </c>
    </row>
    <row r="778" spans="1:56" x14ac:dyDescent="0.35">
      <c r="A778">
        <v>95750</v>
      </c>
      <c r="B778" t="s">
        <v>828</v>
      </c>
      <c r="D778" t="s">
        <v>57</v>
      </c>
      <c r="E778">
        <v>97</v>
      </c>
      <c r="F778" t="s">
        <v>58</v>
      </c>
      <c r="G778" t="s">
        <v>59</v>
      </c>
      <c r="H778" t="s">
        <v>60</v>
      </c>
      <c r="J778">
        <v>28</v>
      </c>
      <c r="K778" t="s">
        <v>61</v>
      </c>
      <c r="L778" t="s">
        <v>74</v>
      </c>
      <c r="M778" t="s">
        <v>63</v>
      </c>
      <c r="N778" t="s">
        <v>64</v>
      </c>
      <c r="P778" t="s">
        <v>65</v>
      </c>
      <c r="R778">
        <v>2.91</v>
      </c>
      <c r="T778">
        <v>2.79</v>
      </c>
      <c r="V778">
        <v>3.04</v>
      </c>
      <c r="W778" t="s">
        <v>66</v>
      </c>
      <c r="X778" t="s">
        <v>67</v>
      </c>
      <c r="Y778" t="s">
        <v>67</v>
      </c>
      <c r="Z778" t="s">
        <v>68</v>
      </c>
      <c r="AB778">
        <v>4</v>
      </c>
      <c r="AC778" t="s">
        <v>61</v>
      </c>
      <c r="AJ778" t="s">
        <v>69</v>
      </c>
      <c r="AY778" t="s">
        <v>286</v>
      </c>
      <c r="AZ778">
        <v>12448</v>
      </c>
      <c r="BA778" t="s">
        <v>287</v>
      </c>
      <c r="BB778" t="s">
        <v>288</v>
      </c>
      <c r="BC778">
        <v>1984</v>
      </c>
      <c r="BD778" t="s">
        <v>73</v>
      </c>
    </row>
    <row r="779" spans="1:56" x14ac:dyDescent="0.35">
      <c r="A779">
        <v>95761</v>
      </c>
      <c r="B779" t="s">
        <v>829</v>
      </c>
      <c r="D779" t="s">
        <v>57</v>
      </c>
      <c r="E779" t="s">
        <v>128</v>
      </c>
      <c r="F779" t="s">
        <v>58</v>
      </c>
      <c r="G779" t="s">
        <v>59</v>
      </c>
      <c r="H779" t="s">
        <v>60</v>
      </c>
      <c r="I779" t="s">
        <v>129</v>
      </c>
      <c r="J779" t="s">
        <v>86</v>
      </c>
      <c r="K779" t="s">
        <v>61</v>
      </c>
      <c r="L779" t="s">
        <v>74</v>
      </c>
      <c r="M779" t="s">
        <v>63</v>
      </c>
      <c r="N779" t="s">
        <v>64</v>
      </c>
      <c r="P779" t="s">
        <v>65</v>
      </c>
      <c r="R779">
        <v>9.9600000000000009</v>
      </c>
      <c r="W779" t="s">
        <v>66</v>
      </c>
      <c r="X779" t="s">
        <v>67</v>
      </c>
      <c r="Y779" t="s">
        <v>67</v>
      </c>
      <c r="Z779" t="s">
        <v>68</v>
      </c>
      <c r="AB779">
        <v>4</v>
      </c>
      <c r="AC779" t="s">
        <v>61</v>
      </c>
      <c r="AJ779" t="s">
        <v>69</v>
      </c>
      <c r="AY779" t="s">
        <v>134</v>
      </c>
      <c r="AZ779">
        <v>15031</v>
      </c>
      <c r="BA779" t="s">
        <v>135</v>
      </c>
      <c r="BB779" t="s">
        <v>136</v>
      </c>
      <c r="BC779">
        <v>1995</v>
      </c>
      <c r="BD779" t="s">
        <v>133</v>
      </c>
    </row>
    <row r="780" spans="1:56" x14ac:dyDescent="0.35">
      <c r="A780">
        <v>95761</v>
      </c>
      <c r="B780" t="s">
        <v>829</v>
      </c>
      <c r="D780" t="s">
        <v>57</v>
      </c>
      <c r="E780">
        <v>98</v>
      </c>
      <c r="F780" t="s">
        <v>58</v>
      </c>
      <c r="G780" t="s">
        <v>59</v>
      </c>
      <c r="H780" t="s">
        <v>60</v>
      </c>
      <c r="J780">
        <v>30</v>
      </c>
      <c r="K780" t="s">
        <v>61</v>
      </c>
      <c r="L780" t="s">
        <v>74</v>
      </c>
      <c r="M780" t="s">
        <v>63</v>
      </c>
      <c r="N780" t="s">
        <v>64</v>
      </c>
      <c r="P780" t="s">
        <v>65</v>
      </c>
      <c r="R780">
        <v>7.7</v>
      </c>
      <c r="T780">
        <v>7.03</v>
      </c>
      <c r="V780">
        <v>8.43</v>
      </c>
      <c r="W780" t="s">
        <v>66</v>
      </c>
      <c r="X780" t="s">
        <v>67</v>
      </c>
      <c r="Y780" t="s">
        <v>67</v>
      </c>
      <c r="Z780" t="s">
        <v>68</v>
      </c>
      <c r="AB780">
        <v>4</v>
      </c>
      <c r="AC780" t="s">
        <v>61</v>
      </c>
      <c r="AJ780" t="s">
        <v>69</v>
      </c>
      <c r="AY780" t="s">
        <v>80</v>
      </c>
      <c r="AZ780">
        <v>12859</v>
      </c>
      <c r="BA780" t="s">
        <v>81</v>
      </c>
      <c r="BB780" t="s">
        <v>82</v>
      </c>
      <c r="BC780">
        <v>1988</v>
      </c>
      <c r="BD780" t="s">
        <v>73</v>
      </c>
    </row>
    <row r="781" spans="1:56" x14ac:dyDescent="0.35">
      <c r="A781">
        <v>95761</v>
      </c>
      <c r="B781" t="s">
        <v>829</v>
      </c>
      <c r="D781" t="s">
        <v>57</v>
      </c>
      <c r="E781">
        <v>98</v>
      </c>
      <c r="F781" t="s">
        <v>58</v>
      </c>
      <c r="G781" t="s">
        <v>59</v>
      </c>
      <c r="H781" t="s">
        <v>60</v>
      </c>
      <c r="J781">
        <v>28</v>
      </c>
      <c r="K781" t="s">
        <v>61</v>
      </c>
      <c r="L781" t="s">
        <v>74</v>
      </c>
      <c r="M781" t="s">
        <v>63</v>
      </c>
      <c r="N781" t="s">
        <v>64</v>
      </c>
      <c r="P781" t="s">
        <v>65</v>
      </c>
      <c r="R781">
        <v>7</v>
      </c>
      <c r="T781">
        <v>6.6</v>
      </c>
      <c r="V781">
        <v>7.5</v>
      </c>
      <c r="W781" t="s">
        <v>66</v>
      </c>
      <c r="X781" t="s">
        <v>67</v>
      </c>
      <c r="Y781" t="s">
        <v>67</v>
      </c>
      <c r="Z781" t="s">
        <v>68</v>
      </c>
      <c r="AB781">
        <v>4</v>
      </c>
      <c r="AC781" t="s">
        <v>61</v>
      </c>
      <c r="AJ781" t="s">
        <v>69</v>
      </c>
      <c r="AY781" t="s">
        <v>286</v>
      </c>
      <c r="AZ781">
        <v>12448</v>
      </c>
      <c r="BA781" t="s">
        <v>287</v>
      </c>
      <c r="BB781" t="s">
        <v>288</v>
      </c>
      <c r="BC781">
        <v>1984</v>
      </c>
      <c r="BD781" t="s">
        <v>73</v>
      </c>
    </row>
    <row r="782" spans="1:56" x14ac:dyDescent="0.35">
      <c r="A782">
        <v>95761</v>
      </c>
      <c r="B782" t="s">
        <v>829</v>
      </c>
      <c r="D782" t="s">
        <v>57</v>
      </c>
      <c r="E782">
        <v>98</v>
      </c>
      <c r="F782" t="s">
        <v>58</v>
      </c>
      <c r="G782" t="s">
        <v>59</v>
      </c>
      <c r="H782" t="s">
        <v>60</v>
      </c>
      <c r="J782">
        <v>34</v>
      </c>
      <c r="K782" t="s">
        <v>61</v>
      </c>
      <c r="L782" t="s">
        <v>74</v>
      </c>
      <c r="M782" t="s">
        <v>63</v>
      </c>
      <c r="N782" t="s">
        <v>64</v>
      </c>
      <c r="P782" t="s">
        <v>65</v>
      </c>
      <c r="R782">
        <v>8.06</v>
      </c>
      <c r="T782">
        <v>7.26</v>
      </c>
      <c r="V782">
        <v>8.9499999999999993</v>
      </c>
      <c r="W782" t="s">
        <v>66</v>
      </c>
      <c r="X782" t="s">
        <v>67</v>
      </c>
      <c r="Y782" t="s">
        <v>67</v>
      </c>
      <c r="Z782" t="s">
        <v>68</v>
      </c>
      <c r="AB782">
        <v>4</v>
      </c>
      <c r="AC782" t="s">
        <v>61</v>
      </c>
      <c r="AJ782" t="s">
        <v>69</v>
      </c>
      <c r="AY782" t="s">
        <v>286</v>
      </c>
      <c r="AZ782">
        <v>12448</v>
      </c>
      <c r="BA782" t="s">
        <v>287</v>
      </c>
      <c r="BB782" t="s">
        <v>288</v>
      </c>
      <c r="BC782">
        <v>1984</v>
      </c>
      <c r="BD782" t="s">
        <v>73</v>
      </c>
    </row>
    <row r="783" spans="1:56" x14ac:dyDescent="0.35">
      <c r="A783">
        <v>95761</v>
      </c>
      <c r="B783" t="s">
        <v>829</v>
      </c>
      <c r="D783" t="s">
        <v>85</v>
      </c>
      <c r="E783">
        <v>98</v>
      </c>
      <c r="F783" t="s">
        <v>58</v>
      </c>
      <c r="G783" t="s">
        <v>59</v>
      </c>
      <c r="H783" t="s">
        <v>60</v>
      </c>
      <c r="J783" t="s">
        <v>86</v>
      </c>
      <c r="K783" t="s">
        <v>61</v>
      </c>
      <c r="L783" t="s">
        <v>74</v>
      </c>
      <c r="M783" t="s">
        <v>63</v>
      </c>
      <c r="N783" t="s">
        <v>64</v>
      </c>
      <c r="P783" t="s">
        <v>65</v>
      </c>
      <c r="R783">
        <v>7.7</v>
      </c>
      <c r="T783">
        <v>7.03</v>
      </c>
      <c r="V783">
        <v>8.43</v>
      </c>
      <c r="W783" t="s">
        <v>66</v>
      </c>
      <c r="X783" t="s">
        <v>67</v>
      </c>
      <c r="Y783" t="s">
        <v>67</v>
      </c>
      <c r="Z783" t="s">
        <v>68</v>
      </c>
      <c r="AB783">
        <v>4</v>
      </c>
      <c r="AC783" t="s">
        <v>61</v>
      </c>
      <c r="AJ783" t="s">
        <v>69</v>
      </c>
      <c r="AY783" t="s">
        <v>830</v>
      </c>
      <c r="AZ783">
        <v>12122</v>
      </c>
      <c r="BA783" t="s">
        <v>831</v>
      </c>
      <c r="BB783" t="s">
        <v>832</v>
      </c>
      <c r="BC783">
        <v>1987</v>
      </c>
      <c r="BD783" t="s">
        <v>833</v>
      </c>
    </row>
    <row r="784" spans="1:56" x14ac:dyDescent="0.35">
      <c r="A784">
        <v>95761</v>
      </c>
      <c r="B784" t="s">
        <v>829</v>
      </c>
      <c r="D784" t="s">
        <v>85</v>
      </c>
      <c r="E784" t="s">
        <v>86</v>
      </c>
      <c r="F784" t="s">
        <v>58</v>
      </c>
      <c r="G784" t="s">
        <v>59</v>
      </c>
      <c r="H784" t="s">
        <v>60</v>
      </c>
      <c r="J784" t="s">
        <v>86</v>
      </c>
      <c r="L784" t="s">
        <v>62</v>
      </c>
      <c r="M784" t="s">
        <v>63</v>
      </c>
      <c r="N784" t="s">
        <v>64</v>
      </c>
      <c r="O784">
        <v>7</v>
      </c>
      <c r="P784" t="s">
        <v>65</v>
      </c>
      <c r="R784">
        <v>5.6</v>
      </c>
      <c r="T784">
        <v>3.5</v>
      </c>
      <c r="V784">
        <v>9</v>
      </c>
      <c r="W784" t="s">
        <v>66</v>
      </c>
      <c r="X784" t="s">
        <v>67</v>
      </c>
      <c r="Y784" t="s">
        <v>67</v>
      </c>
      <c r="Z784" t="s">
        <v>68</v>
      </c>
      <c r="AB784">
        <v>4</v>
      </c>
      <c r="AC784" t="s">
        <v>61</v>
      </c>
      <c r="AJ784" t="s">
        <v>69</v>
      </c>
      <c r="AY784" t="s">
        <v>834</v>
      </c>
      <c r="AZ784">
        <v>104277</v>
      </c>
      <c r="BA784" t="s">
        <v>835</v>
      </c>
      <c r="BB784" t="s">
        <v>836</v>
      </c>
      <c r="BC784">
        <v>1983</v>
      </c>
      <c r="BD784" t="s">
        <v>837</v>
      </c>
    </row>
    <row r="785" spans="1:56" x14ac:dyDescent="0.35">
      <c r="A785">
        <v>95761</v>
      </c>
      <c r="B785" t="s">
        <v>829</v>
      </c>
      <c r="D785" t="s">
        <v>85</v>
      </c>
      <c r="E785" t="s">
        <v>86</v>
      </c>
      <c r="F785" t="s">
        <v>58</v>
      </c>
      <c r="G785" t="s">
        <v>59</v>
      </c>
      <c r="H785" t="s">
        <v>60</v>
      </c>
      <c r="J785" t="s">
        <v>86</v>
      </c>
      <c r="L785" t="s">
        <v>62</v>
      </c>
      <c r="M785" t="s">
        <v>63</v>
      </c>
      <c r="N785" t="s">
        <v>64</v>
      </c>
      <c r="O785">
        <v>7</v>
      </c>
      <c r="P785" t="s">
        <v>65</v>
      </c>
      <c r="R785">
        <v>5.6</v>
      </c>
      <c r="T785">
        <v>3.5</v>
      </c>
      <c r="V785">
        <v>9</v>
      </c>
      <c r="W785" t="s">
        <v>66</v>
      </c>
      <c r="X785" t="s">
        <v>67</v>
      </c>
      <c r="Y785" t="s">
        <v>67</v>
      </c>
      <c r="Z785" t="s">
        <v>68</v>
      </c>
      <c r="AB785">
        <v>4</v>
      </c>
      <c r="AC785" t="s">
        <v>61</v>
      </c>
      <c r="AJ785" t="s">
        <v>69</v>
      </c>
      <c r="AY785" t="s">
        <v>834</v>
      </c>
      <c r="AZ785">
        <v>104273</v>
      </c>
      <c r="BA785" t="s">
        <v>838</v>
      </c>
      <c r="BB785" t="s">
        <v>839</v>
      </c>
      <c r="BC785">
        <v>1982</v>
      </c>
      <c r="BD785" t="s">
        <v>837</v>
      </c>
    </row>
    <row r="786" spans="1:56" x14ac:dyDescent="0.35">
      <c r="A786">
        <v>95761</v>
      </c>
      <c r="B786" t="s">
        <v>829</v>
      </c>
      <c r="D786" t="s">
        <v>57</v>
      </c>
      <c r="E786" t="s">
        <v>128</v>
      </c>
      <c r="F786" t="s">
        <v>58</v>
      </c>
      <c r="G786" t="s">
        <v>59</v>
      </c>
      <c r="H786" t="s">
        <v>60</v>
      </c>
      <c r="I786" t="s">
        <v>129</v>
      </c>
      <c r="J786" t="s">
        <v>86</v>
      </c>
      <c r="K786" t="s">
        <v>61</v>
      </c>
      <c r="L786" t="s">
        <v>74</v>
      </c>
      <c r="M786" t="s">
        <v>63</v>
      </c>
      <c r="N786" t="s">
        <v>64</v>
      </c>
      <c r="P786" t="s">
        <v>65</v>
      </c>
      <c r="R786">
        <v>7.55</v>
      </c>
      <c r="W786" t="s">
        <v>66</v>
      </c>
      <c r="X786" t="s">
        <v>67</v>
      </c>
      <c r="Y786" t="s">
        <v>67</v>
      </c>
      <c r="Z786" t="s">
        <v>68</v>
      </c>
      <c r="AB786">
        <v>4</v>
      </c>
      <c r="AC786" t="s">
        <v>61</v>
      </c>
      <c r="AJ786" t="s">
        <v>69</v>
      </c>
      <c r="AY786" t="s">
        <v>134</v>
      </c>
      <c r="AZ786">
        <v>15031</v>
      </c>
      <c r="BA786" t="s">
        <v>135</v>
      </c>
      <c r="BB786" t="s">
        <v>136</v>
      </c>
      <c r="BC786">
        <v>1995</v>
      </c>
      <c r="BD786" t="s">
        <v>133</v>
      </c>
    </row>
    <row r="787" spans="1:56" x14ac:dyDescent="0.35">
      <c r="A787">
        <v>95761</v>
      </c>
      <c r="B787" t="s">
        <v>829</v>
      </c>
      <c r="D787" t="s">
        <v>85</v>
      </c>
      <c r="E787">
        <v>98</v>
      </c>
      <c r="F787" t="s">
        <v>58</v>
      </c>
      <c r="G787" t="s">
        <v>59</v>
      </c>
      <c r="H787" t="s">
        <v>60</v>
      </c>
      <c r="J787" t="s">
        <v>86</v>
      </c>
      <c r="K787" t="s">
        <v>61</v>
      </c>
      <c r="L787" t="s">
        <v>74</v>
      </c>
      <c r="M787" t="s">
        <v>63</v>
      </c>
      <c r="N787" t="s">
        <v>64</v>
      </c>
      <c r="P787" t="s">
        <v>65</v>
      </c>
      <c r="R787">
        <v>8.06</v>
      </c>
      <c r="T787">
        <v>7.26</v>
      </c>
      <c r="V787">
        <v>8.9499999999999993</v>
      </c>
      <c r="W787" t="s">
        <v>66</v>
      </c>
      <c r="X787" t="s">
        <v>67</v>
      </c>
      <c r="Y787" t="s">
        <v>67</v>
      </c>
      <c r="Z787" t="s">
        <v>68</v>
      </c>
      <c r="AB787">
        <v>4</v>
      </c>
      <c r="AC787" t="s">
        <v>61</v>
      </c>
      <c r="AJ787" t="s">
        <v>69</v>
      </c>
      <c r="AY787" t="s">
        <v>830</v>
      </c>
      <c r="AZ787">
        <v>12122</v>
      </c>
      <c r="BA787" t="s">
        <v>831</v>
      </c>
      <c r="BB787" t="s">
        <v>832</v>
      </c>
      <c r="BC787">
        <v>1987</v>
      </c>
      <c r="BD787" t="s">
        <v>833</v>
      </c>
    </row>
    <row r="788" spans="1:56" x14ac:dyDescent="0.35">
      <c r="A788">
        <v>95761</v>
      </c>
      <c r="B788" t="s">
        <v>829</v>
      </c>
      <c r="D788" t="s">
        <v>85</v>
      </c>
      <c r="E788">
        <v>98</v>
      </c>
      <c r="F788" t="s">
        <v>58</v>
      </c>
      <c r="G788" t="s">
        <v>59</v>
      </c>
      <c r="H788" t="s">
        <v>60</v>
      </c>
      <c r="J788" t="s">
        <v>86</v>
      </c>
      <c r="K788" t="s">
        <v>61</v>
      </c>
      <c r="L788" t="s">
        <v>74</v>
      </c>
      <c r="M788" t="s">
        <v>63</v>
      </c>
      <c r="N788" t="s">
        <v>64</v>
      </c>
      <c r="P788" t="s">
        <v>65</v>
      </c>
      <c r="R788">
        <v>6.99</v>
      </c>
      <c r="T788">
        <v>6.55</v>
      </c>
      <c r="V788">
        <v>7.47</v>
      </c>
      <c r="W788" t="s">
        <v>66</v>
      </c>
      <c r="X788" t="s">
        <v>67</v>
      </c>
      <c r="Y788" t="s">
        <v>67</v>
      </c>
      <c r="Z788" t="s">
        <v>68</v>
      </c>
      <c r="AB788">
        <v>4</v>
      </c>
      <c r="AC788" t="s">
        <v>61</v>
      </c>
      <c r="AJ788" t="s">
        <v>69</v>
      </c>
      <c r="AY788" t="s">
        <v>830</v>
      </c>
      <c r="AZ788">
        <v>12122</v>
      </c>
      <c r="BA788" t="s">
        <v>831</v>
      </c>
      <c r="BB788" t="s">
        <v>832</v>
      </c>
      <c r="BC788">
        <v>1987</v>
      </c>
      <c r="BD788" t="s">
        <v>833</v>
      </c>
    </row>
    <row r="789" spans="1:56" x14ac:dyDescent="0.35">
      <c r="A789">
        <v>95807</v>
      </c>
      <c r="B789" t="s">
        <v>840</v>
      </c>
      <c r="D789" t="s">
        <v>57</v>
      </c>
      <c r="E789">
        <v>98</v>
      </c>
      <c r="F789" t="s">
        <v>58</v>
      </c>
      <c r="G789" t="s">
        <v>59</v>
      </c>
      <c r="H789" t="s">
        <v>60</v>
      </c>
      <c r="J789" t="s">
        <v>86</v>
      </c>
      <c r="K789" t="s">
        <v>61</v>
      </c>
      <c r="L789" t="s">
        <v>74</v>
      </c>
      <c r="M789" t="s">
        <v>63</v>
      </c>
      <c r="N789" t="s">
        <v>64</v>
      </c>
      <c r="P789" t="s">
        <v>65</v>
      </c>
      <c r="R789">
        <v>1420</v>
      </c>
      <c r="W789" t="s">
        <v>66</v>
      </c>
      <c r="X789" t="s">
        <v>67</v>
      </c>
      <c r="Y789" t="s">
        <v>67</v>
      </c>
      <c r="Z789" t="s">
        <v>68</v>
      </c>
      <c r="AB789">
        <v>4</v>
      </c>
      <c r="AC789" t="s">
        <v>61</v>
      </c>
      <c r="AJ789" t="s">
        <v>69</v>
      </c>
      <c r="AY789" t="s">
        <v>75</v>
      </c>
      <c r="AZ789">
        <v>3217</v>
      </c>
      <c r="BA789" t="s">
        <v>76</v>
      </c>
      <c r="BB789" t="s">
        <v>77</v>
      </c>
      <c r="BC789">
        <v>1990</v>
      </c>
      <c r="BD789" t="s">
        <v>161</v>
      </c>
    </row>
    <row r="790" spans="1:56" x14ac:dyDescent="0.35">
      <c r="A790">
        <v>95943</v>
      </c>
      <c r="B790" t="s">
        <v>841</v>
      </c>
      <c r="D790" t="s">
        <v>57</v>
      </c>
      <c r="E790">
        <v>98</v>
      </c>
      <c r="F790" t="s">
        <v>58</v>
      </c>
      <c r="G790" t="s">
        <v>59</v>
      </c>
      <c r="H790" t="s">
        <v>60</v>
      </c>
      <c r="J790">
        <v>30</v>
      </c>
      <c r="K790" t="s">
        <v>61</v>
      </c>
      <c r="L790" t="s">
        <v>74</v>
      </c>
      <c r="M790" t="s">
        <v>63</v>
      </c>
      <c r="N790" t="s">
        <v>64</v>
      </c>
      <c r="P790" t="s">
        <v>65</v>
      </c>
      <c r="R790">
        <v>0.32</v>
      </c>
      <c r="W790" t="s">
        <v>66</v>
      </c>
      <c r="X790" t="s">
        <v>67</v>
      </c>
      <c r="Y790" t="s">
        <v>67</v>
      </c>
      <c r="Z790" t="s">
        <v>68</v>
      </c>
      <c r="AB790">
        <v>4</v>
      </c>
      <c r="AC790" t="s">
        <v>61</v>
      </c>
      <c r="AJ790" t="s">
        <v>69</v>
      </c>
      <c r="AY790" t="s">
        <v>309</v>
      </c>
      <c r="AZ790">
        <v>17138</v>
      </c>
      <c r="BA790" t="s">
        <v>310</v>
      </c>
      <c r="BB790" t="s">
        <v>311</v>
      </c>
      <c r="BC790">
        <v>1991</v>
      </c>
      <c r="BD790" t="s">
        <v>73</v>
      </c>
    </row>
    <row r="791" spans="1:56" x14ac:dyDescent="0.35">
      <c r="A791">
        <v>95943</v>
      </c>
      <c r="B791" t="s">
        <v>841</v>
      </c>
      <c r="D791" t="s">
        <v>85</v>
      </c>
      <c r="E791">
        <v>98</v>
      </c>
      <c r="F791" t="s">
        <v>58</v>
      </c>
      <c r="G791" t="s">
        <v>59</v>
      </c>
      <c r="H791" t="s">
        <v>60</v>
      </c>
      <c r="J791">
        <v>30</v>
      </c>
      <c r="K791" t="s">
        <v>61</v>
      </c>
      <c r="L791" t="s">
        <v>62</v>
      </c>
      <c r="M791" t="s">
        <v>63</v>
      </c>
      <c r="N791" t="s">
        <v>64</v>
      </c>
      <c r="P791" t="s">
        <v>65</v>
      </c>
      <c r="Q791" t="s">
        <v>153</v>
      </c>
      <c r="R791">
        <v>0.46</v>
      </c>
      <c r="W791" t="s">
        <v>66</v>
      </c>
      <c r="X791" t="s">
        <v>67</v>
      </c>
      <c r="Y791" t="s">
        <v>67</v>
      </c>
      <c r="Z791" t="s">
        <v>68</v>
      </c>
      <c r="AB791">
        <v>4</v>
      </c>
      <c r="AC791" t="s">
        <v>61</v>
      </c>
      <c r="AJ791" t="s">
        <v>69</v>
      </c>
      <c r="AY791" t="s">
        <v>309</v>
      </c>
      <c r="AZ791">
        <v>17138</v>
      </c>
      <c r="BA791" t="s">
        <v>310</v>
      </c>
      <c r="BB791" t="s">
        <v>311</v>
      </c>
      <c r="BC791">
        <v>1991</v>
      </c>
      <c r="BD791" t="s">
        <v>73</v>
      </c>
    </row>
    <row r="792" spans="1:56" x14ac:dyDescent="0.35">
      <c r="A792">
        <v>95943</v>
      </c>
      <c r="B792" t="s">
        <v>841</v>
      </c>
      <c r="D792" t="s">
        <v>57</v>
      </c>
      <c r="E792">
        <v>98</v>
      </c>
      <c r="F792" t="s">
        <v>58</v>
      </c>
      <c r="G792" t="s">
        <v>59</v>
      </c>
      <c r="H792" t="s">
        <v>60</v>
      </c>
      <c r="J792">
        <v>30</v>
      </c>
      <c r="K792" t="s">
        <v>61</v>
      </c>
      <c r="L792" t="s">
        <v>62</v>
      </c>
      <c r="M792" t="s">
        <v>63</v>
      </c>
      <c r="N792" t="s">
        <v>64</v>
      </c>
      <c r="P792" t="s">
        <v>65</v>
      </c>
      <c r="Q792" t="s">
        <v>153</v>
      </c>
      <c r="R792">
        <v>0.32</v>
      </c>
      <c r="W792" t="s">
        <v>66</v>
      </c>
      <c r="X792" t="s">
        <v>67</v>
      </c>
      <c r="Y792" t="s">
        <v>67</v>
      </c>
      <c r="Z792" t="s">
        <v>68</v>
      </c>
      <c r="AB792">
        <v>4</v>
      </c>
      <c r="AC792" t="s">
        <v>61</v>
      </c>
      <c r="AJ792" t="s">
        <v>69</v>
      </c>
      <c r="AY792" t="s">
        <v>309</v>
      </c>
      <c r="AZ792">
        <v>17138</v>
      </c>
      <c r="BA792" t="s">
        <v>310</v>
      </c>
      <c r="BB792" t="s">
        <v>311</v>
      </c>
      <c r="BC792">
        <v>1991</v>
      </c>
      <c r="BD792" t="s">
        <v>73</v>
      </c>
    </row>
    <row r="793" spans="1:56" x14ac:dyDescent="0.35">
      <c r="A793">
        <v>95943</v>
      </c>
      <c r="B793" t="s">
        <v>841</v>
      </c>
      <c r="C793" t="s">
        <v>104</v>
      </c>
      <c r="D793" t="s">
        <v>57</v>
      </c>
      <c r="E793">
        <v>98</v>
      </c>
      <c r="F793" t="s">
        <v>58</v>
      </c>
      <c r="G793" t="s">
        <v>59</v>
      </c>
      <c r="H793" t="s">
        <v>60</v>
      </c>
      <c r="J793">
        <v>30</v>
      </c>
      <c r="K793" t="s">
        <v>61</v>
      </c>
      <c r="L793" t="s">
        <v>62</v>
      </c>
      <c r="M793" t="s">
        <v>63</v>
      </c>
      <c r="N793" t="s">
        <v>64</v>
      </c>
      <c r="P793" t="s">
        <v>65</v>
      </c>
      <c r="Q793" t="s">
        <v>153</v>
      </c>
      <c r="R793">
        <v>8.8999999999999996E-2</v>
      </c>
      <c r="W793" t="s">
        <v>66</v>
      </c>
      <c r="X793" t="s">
        <v>67</v>
      </c>
      <c r="Y793" t="s">
        <v>67</v>
      </c>
      <c r="Z793" t="s">
        <v>68</v>
      </c>
      <c r="AB793">
        <v>4</v>
      </c>
      <c r="AC793" t="s">
        <v>61</v>
      </c>
      <c r="AJ793" t="s">
        <v>69</v>
      </c>
      <c r="AY793" t="s">
        <v>309</v>
      </c>
      <c r="AZ793">
        <v>17138</v>
      </c>
      <c r="BA793" t="s">
        <v>310</v>
      </c>
      <c r="BB793" t="s">
        <v>311</v>
      </c>
      <c r="BC793">
        <v>1991</v>
      </c>
      <c r="BD793" t="s">
        <v>73</v>
      </c>
    </row>
    <row r="794" spans="1:56" x14ac:dyDescent="0.35">
      <c r="A794">
        <v>95954</v>
      </c>
      <c r="B794" t="s">
        <v>842</v>
      </c>
      <c r="D794" t="s">
        <v>57</v>
      </c>
      <c r="E794" t="s">
        <v>86</v>
      </c>
      <c r="F794" t="s">
        <v>58</v>
      </c>
      <c r="G794" t="s">
        <v>59</v>
      </c>
      <c r="H794" t="s">
        <v>60</v>
      </c>
      <c r="J794" t="s">
        <v>86</v>
      </c>
      <c r="L794" t="s">
        <v>74</v>
      </c>
      <c r="M794" t="s">
        <v>63</v>
      </c>
      <c r="N794" t="s">
        <v>64</v>
      </c>
      <c r="P794" t="s">
        <v>65</v>
      </c>
      <c r="R794">
        <v>1.268</v>
      </c>
      <c r="T794">
        <v>1.1120000000000001</v>
      </c>
      <c r="V794">
        <v>1.446</v>
      </c>
      <c r="W794" t="s">
        <v>66</v>
      </c>
      <c r="X794" t="s">
        <v>67</v>
      </c>
      <c r="Y794" t="s">
        <v>67</v>
      </c>
      <c r="Z794" t="s">
        <v>68</v>
      </c>
      <c r="AB794">
        <v>4</v>
      </c>
      <c r="AC794" t="s">
        <v>61</v>
      </c>
      <c r="AJ794" t="s">
        <v>69</v>
      </c>
      <c r="AY794" t="s">
        <v>843</v>
      </c>
      <c r="AZ794">
        <v>56474</v>
      </c>
      <c r="BA794" t="s">
        <v>844</v>
      </c>
      <c r="BB794" t="s">
        <v>845</v>
      </c>
      <c r="BC794">
        <v>1986</v>
      </c>
      <c r="BD794" t="s">
        <v>90</v>
      </c>
    </row>
    <row r="795" spans="1:56" x14ac:dyDescent="0.35">
      <c r="A795">
        <v>95954</v>
      </c>
      <c r="B795" t="s">
        <v>842</v>
      </c>
      <c r="C795" t="s">
        <v>104</v>
      </c>
      <c r="D795" t="s">
        <v>57</v>
      </c>
      <c r="E795">
        <v>99.5</v>
      </c>
      <c r="F795" t="s">
        <v>58</v>
      </c>
      <c r="G795" t="s">
        <v>59</v>
      </c>
      <c r="H795" t="s">
        <v>60</v>
      </c>
      <c r="I795" t="s">
        <v>188</v>
      </c>
      <c r="J795" t="s">
        <v>86</v>
      </c>
      <c r="L795" t="s">
        <v>190</v>
      </c>
      <c r="M795" t="s">
        <v>63</v>
      </c>
      <c r="N795" t="s">
        <v>64</v>
      </c>
      <c r="P795" t="s">
        <v>65</v>
      </c>
      <c r="R795">
        <v>0.90200000000000002</v>
      </c>
      <c r="T795">
        <v>0.82499999999999996</v>
      </c>
      <c r="V795">
        <v>0.98499999999999999</v>
      </c>
      <c r="W795" t="s">
        <v>66</v>
      </c>
      <c r="X795" t="s">
        <v>67</v>
      </c>
      <c r="Y795" t="s">
        <v>67</v>
      </c>
      <c r="Z795" t="s">
        <v>68</v>
      </c>
      <c r="AB795">
        <v>4</v>
      </c>
      <c r="AC795" t="s">
        <v>61</v>
      </c>
      <c r="AJ795" t="s">
        <v>69</v>
      </c>
      <c r="AY795" t="s">
        <v>331</v>
      </c>
      <c r="AZ795">
        <v>5313</v>
      </c>
      <c r="BA795" t="s">
        <v>332</v>
      </c>
      <c r="BB795" t="s">
        <v>333</v>
      </c>
      <c r="BC795">
        <v>1989</v>
      </c>
      <c r="BD795" t="s">
        <v>90</v>
      </c>
    </row>
    <row r="796" spans="1:56" x14ac:dyDescent="0.35">
      <c r="A796">
        <v>96059</v>
      </c>
      <c r="B796" t="s">
        <v>846</v>
      </c>
      <c r="D796" t="s">
        <v>57</v>
      </c>
      <c r="E796" t="s">
        <v>810</v>
      </c>
      <c r="F796" t="s">
        <v>58</v>
      </c>
      <c r="G796" t="s">
        <v>59</v>
      </c>
      <c r="H796" t="s">
        <v>60</v>
      </c>
      <c r="I796" t="s">
        <v>129</v>
      </c>
      <c r="J796" t="s">
        <v>86</v>
      </c>
      <c r="K796" t="s">
        <v>61</v>
      </c>
      <c r="L796" t="s">
        <v>74</v>
      </c>
      <c r="M796" t="s">
        <v>63</v>
      </c>
      <c r="N796" t="s">
        <v>64</v>
      </c>
      <c r="P796" t="s">
        <v>65</v>
      </c>
      <c r="R796">
        <v>0.99</v>
      </c>
      <c r="W796" t="s">
        <v>66</v>
      </c>
      <c r="X796" t="s">
        <v>67</v>
      </c>
      <c r="Y796" t="s">
        <v>67</v>
      </c>
      <c r="Z796" t="s">
        <v>68</v>
      </c>
      <c r="AB796">
        <v>4</v>
      </c>
      <c r="AC796" t="s">
        <v>61</v>
      </c>
      <c r="AJ796" t="s">
        <v>69</v>
      </c>
      <c r="AY796" t="s">
        <v>847</v>
      </c>
      <c r="AZ796">
        <v>13120</v>
      </c>
      <c r="BA796" t="s">
        <v>848</v>
      </c>
      <c r="BB796" t="s">
        <v>849</v>
      </c>
      <c r="BC796">
        <v>1988</v>
      </c>
      <c r="BD796" t="s">
        <v>833</v>
      </c>
    </row>
    <row r="797" spans="1:56" x14ac:dyDescent="0.35">
      <c r="A797">
        <v>96059</v>
      </c>
      <c r="B797" t="s">
        <v>846</v>
      </c>
      <c r="D797" t="s">
        <v>57</v>
      </c>
      <c r="E797" t="s">
        <v>407</v>
      </c>
      <c r="F797" t="s">
        <v>58</v>
      </c>
      <c r="G797" t="s">
        <v>59</v>
      </c>
      <c r="H797" t="s">
        <v>60</v>
      </c>
      <c r="J797">
        <v>30</v>
      </c>
      <c r="K797" t="s">
        <v>61</v>
      </c>
      <c r="L797" t="s">
        <v>74</v>
      </c>
      <c r="M797" t="s">
        <v>63</v>
      </c>
      <c r="N797" t="s">
        <v>64</v>
      </c>
      <c r="P797" t="s">
        <v>65</v>
      </c>
      <c r="R797">
        <v>0.99</v>
      </c>
      <c r="T797">
        <v>0.9</v>
      </c>
      <c r="V797">
        <v>1.1000000000000001</v>
      </c>
      <c r="W797" t="s">
        <v>66</v>
      </c>
      <c r="X797" t="s">
        <v>67</v>
      </c>
      <c r="Y797" t="s">
        <v>67</v>
      </c>
      <c r="Z797" t="s">
        <v>68</v>
      </c>
      <c r="AB797">
        <v>4</v>
      </c>
      <c r="AC797" t="s">
        <v>61</v>
      </c>
      <c r="AJ797" t="s">
        <v>69</v>
      </c>
      <c r="AY797" t="s">
        <v>263</v>
      </c>
      <c r="AZ797">
        <v>12858</v>
      </c>
      <c r="BA797" t="s">
        <v>264</v>
      </c>
      <c r="BB797" t="s">
        <v>265</v>
      </c>
      <c r="BC797">
        <v>1986</v>
      </c>
      <c r="BD797" t="s">
        <v>73</v>
      </c>
    </row>
    <row r="798" spans="1:56" x14ac:dyDescent="0.35">
      <c r="A798">
        <v>96093</v>
      </c>
      <c r="B798" t="s">
        <v>850</v>
      </c>
      <c r="D798" t="s">
        <v>57</v>
      </c>
      <c r="E798">
        <v>97</v>
      </c>
      <c r="F798" t="s">
        <v>58</v>
      </c>
      <c r="G798" t="s">
        <v>59</v>
      </c>
      <c r="H798" t="s">
        <v>60</v>
      </c>
      <c r="J798">
        <v>30</v>
      </c>
      <c r="K798" t="s">
        <v>61</v>
      </c>
      <c r="L798" t="s">
        <v>62</v>
      </c>
      <c r="M798" t="s">
        <v>63</v>
      </c>
      <c r="N798" t="s">
        <v>64</v>
      </c>
      <c r="P798" t="s">
        <v>65</v>
      </c>
      <c r="R798">
        <v>26.33</v>
      </c>
      <c r="W798" t="s">
        <v>66</v>
      </c>
      <c r="X798" t="s">
        <v>67</v>
      </c>
      <c r="Y798" t="s">
        <v>67</v>
      </c>
      <c r="Z798" t="s">
        <v>68</v>
      </c>
      <c r="AB798">
        <v>4</v>
      </c>
      <c r="AC798" t="s">
        <v>61</v>
      </c>
      <c r="AJ798" t="s">
        <v>69</v>
      </c>
      <c r="AY798" t="s">
        <v>309</v>
      </c>
      <c r="AZ798">
        <v>17138</v>
      </c>
      <c r="BA798" t="s">
        <v>310</v>
      </c>
      <c r="BB798" t="s">
        <v>311</v>
      </c>
      <c r="BC798">
        <v>1991</v>
      </c>
      <c r="BD798" t="s">
        <v>73</v>
      </c>
    </row>
    <row r="799" spans="1:56" x14ac:dyDescent="0.35">
      <c r="A799">
        <v>96093</v>
      </c>
      <c r="B799" t="s">
        <v>850</v>
      </c>
      <c r="D799" t="s">
        <v>57</v>
      </c>
      <c r="E799">
        <v>97</v>
      </c>
      <c r="F799" t="s">
        <v>58</v>
      </c>
      <c r="G799" t="s">
        <v>59</v>
      </c>
      <c r="H799" t="s">
        <v>60</v>
      </c>
      <c r="J799">
        <v>30</v>
      </c>
      <c r="K799" t="s">
        <v>61</v>
      </c>
      <c r="L799" t="s">
        <v>74</v>
      </c>
      <c r="M799" t="s">
        <v>63</v>
      </c>
      <c r="N799" t="s">
        <v>64</v>
      </c>
      <c r="P799" t="s">
        <v>65</v>
      </c>
      <c r="R799">
        <v>4.54</v>
      </c>
      <c r="W799" t="s">
        <v>66</v>
      </c>
      <c r="X799" t="s">
        <v>67</v>
      </c>
      <c r="Y799" t="s">
        <v>67</v>
      </c>
      <c r="Z799" t="s">
        <v>68</v>
      </c>
      <c r="AB799">
        <v>4</v>
      </c>
      <c r="AC799" t="s">
        <v>61</v>
      </c>
      <c r="AJ799" t="s">
        <v>69</v>
      </c>
      <c r="AY799" t="s">
        <v>309</v>
      </c>
      <c r="AZ799">
        <v>17138</v>
      </c>
      <c r="BA799" t="s">
        <v>310</v>
      </c>
      <c r="BB799" t="s">
        <v>311</v>
      </c>
      <c r="BC799">
        <v>1991</v>
      </c>
      <c r="BD799" t="s">
        <v>73</v>
      </c>
    </row>
    <row r="800" spans="1:56" x14ac:dyDescent="0.35">
      <c r="A800">
        <v>96093</v>
      </c>
      <c r="B800" t="s">
        <v>850</v>
      </c>
      <c r="D800" t="s">
        <v>85</v>
      </c>
      <c r="E800">
        <v>97</v>
      </c>
      <c r="F800" t="s">
        <v>58</v>
      </c>
      <c r="G800" t="s">
        <v>59</v>
      </c>
      <c r="H800" t="s">
        <v>60</v>
      </c>
      <c r="J800">
        <v>30</v>
      </c>
      <c r="K800" t="s">
        <v>61</v>
      </c>
      <c r="L800" t="s">
        <v>62</v>
      </c>
      <c r="M800" t="s">
        <v>63</v>
      </c>
      <c r="N800" t="s">
        <v>64</v>
      </c>
      <c r="P800" t="s">
        <v>65</v>
      </c>
      <c r="R800">
        <v>13.8</v>
      </c>
      <c r="W800" t="s">
        <v>66</v>
      </c>
      <c r="X800" t="s">
        <v>67</v>
      </c>
      <c r="Y800" t="s">
        <v>67</v>
      </c>
      <c r="Z800" t="s">
        <v>68</v>
      </c>
      <c r="AB800">
        <v>4</v>
      </c>
      <c r="AC800" t="s">
        <v>61</v>
      </c>
      <c r="AJ800" t="s">
        <v>69</v>
      </c>
      <c r="AY800" t="s">
        <v>309</v>
      </c>
      <c r="AZ800">
        <v>17138</v>
      </c>
      <c r="BA800" t="s">
        <v>310</v>
      </c>
      <c r="BB800" t="s">
        <v>311</v>
      </c>
      <c r="BC800">
        <v>1991</v>
      </c>
      <c r="BD800" t="s">
        <v>73</v>
      </c>
    </row>
    <row r="801" spans="1:56" x14ac:dyDescent="0.35">
      <c r="A801">
        <v>96093</v>
      </c>
      <c r="B801" t="s">
        <v>850</v>
      </c>
      <c r="D801" t="s">
        <v>57</v>
      </c>
      <c r="E801">
        <v>97</v>
      </c>
      <c r="F801" t="s">
        <v>58</v>
      </c>
      <c r="G801" t="s">
        <v>59</v>
      </c>
      <c r="H801" t="s">
        <v>60</v>
      </c>
      <c r="J801">
        <v>30</v>
      </c>
      <c r="K801" t="s">
        <v>61</v>
      </c>
      <c r="L801" t="s">
        <v>62</v>
      </c>
      <c r="M801" t="s">
        <v>63</v>
      </c>
      <c r="N801" t="s">
        <v>64</v>
      </c>
      <c r="P801" t="s">
        <v>65</v>
      </c>
      <c r="R801">
        <v>10.7</v>
      </c>
      <c r="W801" t="s">
        <v>66</v>
      </c>
      <c r="X801" t="s">
        <v>67</v>
      </c>
      <c r="Y801" t="s">
        <v>67</v>
      </c>
      <c r="Z801" t="s">
        <v>68</v>
      </c>
      <c r="AB801">
        <v>4</v>
      </c>
      <c r="AC801" t="s">
        <v>61</v>
      </c>
      <c r="AJ801" t="s">
        <v>69</v>
      </c>
      <c r="AY801" t="s">
        <v>309</v>
      </c>
      <c r="AZ801">
        <v>17138</v>
      </c>
      <c r="BA801" t="s">
        <v>310</v>
      </c>
      <c r="BB801" t="s">
        <v>311</v>
      </c>
      <c r="BC801">
        <v>1991</v>
      </c>
      <c r="BD801" t="s">
        <v>73</v>
      </c>
    </row>
    <row r="802" spans="1:56" x14ac:dyDescent="0.35">
      <c r="A802">
        <v>96139</v>
      </c>
      <c r="B802" t="s">
        <v>851</v>
      </c>
      <c r="D802" t="s">
        <v>57</v>
      </c>
      <c r="E802">
        <v>96</v>
      </c>
      <c r="F802" t="s">
        <v>58</v>
      </c>
      <c r="G802" t="s">
        <v>59</v>
      </c>
      <c r="H802" t="s">
        <v>60</v>
      </c>
      <c r="J802" t="s">
        <v>86</v>
      </c>
      <c r="K802" t="s">
        <v>61</v>
      </c>
      <c r="L802" t="s">
        <v>74</v>
      </c>
      <c r="M802" t="s">
        <v>63</v>
      </c>
      <c r="N802" t="s">
        <v>64</v>
      </c>
      <c r="P802" t="s">
        <v>65</v>
      </c>
      <c r="R802">
        <v>71</v>
      </c>
      <c r="T802">
        <v>61</v>
      </c>
      <c r="V802">
        <v>83</v>
      </c>
      <c r="W802" t="s">
        <v>66</v>
      </c>
      <c r="X802" t="s">
        <v>67</v>
      </c>
      <c r="Y802" t="s">
        <v>67</v>
      </c>
      <c r="Z802" t="s">
        <v>68</v>
      </c>
      <c r="AB802">
        <v>4</v>
      </c>
      <c r="AC802" t="s">
        <v>61</v>
      </c>
      <c r="AJ802" t="s">
        <v>69</v>
      </c>
      <c r="AY802" t="s">
        <v>286</v>
      </c>
      <c r="AZ802">
        <v>12448</v>
      </c>
      <c r="BA802" t="s">
        <v>287</v>
      </c>
      <c r="BB802" t="s">
        <v>288</v>
      </c>
      <c r="BC802">
        <v>1984</v>
      </c>
      <c r="BD802" t="s">
        <v>760</v>
      </c>
    </row>
    <row r="803" spans="1:56" x14ac:dyDescent="0.35">
      <c r="A803">
        <v>96173</v>
      </c>
      <c r="B803" t="s">
        <v>852</v>
      </c>
      <c r="D803" t="s">
        <v>57</v>
      </c>
      <c r="E803">
        <v>98</v>
      </c>
      <c r="F803" t="s">
        <v>58</v>
      </c>
      <c r="G803" t="s">
        <v>59</v>
      </c>
      <c r="H803" t="s">
        <v>60</v>
      </c>
      <c r="J803">
        <v>30</v>
      </c>
      <c r="K803" t="s">
        <v>61</v>
      </c>
      <c r="L803" t="s">
        <v>74</v>
      </c>
      <c r="M803" t="s">
        <v>63</v>
      </c>
      <c r="N803" t="s">
        <v>64</v>
      </c>
      <c r="P803" t="s">
        <v>65</v>
      </c>
      <c r="R803">
        <v>9.9700000000000006</v>
      </c>
      <c r="T803">
        <v>9.4</v>
      </c>
      <c r="V803">
        <v>10.6</v>
      </c>
      <c r="W803" t="s">
        <v>66</v>
      </c>
      <c r="X803" t="s">
        <v>67</v>
      </c>
      <c r="Y803" t="s">
        <v>67</v>
      </c>
      <c r="Z803" t="s">
        <v>68</v>
      </c>
      <c r="AB803">
        <v>4</v>
      </c>
      <c r="AC803" t="s">
        <v>61</v>
      </c>
      <c r="AJ803" t="s">
        <v>69</v>
      </c>
      <c r="AY803" t="s">
        <v>141</v>
      </c>
      <c r="AZ803">
        <v>12447</v>
      </c>
      <c r="BA803" t="s">
        <v>142</v>
      </c>
      <c r="BB803" t="s">
        <v>143</v>
      </c>
      <c r="BC803">
        <v>1985</v>
      </c>
      <c r="BD803" t="s">
        <v>73</v>
      </c>
    </row>
    <row r="804" spans="1:56" x14ac:dyDescent="0.35">
      <c r="A804">
        <v>96184</v>
      </c>
      <c r="B804" t="s">
        <v>853</v>
      </c>
      <c r="D804" t="s">
        <v>85</v>
      </c>
      <c r="E804">
        <v>99</v>
      </c>
      <c r="F804" t="s">
        <v>58</v>
      </c>
      <c r="G804" t="s">
        <v>59</v>
      </c>
      <c r="H804" t="s">
        <v>60</v>
      </c>
      <c r="J804">
        <v>30</v>
      </c>
      <c r="K804" t="s">
        <v>61</v>
      </c>
      <c r="L804" t="s">
        <v>62</v>
      </c>
      <c r="M804" t="s">
        <v>63</v>
      </c>
      <c r="N804" t="s">
        <v>64</v>
      </c>
      <c r="P804" t="s">
        <v>65</v>
      </c>
      <c r="R804">
        <v>69.900000000000006</v>
      </c>
      <c r="T804">
        <v>67.099999999999994</v>
      </c>
      <c r="V804">
        <v>72.900000000000006</v>
      </c>
      <c r="W804" t="s">
        <v>66</v>
      </c>
      <c r="X804" t="s">
        <v>67</v>
      </c>
      <c r="Y804" t="s">
        <v>67</v>
      </c>
      <c r="Z804" t="s">
        <v>68</v>
      </c>
      <c r="AB804">
        <v>4</v>
      </c>
      <c r="AC804" t="s">
        <v>61</v>
      </c>
      <c r="AJ804" t="s">
        <v>69</v>
      </c>
      <c r="AY804" t="s">
        <v>309</v>
      </c>
      <c r="AZ804">
        <v>17138</v>
      </c>
      <c r="BA804" t="s">
        <v>310</v>
      </c>
      <c r="BB804" t="s">
        <v>311</v>
      </c>
      <c r="BC804">
        <v>1991</v>
      </c>
      <c r="BD804" t="s">
        <v>73</v>
      </c>
    </row>
    <row r="805" spans="1:56" x14ac:dyDescent="0.35">
      <c r="A805">
        <v>96184</v>
      </c>
      <c r="B805" t="s">
        <v>853</v>
      </c>
      <c r="D805" t="s">
        <v>57</v>
      </c>
      <c r="E805">
        <v>99</v>
      </c>
      <c r="F805" t="s">
        <v>58</v>
      </c>
      <c r="G805" t="s">
        <v>59</v>
      </c>
      <c r="H805" t="s">
        <v>60</v>
      </c>
      <c r="J805">
        <v>30</v>
      </c>
      <c r="K805" t="s">
        <v>61</v>
      </c>
      <c r="L805" t="s">
        <v>62</v>
      </c>
      <c r="M805" t="s">
        <v>63</v>
      </c>
      <c r="N805" t="s">
        <v>64</v>
      </c>
      <c r="P805" t="s">
        <v>65</v>
      </c>
      <c r="R805">
        <v>27.4</v>
      </c>
      <c r="T805">
        <v>25.9</v>
      </c>
      <c r="V805">
        <v>28.9</v>
      </c>
      <c r="W805" t="s">
        <v>66</v>
      </c>
      <c r="X805" t="s">
        <v>67</v>
      </c>
      <c r="Y805" t="s">
        <v>67</v>
      </c>
      <c r="Z805" t="s">
        <v>68</v>
      </c>
      <c r="AB805">
        <v>4</v>
      </c>
      <c r="AC805" t="s">
        <v>61</v>
      </c>
      <c r="AJ805" t="s">
        <v>69</v>
      </c>
      <c r="AY805" t="s">
        <v>309</v>
      </c>
      <c r="AZ805">
        <v>17138</v>
      </c>
      <c r="BA805" t="s">
        <v>310</v>
      </c>
      <c r="BB805" t="s">
        <v>311</v>
      </c>
      <c r="BC805">
        <v>1991</v>
      </c>
      <c r="BD805" t="s">
        <v>73</v>
      </c>
    </row>
    <row r="806" spans="1:56" x14ac:dyDescent="0.35">
      <c r="A806">
        <v>96184</v>
      </c>
      <c r="B806" t="s">
        <v>853</v>
      </c>
      <c r="D806" t="s">
        <v>57</v>
      </c>
      <c r="E806" t="s">
        <v>79</v>
      </c>
      <c r="F806" t="s">
        <v>58</v>
      </c>
      <c r="G806" t="s">
        <v>59</v>
      </c>
      <c r="H806" t="s">
        <v>60</v>
      </c>
      <c r="J806" t="s">
        <v>86</v>
      </c>
      <c r="K806" t="s">
        <v>61</v>
      </c>
      <c r="L806" t="s">
        <v>74</v>
      </c>
      <c r="M806" t="s">
        <v>63</v>
      </c>
      <c r="N806" t="s">
        <v>64</v>
      </c>
      <c r="P806" t="s">
        <v>65</v>
      </c>
      <c r="R806">
        <v>66.5</v>
      </c>
      <c r="W806" t="s">
        <v>66</v>
      </c>
      <c r="X806" t="s">
        <v>67</v>
      </c>
      <c r="Y806" t="s">
        <v>67</v>
      </c>
      <c r="Z806" t="s">
        <v>68</v>
      </c>
      <c r="AB806">
        <v>4</v>
      </c>
      <c r="AC806" t="s">
        <v>61</v>
      </c>
      <c r="AJ806" t="s">
        <v>69</v>
      </c>
      <c r="AY806" t="s">
        <v>75</v>
      </c>
      <c r="AZ806">
        <v>3217</v>
      </c>
      <c r="BA806" t="s">
        <v>76</v>
      </c>
      <c r="BB806" t="s">
        <v>77</v>
      </c>
      <c r="BC806">
        <v>1990</v>
      </c>
      <c r="BD806" t="s">
        <v>148</v>
      </c>
    </row>
    <row r="807" spans="1:56" x14ac:dyDescent="0.35">
      <c r="A807">
        <v>96184</v>
      </c>
      <c r="B807" t="s">
        <v>853</v>
      </c>
      <c r="D807" t="s">
        <v>57</v>
      </c>
      <c r="E807">
        <v>99</v>
      </c>
      <c r="F807" t="s">
        <v>58</v>
      </c>
      <c r="G807" t="s">
        <v>59</v>
      </c>
      <c r="H807" t="s">
        <v>60</v>
      </c>
      <c r="J807">
        <v>30</v>
      </c>
      <c r="K807" t="s">
        <v>61</v>
      </c>
      <c r="L807" t="s">
        <v>74</v>
      </c>
      <c r="M807" t="s">
        <v>63</v>
      </c>
      <c r="N807" t="s">
        <v>64</v>
      </c>
      <c r="P807" t="s">
        <v>65</v>
      </c>
      <c r="R807">
        <v>50.8</v>
      </c>
      <c r="W807" t="s">
        <v>66</v>
      </c>
      <c r="X807" t="s">
        <v>67</v>
      </c>
      <c r="Y807" t="s">
        <v>67</v>
      </c>
      <c r="Z807" t="s">
        <v>68</v>
      </c>
      <c r="AB807">
        <v>4</v>
      </c>
      <c r="AC807" t="s">
        <v>61</v>
      </c>
      <c r="AJ807" t="s">
        <v>69</v>
      </c>
      <c r="AY807" t="s">
        <v>309</v>
      </c>
      <c r="AZ807">
        <v>17138</v>
      </c>
      <c r="BA807" t="s">
        <v>310</v>
      </c>
      <c r="BB807" t="s">
        <v>311</v>
      </c>
      <c r="BC807">
        <v>1991</v>
      </c>
      <c r="BD807" t="s">
        <v>73</v>
      </c>
    </row>
    <row r="808" spans="1:56" x14ac:dyDescent="0.35">
      <c r="A808">
        <v>96184</v>
      </c>
      <c r="B808" t="s">
        <v>853</v>
      </c>
      <c r="D808" t="s">
        <v>57</v>
      </c>
      <c r="E808">
        <v>99</v>
      </c>
      <c r="F808" t="s">
        <v>58</v>
      </c>
      <c r="G808" t="s">
        <v>59</v>
      </c>
      <c r="H808" t="s">
        <v>60</v>
      </c>
      <c r="J808">
        <v>30</v>
      </c>
      <c r="K808" t="s">
        <v>61</v>
      </c>
      <c r="L808" t="s">
        <v>62</v>
      </c>
      <c r="M808" t="s">
        <v>63</v>
      </c>
      <c r="N808" t="s">
        <v>64</v>
      </c>
      <c r="P808" t="s">
        <v>65</v>
      </c>
      <c r="R808">
        <v>57.6</v>
      </c>
      <c r="T808">
        <v>55.4</v>
      </c>
      <c r="V808">
        <v>59.9</v>
      </c>
      <c r="W808" t="s">
        <v>66</v>
      </c>
      <c r="X808" t="s">
        <v>67</v>
      </c>
      <c r="Y808" t="s">
        <v>67</v>
      </c>
      <c r="Z808" t="s">
        <v>68</v>
      </c>
      <c r="AB808">
        <v>4</v>
      </c>
      <c r="AC808" t="s">
        <v>61</v>
      </c>
      <c r="AJ808" t="s">
        <v>69</v>
      </c>
      <c r="AY808" t="s">
        <v>309</v>
      </c>
      <c r="AZ808">
        <v>17138</v>
      </c>
      <c r="BA808" t="s">
        <v>310</v>
      </c>
      <c r="BB808" t="s">
        <v>311</v>
      </c>
      <c r="BC808">
        <v>1991</v>
      </c>
      <c r="BD808" t="s">
        <v>73</v>
      </c>
    </row>
    <row r="809" spans="1:56" x14ac:dyDescent="0.35">
      <c r="A809">
        <v>96220</v>
      </c>
      <c r="B809" t="s">
        <v>854</v>
      </c>
      <c r="D809" t="s">
        <v>57</v>
      </c>
      <c r="E809">
        <v>98</v>
      </c>
      <c r="F809" t="s">
        <v>58</v>
      </c>
      <c r="G809" t="s">
        <v>59</v>
      </c>
      <c r="H809" t="s">
        <v>60</v>
      </c>
      <c r="J809" t="s">
        <v>86</v>
      </c>
      <c r="K809" t="s">
        <v>61</v>
      </c>
      <c r="L809" t="s">
        <v>74</v>
      </c>
      <c r="M809" t="s">
        <v>63</v>
      </c>
      <c r="N809" t="s">
        <v>64</v>
      </c>
      <c r="P809" t="s">
        <v>65</v>
      </c>
      <c r="R809">
        <v>1540</v>
      </c>
      <c r="T809">
        <v>1470</v>
      </c>
      <c r="V809">
        <v>1600</v>
      </c>
      <c r="W809" t="s">
        <v>66</v>
      </c>
      <c r="X809" t="s">
        <v>67</v>
      </c>
      <c r="Y809" t="s">
        <v>67</v>
      </c>
      <c r="Z809" t="s">
        <v>68</v>
      </c>
      <c r="AB809">
        <v>4</v>
      </c>
      <c r="AC809" t="s">
        <v>61</v>
      </c>
      <c r="AJ809" t="s">
        <v>69</v>
      </c>
      <c r="AY809" t="s">
        <v>286</v>
      </c>
      <c r="AZ809">
        <v>12448</v>
      </c>
      <c r="BA809" t="s">
        <v>287</v>
      </c>
      <c r="BB809" t="s">
        <v>288</v>
      </c>
      <c r="BC809">
        <v>1984</v>
      </c>
      <c r="BD809" t="s">
        <v>855</v>
      </c>
    </row>
    <row r="810" spans="1:56" x14ac:dyDescent="0.35">
      <c r="A810">
        <v>96297</v>
      </c>
      <c r="B810" t="s">
        <v>856</v>
      </c>
      <c r="D810" t="s">
        <v>57</v>
      </c>
      <c r="E810" t="s">
        <v>86</v>
      </c>
      <c r="F810" t="s">
        <v>58</v>
      </c>
      <c r="G810" t="s">
        <v>59</v>
      </c>
      <c r="H810" t="s">
        <v>60</v>
      </c>
      <c r="J810">
        <v>30</v>
      </c>
      <c r="K810" t="s">
        <v>61</v>
      </c>
      <c r="L810" t="s">
        <v>74</v>
      </c>
      <c r="M810" t="s">
        <v>63</v>
      </c>
      <c r="N810" t="s">
        <v>64</v>
      </c>
      <c r="P810" t="s">
        <v>65</v>
      </c>
      <c r="R810">
        <v>843</v>
      </c>
      <c r="T810">
        <v>777</v>
      </c>
      <c r="V810">
        <v>914</v>
      </c>
      <c r="W810" t="s">
        <v>66</v>
      </c>
      <c r="X810" t="s">
        <v>67</v>
      </c>
      <c r="Y810" t="s">
        <v>67</v>
      </c>
      <c r="Z810" t="s">
        <v>68</v>
      </c>
      <c r="AB810">
        <v>4</v>
      </c>
      <c r="AC810" t="s">
        <v>61</v>
      </c>
      <c r="AJ810" t="s">
        <v>69</v>
      </c>
      <c r="AY810" t="s">
        <v>286</v>
      </c>
      <c r="AZ810">
        <v>12448</v>
      </c>
      <c r="BA810" t="s">
        <v>287</v>
      </c>
      <c r="BB810" t="s">
        <v>288</v>
      </c>
      <c r="BC810">
        <v>1984</v>
      </c>
      <c r="BD810" t="s">
        <v>73</v>
      </c>
    </row>
    <row r="811" spans="1:56" x14ac:dyDescent="0.35">
      <c r="A811">
        <v>96800</v>
      </c>
      <c r="B811" t="s">
        <v>857</v>
      </c>
      <c r="D811" t="s">
        <v>57</v>
      </c>
      <c r="E811">
        <v>99</v>
      </c>
      <c r="F811" t="s">
        <v>58</v>
      </c>
      <c r="G811" t="s">
        <v>59</v>
      </c>
      <c r="H811" t="s">
        <v>60</v>
      </c>
      <c r="J811">
        <v>34</v>
      </c>
      <c r="K811" t="s">
        <v>61</v>
      </c>
      <c r="L811" t="s">
        <v>74</v>
      </c>
      <c r="M811" t="s">
        <v>63</v>
      </c>
      <c r="N811" t="s">
        <v>64</v>
      </c>
      <c r="P811" t="s">
        <v>65</v>
      </c>
      <c r="R811">
        <v>201</v>
      </c>
      <c r="T811">
        <v>179</v>
      </c>
      <c r="V811">
        <v>226</v>
      </c>
      <c r="W811" t="s">
        <v>66</v>
      </c>
      <c r="X811" t="s">
        <v>67</v>
      </c>
      <c r="Y811" t="s">
        <v>67</v>
      </c>
      <c r="Z811" t="s">
        <v>68</v>
      </c>
      <c r="AB811">
        <v>4</v>
      </c>
      <c r="AC811" t="s">
        <v>61</v>
      </c>
      <c r="AJ811" t="s">
        <v>69</v>
      </c>
      <c r="AY811" t="s">
        <v>80</v>
      </c>
      <c r="AZ811">
        <v>12859</v>
      </c>
      <c r="BA811" t="s">
        <v>81</v>
      </c>
      <c r="BB811" t="s">
        <v>82</v>
      </c>
      <c r="BC811">
        <v>1988</v>
      </c>
      <c r="BD811" t="s">
        <v>73</v>
      </c>
    </row>
    <row r="812" spans="1:56" x14ac:dyDescent="0.35">
      <c r="A812">
        <v>97029</v>
      </c>
      <c r="B812" t="s">
        <v>858</v>
      </c>
      <c r="D812" t="s">
        <v>57</v>
      </c>
      <c r="E812">
        <v>96</v>
      </c>
      <c r="F812" t="s">
        <v>58</v>
      </c>
      <c r="G812" t="s">
        <v>59</v>
      </c>
      <c r="H812" t="s">
        <v>60</v>
      </c>
      <c r="J812">
        <v>33</v>
      </c>
      <c r="K812" t="s">
        <v>61</v>
      </c>
      <c r="L812" t="s">
        <v>74</v>
      </c>
      <c r="M812" t="s">
        <v>63</v>
      </c>
      <c r="N812" t="s">
        <v>64</v>
      </c>
      <c r="P812" t="s">
        <v>65</v>
      </c>
      <c r="R812">
        <v>15.5</v>
      </c>
      <c r="W812" t="s">
        <v>66</v>
      </c>
      <c r="X812" t="s">
        <v>67</v>
      </c>
      <c r="Y812" t="s">
        <v>67</v>
      </c>
      <c r="Z812" t="s">
        <v>68</v>
      </c>
      <c r="AB812">
        <v>4</v>
      </c>
      <c r="AC812" t="s">
        <v>61</v>
      </c>
      <c r="AJ812" t="s">
        <v>69</v>
      </c>
      <c r="AY812" t="s">
        <v>286</v>
      </c>
      <c r="AZ812">
        <v>12448</v>
      </c>
      <c r="BA812" t="s">
        <v>287</v>
      </c>
      <c r="BB812" t="s">
        <v>288</v>
      </c>
      <c r="BC812">
        <v>1984</v>
      </c>
      <c r="BD812" t="s">
        <v>73</v>
      </c>
    </row>
    <row r="813" spans="1:56" x14ac:dyDescent="0.35">
      <c r="A813">
        <v>97029</v>
      </c>
      <c r="B813" t="s">
        <v>858</v>
      </c>
      <c r="D813" t="s">
        <v>57</v>
      </c>
      <c r="E813">
        <v>96</v>
      </c>
      <c r="F813" t="s">
        <v>58</v>
      </c>
      <c r="G813" t="s">
        <v>59</v>
      </c>
      <c r="H813" t="s">
        <v>60</v>
      </c>
      <c r="J813">
        <v>30</v>
      </c>
      <c r="K813" t="s">
        <v>61</v>
      </c>
      <c r="L813" t="s">
        <v>74</v>
      </c>
      <c r="M813" t="s">
        <v>63</v>
      </c>
      <c r="N813" t="s">
        <v>64</v>
      </c>
      <c r="P813" t="s">
        <v>65</v>
      </c>
      <c r="R813">
        <v>14.2</v>
      </c>
      <c r="T813">
        <v>13.5</v>
      </c>
      <c r="V813">
        <v>15</v>
      </c>
      <c r="W813" t="s">
        <v>66</v>
      </c>
      <c r="X813" t="s">
        <v>67</v>
      </c>
      <c r="Y813" t="s">
        <v>67</v>
      </c>
      <c r="Z813" t="s">
        <v>68</v>
      </c>
      <c r="AB813">
        <v>4</v>
      </c>
      <c r="AC813" t="s">
        <v>61</v>
      </c>
      <c r="AJ813" t="s">
        <v>69</v>
      </c>
      <c r="AY813" t="s">
        <v>263</v>
      </c>
      <c r="AZ813">
        <v>12858</v>
      </c>
      <c r="BA813" t="s">
        <v>264</v>
      </c>
      <c r="BB813" t="s">
        <v>265</v>
      </c>
      <c r="BC813">
        <v>1986</v>
      </c>
      <c r="BD813" t="s">
        <v>73</v>
      </c>
    </row>
    <row r="814" spans="1:56" x14ac:dyDescent="0.35">
      <c r="A814">
        <v>97029</v>
      </c>
      <c r="B814" t="s">
        <v>858</v>
      </c>
      <c r="D814" t="s">
        <v>57</v>
      </c>
      <c r="E814" t="s">
        <v>128</v>
      </c>
      <c r="F814" t="s">
        <v>58</v>
      </c>
      <c r="G814" t="s">
        <v>59</v>
      </c>
      <c r="H814" t="s">
        <v>60</v>
      </c>
      <c r="I814" t="s">
        <v>129</v>
      </c>
      <c r="J814" t="s">
        <v>86</v>
      </c>
      <c r="K814" t="s">
        <v>61</v>
      </c>
      <c r="L814" t="s">
        <v>74</v>
      </c>
      <c r="M814" t="s">
        <v>63</v>
      </c>
      <c r="N814" t="s">
        <v>64</v>
      </c>
      <c r="P814" t="s">
        <v>65</v>
      </c>
      <c r="R814">
        <v>15.1</v>
      </c>
      <c r="W814" t="s">
        <v>66</v>
      </c>
      <c r="X814" t="s">
        <v>67</v>
      </c>
      <c r="Y814" t="s">
        <v>67</v>
      </c>
      <c r="Z814" t="s">
        <v>68</v>
      </c>
      <c r="AB814">
        <v>4</v>
      </c>
      <c r="AC814" t="s">
        <v>61</v>
      </c>
      <c r="AJ814" t="s">
        <v>69</v>
      </c>
      <c r="AY814" t="s">
        <v>134</v>
      </c>
      <c r="AZ814">
        <v>15031</v>
      </c>
      <c r="BA814" t="s">
        <v>135</v>
      </c>
      <c r="BB814" t="s">
        <v>136</v>
      </c>
      <c r="BC814">
        <v>1995</v>
      </c>
      <c r="BD814" t="s">
        <v>133</v>
      </c>
    </row>
    <row r="815" spans="1:56" x14ac:dyDescent="0.35">
      <c r="A815">
        <v>97234</v>
      </c>
      <c r="B815" t="s">
        <v>859</v>
      </c>
      <c r="D815" t="s">
        <v>57</v>
      </c>
      <c r="E815">
        <v>98</v>
      </c>
      <c r="F815" t="s">
        <v>58</v>
      </c>
      <c r="G815" t="s">
        <v>59</v>
      </c>
      <c r="H815" t="s">
        <v>60</v>
      </c>
      <c r="J815">
        <v>30</v>
      </c>
      <c r="K815" t="s">
        <v>61</v>
      </c>
      <c r="L815" t="s">
        <v>74</v>
      </c>
      <c r="M815" t="s">
        <v>63</v>
      </c>
      <c r="N815" t="s">
        <v>64</v>
      </c>
      <c r="P815" t="s">
        <v>65</v>
      </c>
      <c r="R815">
        <v>0.31</v>
      </c>
      <c r="W815" t="s">
        <v>66</v>
      </c>
      <c r="X815" t="s">
        <v>67</v>
      </c>
      <c r="Y815" t="s">
        <v>67</v>
      </c>
      <c r="Z815" t="s">
        <v>68</v>
      </c>
      <c r="AB815">
        <v>4</v>
      </c>
      <c r="AC815" t="s">
        <v>61</v>
      </c>
      <c r="AJ815" t="s">
        <v>69</v>
      </c>
      <c r="AY815" t="s">
        <v>141</v>
      </c>
      <c r="AZ815">
        <v>12447</v>
      </c>
      <c r="BA815" t="s">
        <v>142</v>
      </c>
      <c r="BB815" t="s">
        <v>143</v>
      </c>
      <c r="BC815">
        <v>1985</v>
      </c>
      <c r="BD815" t="s">
        <v>73</v>
      </c>
    </row>
    <row r="816" spans="1:56" x14ac:dyDescent="0.35">
      <c r="A816">
        <v>97234</v>
      </c>
      <c r="B816" t="s">
        <v>859</v>
      </c>
      <c r="D816" t="s">
        <v>57</v>
      </c>
      <c r="E816" t="s">
        <v>128</v>
      </c>
      <c r="F816" t="s">
        <v>58</v>
      </c>
      <c r="G816" t="s">
        <v>59</v>
      </c>
      <c r="H816" t="s">
        <v>60</v>
      </c>
      <c r="I816" t="s">
        <v>129</v>
      </c>
      <c r="J816" t="s">
        <v>86</v>
      </c>
      <c r="K816" t="s">
        <v>61</v>
      </c>
      <c r="L816" t="s">
        <v>74</v>
      </c>
      <c r="M816" t="s">
        <v>63</v>
      </c>
      <c r="N816" t="s">
        <v>64</v>
      </c>
      <c r="P816" t="s">
        <v>65</v>
      </c>
      <c r="R816">
        <v>0.31</v>
      </c>
      <c r="W816" t="s">
        <v>66</v>
      </c>
      <c r="X816" t="s">
        <v>67</v>
      </c>
      <c r="Y816" t="s">
        <v>67</v>
      </c>
      <c r="Z816" t="s">
        <v>68</v>
      </c>
      <c r="AB816">
        <v>4</v>
      </c>
      <c r="AC816" t="s">
        <v>61</v>
      </c>
      <c r="AJ816" t="s">
        <v>69</v>
      </c>
      <c r="AY816" t="s">
        <v>134</v>
      </c>
      <c r="AZ816">
        <v>15031</v>
      </c>
      <c r="BA816" t="s">
        <v>135</v>
      </c>
      <c r="BB816" t="s">
        <v>136</v>
      </c>
      <c r="BC816">
        <v>1995</v>
      </c>
      <c r="BD816" t="s">
        <v>133</v>
      </c>
    </row>
    <row r="817" spans="1:56" x14ac:dyDescent="0.35">
      <c r="A817">
        <v>97530</v>
      </c>
      <c r="B817" t="s">
        <v>860</v>
      </c>
      <c r="D817" t="s">
        <v>85</v>
      </c>
      <c r="E817" t="s">
        <v>86</v>
      </c>
      <c r="F817" t="s">
        <v>58</v>
      </c>
      <c r="G817" t="s">
        <v>59</v>
      </c>
      <c r="H817" t="s">
        <v>60</v>
      </c>
      <c r="I817" t="s">
        <v>129</v>
      </c>
      <c r="J817" t="s">
        <v>86</v>
      </c>
      <c r="K817" t="s">
        <v>196</v>
      </c>
      <c r="L817" t="s">
        <v>62</v>
      </c>
      <c r="M817" t="s">
        <v>63</v>
      </c>
      <c r="N817" t="s">
        <v>64</v>
      </c>
      <c r="P817" t="s">
        <v>100</v>
      </c>
      <c r="R817">
        <v>24</v>
      </c>
      <c r="W817" t="s">
        <v>66</v>
      </c>
      <c r="X817" t="s">
        <v>67</v>
      </c>
      <c r="Y817" t="s">
        <v>67</v>
      </c>
      <c r="Z817" t="s">
        <v>68</v>
      </c>
      <c r="AB817">
        <v>4</v>
      </c>
      <c r="AC817" t="s">
        <v>61</v>
      </c>
      <c r="AJ817" t="s">
        <v>69</v>
      </c>
      <c r="AY817" t="s">
        <v>338</v>
      </c>
      <c r="AZ817">
        <v>719</v>
      </c>
      <c r="BA817" t="s">
        <v>339</v>
      </c>
      <c r="BB817" t="s">
        <v>340</v>
      </c>
      <c r="BC817">
        <v>1976</v>
      </c>
      <c r="BD817" t="s">
        <v>341</v>
      </c>
    </row>
    <row r="818" spans="1:56" x14ac:dyDescent="0.35">
      <c r="A818">
        <v>98011</v>
      </c>
      <c r="B818" t="s">
        <v>861</v>
      </c>
      <c r="D818" t="s">
        <v>57</v>
      </c>
      <c r="E818">
        <v>98</v>
      </c>
      <c r="F818" t="s">
        <v>58</v>
      </c>
      <c r="G818" t="s">
        <v>59</v>
      </c>
      <c r="H818" t="s">
        <v>60</v>
      </c>
      <c r="J818">
        <v>30</v>
      </c>
      <c r="K818" t="s">
        <v>61</v>
      </c>
      <c r="L818" t="s">
        <v>62</v>
      </c>
      <c r="M818" t="s">
        <v>63</v>
      </c>
      <c r="N818" t="s">
        <v>64</v>
      </c>
      <c r="P818" t="s">
        <v>65</v>
      </c>
      <c r="R818">
        <v>16.100000000000001</v>
      </c>
      <c r="T818">
        <v>13.4</v>
      </c>
      <c r="V818">
        <v>19.3</v>
      </c>
      <c r="W818" t="s">
        <v>66</v>
      </c>
      <c r="X818" t="s">
        <v>67</v>
      </c>
      <c r="Y818" t="s">
        <v>67</v>
      </c>
      <c r="Z818" t="s">
        <v>68</v>
      </c>
      <c r="AB818">
        <v>4</v>
      </c>
      <c r="AC818" t="s">
        <v>61</v>
      </c>
      <c r="AJ818" t="s">
        <v>69</v>
      </c>
      <c r="AY818" t="s">
        <v>70</v>
      </c>
      <c r="AZ818">
        <v>14339</v>
      </c>
      <c r="BA818" t="s">
        <v>71</v>
      </c>
      <c r="BB818" t="s">
        <v>72</v>
      </c>
      <c r="BC818">
        <v>1987</v>
      </c>
      <c r="BD818" t="s">
        <v>73</v>
      </c>
    </row>
    <row r="819" spans="1:56" x14ac:dyDescent="0.35">
      <c r="A819">
        <v>98011</v>
      </c>
      <c r="B819" t="s">
        <v>861</v>
      </c>
      <c r="D819" t="s">
        <v>57</v>
      </c>
      <c r="E819">
        <v>98</v>
      </c>
      <c r="F819" t="s">
        <v>58</v>
      </c>
      <c r="G819" t="s">
        <v>59</v>
      </c>
      <c r="H819" t="s">
        <v>60</v>
      </c>
      <c r="J819">
        <v>30</v>
      </c>
      <c r="K819" t="s">
        <v>61</v>
      </c>
      <c r="L819" t="s">
        <v>74</v>
      </c>
      <c r="M819" t="s">
        <v>63</v>
      </c>
      <c r="N819" t="s">
        <v>64</v>
      </c>
      <c r="P819" t="s">
        <v>65</v>
      </c>
      <c r="R819">
        <v>21.02</v>
      </c>
      <c r="T819">
        <v>16.79</v>
      </c>
      <c r="V819">
        <v>26.35</v>
      </c>
      <c r="W819" t="s">
        <v>66</v>
      </c>
      <c r="X819" t="s">
        <v>67</v>
      </c>
      <c r="Y819" t="s">
        <v>67</v>
      </c>
      <c r="Z819" t="s">
        <v>68</v>
      </c>
      <c r="AB819">
        <v>4</v>
      </c>
      <c r="AC819" t="s">
        <v>61</v>
      </c>
      <c r="AJ819" t="s">
        <v>69</v>
      </c>
      <c r="AY819" t="s">
        <v>70</v>
      </c>
      <c r="AZ819">
        <v>14339</v>
      </c>
      <c r="BA819" t="s">
        <v>71</v>
      </c>
      <c r="BB819" t="s">
        <v>72</v>
      </c>
      <c r="BC819">
        <v>1987</v>
      </c>
      <c r="BD819" t="s">
        <v>73</v>
      </c>
    </row>
    <row r="820" spans="1:56" x14ac:dyDescent="0.35">
      <c r="A820">
        <v>98011</v>
      </c>
      <c r="B820" t="s">
        <v>861</v>
      </c>
      <c r="D820" t="s">
        <v>85</v>
      </c>
      <c r="E820" t="s">
        <v>86</v>
      </c>
      <c r="F820" t="s">
        <v>58</v>
      </c>
      <c r="G820" t="s">
        <v>59</v>
      </c>
      <c r="H820" t="s">
        <v>60</v>
      </c>
      <c r="I820" t="s">
        <v>129</v>
      </c>
      <c r="J820" t="s">
        <v>86</v>
      </c>
      <c r="K820" t="s">
        <v>196</v>
      </c>
      <c r="L820" t="s">
        <v>62</v>
      </c>
      <c r="M820" t="s">
        <v>63</v>
      </c>
      <c r="N820" t="s">
        <v>64</v>
      </c>
      <c r="P820" t="s">
        <v>100</v>
      </c>
      <c r="R820">
        <v>32</v>
      </c>
      <c r="W820" t="s">
        <v>66</v>
      </c>
      <c r="X820" t="s">
        <v>67</v>
      </c>
      <c r="Y820" t="s">
        <v>67</v>
      </c>
      <c r="Z820" t="s">
        <v>68</v>
      </c>
      <c r="AB820">
        <v>4</v>
      </c>
      <c r="AC820" t="s">
        <v>61</v>
      </c>
      <c r="AJ820" t="s">
        <v>69</v>
      </c>
      <c r="AY820" t="s">
        <v>338</v>
      </c>
      <c r="AZ820">
        <v>719</v>
      </c>
      <c r="BA820" t="s">
        <v>339</v>
      </c>
      <c r="BB820" t="s">
        <v>340</v>
      </c>
      <c r="BC820">
        <v>1976</v>
      </c>
      <c r="BD820" t="s">
        <v>341</v>
      </c>
    </row>
    <row r="821" spans="1:56" x14ac:dyDescent="0.35">
      <c r="A821">
        <v>98011</v>
      </c>
      <c r="B821" t="s">
        <v>861</v>
      </c>
      <c r="D821" t="s">
        <v>85</v>
      </c>
      <c r="E821" t="s">
        <v>86</v>
      </c>
      <c r="F821" t="s">
        <v>58</v>
      </c>
      <c r="G821" t="s">
        <v>59</v>
      </c>
      <c r="H821" t="s">
        <v>60</v>
      </c>
      <c r="I821" t="s">
        <v>129</v>
      </c>
      <c r="J821" t="s">
        <v>86</v>
      </c>
      <c r="K821" t="s">
        <v>196</v>
      </c>
      <c r="L821" t="s">
        <v>62</v>
      </c>
      <c r="M821" t="s">
        <v>63</v>
      </c>
      <c r="N821" t="s">
        <v>64</v>
      </c>
      <c r="P821" t="s">
        <v>100</v>
      </c>
      <c r="R821">
        <v>32</v>
      </c>
      <c r="W821" t="s">
        <v>66</v>
      </c>
      <c r="X821" t="s">
        <v>67</v>
      </c>
      <c r="Y821" t="s">
        <v>67</v>
      </c>
      <c r="Z821" t="s">
        <v>68</v>
      </c>
      <c r="AB821">
        <v>4</v>
      </c>
      <c r="AC821" t="s">
        <v>61</v>
      </c>
      <c r="AJ821" t="s">
        <v>69</v>
      </c>
      <c r="AY821" t="s">
        <v>338</v>
      </c>
      <c r="AZ821">
        <v>719</v>
      </c>
      <c r="BA821" t="s">
        <v>339</v>
      </c>
      <c r="BB821" t="s">
        <v>340</v>
      </c>
      <c r="BC821">
        <v>1976</v>
      </c>
      <c r="BD821" t="s">
        <v>341</v>
      </c>
    </row>
    <row r="822" spans="1:56" x14ac:dyDescent="0.35">
      <c r="A822">
        <v>98044</v>
      </c>
      <c r="B822" t="s">
        <v>862</v>
      </c>
      <c r="D822" t="s">
        <v>57</v>
      </c>
      <c r="E822">
        <v>99</v>
      </c>
      <c r="F822" t="s">
        <v>58</v>
      </c>
      <c r="G822" t="s">
        <v>59</v>
      </c>
      <c r="H822" t="s">
        <v>60</v>
      </c>
      <c r="J822">
        <v>33</v>
      </c>
      <c r="K822" t="s">
        <v>61</v>
      </c>
      <c r="L822" t="s">
        <v>74</v>
      </c>
      <c r="M822" t="s">
        <v>63</v>
      </c>
      <c r="N822" t="s">
        <v>64</v>
      </c>
      <c r="P822" t="s">
        <v>65</v>
      </c>
      <c r="R822">
        <v>243</v>
      </c>
      <c r="T822">
        <v>207</v>
      </c>
      <c r="V822">
        <v>285</v>
      </c>
      <c r="W822" t="s">
        <v>66</v>
      </c>
      <c r="X822" t="s">
        <v>67</v>
      </c>
      <c r="Y822" t="s">
        <v>67</v>
      </c>
      <c r="Z822" t="s">
        <v>68</v>
      </c>
      <c r="AB822">
        <v>4</v>
      </c>
      <c r="AC822" t="s">
        <v>61</v>
      </c>
      <c r="AJ822" t="s">
        <v>69</v>
      </c>
      <c r="AY822" t="s">
        <v>80</v>
      </c>
      <c r="AZ822">
        <v>12859</v>
      </c>
      <c r="BA822" t="s">
        <v>81</v>
      </c>
      <c r="BB822" t="s">
        <v>82</v>
      </c>
      <c r="BC822">
        <v>1988</v>
      </c>
      <c r="BD822" t="s">
        <v>73</v>
      </c>
    </row>
    <row r="823" spans="1:56" x14ac:dyDescent="0.35">
      <c r="A823">
        <v>98544</v>
      </c>
      <c r="B823" t="s">
        <v>863</v>
      </c>
      <c r="D823" t="s">
        <v>57</v>
      </c>
      <c r="E823">
        <v>99</v>
      </c>
      <c r="F823" t="s">
        <v>58</v>
      </c>
      <c r="G823" t="s">
        <v>59</v>
      </c>
      <c r="H823" t="s">
        <v>60</v>
      </c>
      <c r="J823">
        <v>31</v>
      </c>
      <c r="K823" t="s">
        <v>61</v>
      </c>
      <c r="L823" t="s">
        <v>74</v>
      </c>
      <c r="M823" t="s">
        <v>63</v>
      </c>
      <c r="N823" t="s">
        <v>64</v>
      </c>
      <c r="O823">
        <v>6</v>
      </c>
      <c r="P823" t="s">
        <v>65</v>
      </c>
      <c r="R823">
        <v>5.15</v>
      </c>
      <c r="T823">
        <v>4.71</v>
      </c>
      <c r="V823">
        <v>5.63</v>
      </c>
      <c r="W823" t="s">
        <v>66</v>
      </c>
      <c r="X823" t="s">
        <v>67</v>
      </c>
      <c r="Y823" t="s">
        <v>67</v>
      </c>
      <c r="Z823" t="s">
        <v>68</v>
      </c>
      <c r="AB823">
        <v>4</v>
      </c>
      <c r="AC823" t="s">
        <v>61</v>
      </c>
      <c r="AJ823" t="s">
        <v>69</v>
      </c>
      <c r="AY823" t="s">
        <v>141</v>
      </c>
      <c r="AZ823">
        <v>12447</v>
      </c>
      <c r="BA823" t="s">
        <v>142</v>
      </c>
      <c r="BB823" t="s">
        <v>143</v>
      </c>
      <c r="BC823">
        <v>1985</v>
      </c>
      <c r="BD823" t="s">
        <v>73</v>
      </c>
    </row>
    <row r="824" spans="1:56" x14ac:dyDescent="0.35">
      <c r="A824">
        <v>98544</v>
      </c>
      <c r="B824" t="s">
        <v>863</v>
      </c>
      <c r="D824" t="s">
        <v>57</v>
      </c>
      <c r="E824" t="s">
        <v>79</v>
      </c>
      <c r="F824" t="s">
        <v>58</v>
      </c>
      <c r="G824" t="s">
        <v>59</v>
      </c>
      <c r="H824" t="s">
        <v>60</v>
      </c>
      <c r="J824" t="s">
        <v>86</v>
      </c>
      <c r="K824" t="s">
        <v>61</v>
      </c>
      <c r="L824" t="s">
        <v>74</v>
      </c>
      <c r="M824" t="s">
        <v>63</v>
      </c>
      <c r="N824" t="s">
        <v>64</v>
      </c>
      <c r="P824" t="s">
        <v>65</v>
      </c>
      <c r="R824">
        <v>5.14</v>
      </c>
      <c r="T824">
        <v>4.71</v>
      </c>
      <c r="V824">
        <v>5.62</v>
      </c>
      <c r="W824" t="s">
        <v>66</v>
      </c>
      <c r="X824" t="s">
        <v>67</v>
      </c>
      <c r="Y824" t="s">
        <v>67</v>
      </c>
      <c r="Z824" t="s">
        <v>68</v>
      </c>
      <c r="AB824">
        <v>4</v>
      </c>
      <c r="AC824" t="s">
        <v>61</v>
      </c>
      <c r="AJ824" t="s">
        <v>69</v>
      </c>
      <c r="AY824" t="s">
        <v>258</v>
      </c>
      <c r="AZ824">
        <v>10954</v>
      </c>
      <c r="BA824" t="s">
        <v>259</v>
      </c>
      <c r="BB824" t="s">
        <v>260</v>
      </c>
      <c r="BC824">
        <v>1984</v>
      </c>
      <c r="BD824" t="s">
        <v>261</v>
      </c>
    </row>
    <row r="825" spans="1:56" x14ac:dyDescent="0.35">
      <c r="A825">
        <v>98828</v>
      </c>
      <c r="B825" t="s">
        <v>864</v>
      </c>
      <c r="D825" t="s">
        <v>57</v>
      </c>
      <c r="E825">
        <v>99</v>
      </c>
      <c r="F825" t="s">
        <v>58</v>
      </c>
      <c r="G825" t="s">
        <v>59</v>
      </c>
      <c r="H825" t="s">
        <v>60</v>
      </c>
      <c r="J825">
        <v>29</v>
      </c>
      <c r="K825" t="s">
        <v>61</v>
      </c>
      <c r="L825" t="s">
        <v>74</v>
      </c>
      <c r="M825" t="s">
        <v>63</v>
      </c>
      <c r="N825" t="s">
        <v>64</v>
      </c>
      <c r="P825" t="s">
        <v>65</v>
      </c>
      <c r="R825">
        <v>6.32</v>
      </c>
      <c r="T825">
        <v>6.04</v>
      </c>
      <c r="V825">
        <v>6.61</v>
      </c>
      <c r="W825" t="s">
        <v>66</v>
      </c>
      <c r="X825" t="s">
        <v>67</v>
      </c>
      <c r="Y825" t="s">
        <v>67</v>
      </c>
      <c r="Z825" t="s">
        <v>68</v>
      </c>
      <c r="AB825">
        <v>4</v>
      </c>
      <c r="AC825" t="s">
        <v>61</v>
      </c>
      <c r="AJ825" t="s">
        <v>69</v>
      </c>
      <c r="AY825" t="s">
        <v>263</v>
      </c>
      <c r="AZ825">
        <v>12858</v>
      </c>
      <c r="BA825" t="s">
        <v>264</v>
      </c>
      <c r="BB825" t="s">
        <v>265</v>
      </c>
      <c r="BC825">
        <v>1986</v>
      </c>
      <c r="BD825" t="s">
        <v>73</v>
      </c>
    </row>
    <row r="826" spans="1:56" x14ac:dyDescent="0.35">
      <c r="A826">
        <v>98862</v>
      </c>
      <c r="B826" t="s">
        <v>865</v>
      </c>
      <c r="E826" t="s">
        <v>86</v>
      </c>
      <c r="F826" t="s">
        <v>58</v>
      </c>
      <c r="G826" t="s">
        <v>59</v>
      </c>
      <c r="H826" t="s">
        <v>60</v>
      </c>
      <c r="I826" t="s">
        <v>129</v>
      </c>
      <c r="J826" t="s">
        <v>86</v>
      </c>
      <c r="K826" t="s">
        <v>61</v>
      </c>
      <c r="L826" t="s">
        <v>74</v>
      </c>
      <c r="M826" t="s">
        <v>63</v>
      </c>
      <c r="N826" t="s">
        <v>64</v>
      </c>
      <c r="P826" t="s">
        <v>100</v>
      </c>
      <c r="R826">
        <v>236</v>
      </c>
      <c r="T826">
        <v>208</v>
      </c>
      <c r="V826">
        <v>268</v>
      </c>
      <c r="W826" t="s">
        <v>66</v>
      </c>
      <c r="X826" t="s">
        <v>67</v>
      </c>
      <c r="Y826" t="s">
        <v>67</v>
      </c>
      <c r="Z826" t="s">
        <v>68</v>
      </c>
      <c r="AB826">
        <v>4</v>
      </c>
      <c r="AC826" t="s">
        <v>61</v>
      </c>
      <c r="AJ826" t="s">
        <v>69</v>
      </c>
      <c r="AY826" t="s">
        <v>422</v>
      </c>
      <c r="AZ826">
        <v>14128</v>
      </c>
      <c r="BA826" t="s">
        <v>423</v>
      </c>
      <c r="BB826" t="s">
        <v>424</v>
      </c>
      <c r="BC826">
        <v>1985</v>
      </c>
      <c r="BD826" t="s">
        <v>833</v>
      </c>
    </row>
    <row r="827" spans="1:56" x14ac:dyDescent="0.35">
      <c r="A827">
        <v>98862</v>
      </c>
      <c r="B827" t="s">
        <v>865</v>
      </c>
      <c r="D827" t="s">
        <v>57</v>
      </c>
      <c r="E827">
        <v>99</v>
      </c>
      <c r="F827" t="s">
        <v>58</v>
      </c>
      <c r="G827" t="s">
        <v>59</v>
      </c>
      <c r="H827" t="s">
        <v>60</v>
      </c>
      <c r="J827">
        <v>31</v>
      </c>
      <c r="K827" t="s">
        <v>61</v>
      </c>
      <c r="L827" t="s">
        <v>74</v>
      </c>
      <c r="M827" t="s">
        <v>63</v>
      </c>
      <c r="N827" t="s">
        <v>64</v>
      </c>
      <c r="P827" t="s">
        <v>65</v>
      </c>
      <c r="R827">
        <v>162</v>
      </c>
      <c r="W827" t="s">
        <v>66</v>
      </c>
      <c r="X827" t="s">
        <v>67</v>
      </c>
      <c r="Y827" t="s">
        <v>67</v>
      </c>
      <c r="Z827" t="s">
        <v>68</v>
      </c>
      <c r="AB827">
        <v>4</v>
      </c>
      <c r="AC827" t="s">
        <v>61</v>
      </c>
      <c r="AJ827" t="s">
        <v>69</v>
      </c>
      <c r="AY827" t="s">
        <v>286</v>
      </c>
      <c r="AZ827">
        <v>12448</v>
      </c>
      <c r="BA827" t="s">
        <v>287</v>
      </c>
      <c r="BB827" t="s">
        <v>288</v>
      </c>
      <c r="BC827">
        <v>1984</v>
      </c>
      <c r="BD827" t="s">
        <v>73</v>
      </c>
    </row>
    <row r="828" spans="1:56" x14ac:dyDescent="0.35">
      <c r="A828">
        <v>98862</v>
      </c>
      <c r="B828" t="s">
        <v>865</v>
      </c>
      <c r="D828" t="s">
        <v>85</v>
      </c>
      <c r="E828" t="s">
        <v>86</v>
      </c>
      <c r="F828" t="s">
        <v>58</v>
      </c>
      <c r="G828" t="s">
        <v>59</v>
      </c>
      <c r="H828" t="s">
        <v>60</v>
      </c>
      <c r="I828" t="s">
        <v>129</v>
      </c>
      <c r="J828" t="s">
        <v>86</v>
      </c>
      <c r="K828" t="s">
        <v>196</v>
      </c>
      <c r="L828" t="s">
        <v>62</v>
      </c>
      <c r="M828" t="s">
        <v>63</v>
      </c>
      <c r="N828" t="s">
        <v>64</v>
      </c>
      <c r="P828" t="s">
        <v>100</v>
      </c>
      <c r="R828">
        <v>155</v>
      </c>
      <c r="W828" t="s">
        <v>66</v>
      </c>
      <c r="X828" t="s">
        <v>67</v>
      </c>
      <c r="Y828" t="s">
        <v>67</v>
      </c>
      <c r="Z828" t="s">
        <v>68</v>
      </c>
      <c r="AB828">
        <v>4</v>
      </c>
      <c r="AC828" t="s">
        <v>61</v>
      </c>
      <c r="AJ828" t="s">
        <v>69</v>
      </c>
      <c r="AY828" t="s">
        <v>338</v>
      </c>
      <c r="AZ828">
        <v>719</v>
      </c>
      <c r="BA828" t="s">
        <v>339</v>
      </c>
      <c r="BB828" t="s">
        <v>340</v>
      </c>
      <c r="BC828">
        <v>1976</v>
      </c>
      <c r="BD828" t="s">
        <v>341</v>
      </c>
    </row>
    <row r="829" spans="1:56" x14ac:dyDescent="0.35">
      <c r="A829">
        <v>98884</v>
      </c>
      <c r="B829" t="s">
        <v>866</v>
      </c>
      <c r="D829" t="s">
        <v>57</v>
      </c>
      <c r="E829" t="s">
        <v>86</v>
      </c>
      <c r="F829" t="s">
        <v>58</v>
      </c>
      <c r="G829" t="s">
        <v>59</v>
      </c>
      <c r="H829" t="s">
        <v>60</v>
      </c>
      <c r="J829" t="s">
        <v>86</v>
      </c>
      <c r="L829" t="s">
        <v>62</v>
      </c>
      <c r="M829" t="s">
        <v>63</v>
      </c>
      <c r="N829" t="s">
        <v>64</v>
      </c>
      <c r="P829" t="s">
        <v>65</v>
      </c>
      <c r="R829">
        <v>34.700000000000003</v>
      </c>
      <c r="T829">
        <v>28.5</v>
      </c>
      <c r="V829">
        <v>45.3</v>
      </c>
      <c r="W829" t="s">
        <v>66</v>
      </c>
      <c r="X829" t="s">
        <v>67</v>
      </c>
      <c r="Y829" t="s">
        <v>67</v>
      </c>
      <c r="Z829" t="s">
        <v>68</v>
      </c>
      <c r="AB829">
        <v>4</v>
      </c>
      <c r="AC829" t="s">
        <v>61</v>
      </c>
      <c r="AJ829" t="s">
        <v>69</v>
      </c>
      <c r="AY829" t="s">
        <v>818</v>
      </c>
      <c r="AZ829">
        <v>875</v>
      </c>
      <c r="BA829" t="s">
        <v>819</v>
      </c>
      <c r="BB829" t="s">
        <v>820</v>
      </c>
      <c r="BC829">
        <v>1979</v>
      </c>
      <c r="BD829" t="s">
        <v>90</v>
      </c>
    </row>
    <row r="830" spans="1:56" x14ac:dyDescent="0.35">
      <c r="A830">
        <v>98884</v>
      </c>
      <c r="B830" t="s">
        <v>866</v>
      </c>
      <c r="D830" t="s">
        <v>57</v>
      </c>
      <c r="E830" t="s">
        <v>86</v>
      </c>
      <c r="F830" t="s">
        <v>58</v>
      </c>
      <c r="G830" t="s">
        <v>59</v>
      </c>
      <c r="H830" t="s">
        <v>60</v>
      </c>
      <c r="J830" t="s">
        <v>86</v>
      </c>
      <c r="L830" t="s">
        <v>62</v>
      </c>
      <c r="M830" t="s">
        <v>63</v>
      </c>
      <c r="N830" t="s">
        <v>64</v>
      </c>
      <c r="O830" t="s">
        <v>267</v>
      </c>
      <c r="P830" t="s">
        <v>65</v>
      </c>
      <c r="R830">
        <v>34.1</v>
      </c>
      <c r="T830">
        <v>28.5</v>
      </c>
      <c r="V830">
        <v>45.3</v>
      </c>
      <c r="W830" t="s">
        <v>66</v>
      </c>
      <c r="X830" t="s">
        <v>67</v>
      </c>
      <c r="Y830" t="s">
        <v>67</v>
      </c>
      <c r="Z830" t="s">
        <v>68</v>
      </c>
      <c r="AB830">
        <v>4</v>
      </c>
      <c r="AC830" t="s">
        <v>61</v>
      </c>
      <c r="AJ830" t="s">
        <v>69</v>
      </c>
      <c r="AY830" t="s">
        <v>268</v>
      </c>
      <c r="AZ830">
        <v>2965</v>
      </c>
      <c r="BA830" t="s">
        <v>269</v>
      </c>
      <c r="BB830" t="s">
        <v>270</v>
      </c>
      <c r="BC830">
        <v>1981</v>
      </c>
      <c r="BD830" t="s">
        <v>90</v>
      </c>
    </row>
    <row r="831" spans="1:56" x14ac:dyDescent="0.35">
      <c r="A831">
        <v>98884</v>
      </c>
      <c r="B831" t="s">
        <v>866</v>
      </c>
      <c r="D831" t="s">
        <v>57</v>
      </c>
      <c r="E831" t="s">
        <v>86</v>
      </c>
      <c r="F831" t="s">
        <v>58</v>
      </c>
      <c r="G831" t="s">
        <v>59</v>
      </c>
      <c r="H831" t="s">
        <v>60</v>
      </c>
      <c r="J831" t="s">
        <v>86</v>
      </c>
      <c r="L831" t="s">
        <v>62</v>
      </c>
      <c r="M831" t="s">
        <v>63</v>
      </c>
      <c r="N831" t="s">
        <v>64</v>
      </c>
      <c r="P831" t="s">
        <v>65</v>
      </c>
      <c r="R831">
        <v>34.700000000000003</v>
      </c>
      <c r="T831">
        <v>28.5</v>
      </c>
      <c r="V831">
        <v>45.3</v>
      </c>
      <c r="W831" t="s">
        <v>66</v>
      </c>
      <c r="X831" t="s">
        <v>67</v>
      </c>
      <c r="Y831" t="s">
        <v>67</v>
      </c>
      <c r="Z831" t="s">
        <v>68</v>
      </c>
      <c r="AB831">
        <v>4</v>
      </c>
      <c r="AC831" t="s">
        <v>61</v>
      </c>
      <c r="AJ831" t="s">
        <v>69</v>
      </c>
      <c r="AY831" t="s">
        <v>818</v>
      </c>
      <c r="AZ831">
        <v>5735</v>
      </c>
      <c r="BA831" t="s">
        <v>821</v>
      </c>
      <c r="BB831" t="s">
        <v>822</v>
      </c>
      <c r="BC831">
        <v>1978</v>
      </c>
      <c r="BD831" t="s">
        <v>90</v>
      </c>
    </row>
    <row r="832" spans="1:56" x14ac:dyDescent="0.35">
      <c r="A832">
        <v>98953</v>
      </c>
      <c r="B832" t="s">
        <v>867</v>
      </c>
      <c r="D832" t="s">
        <v>57</v>
      </c>
      <c r="E832">
        <v>99</v>
      </c>
      <c r="F832" t="s">
        <v>58</v>
      </c>
      <c r="G832" t="s">
        <v>59</v>
      </c>
      <c r="H832" t="s">
        <v>60</v>
      </c>
      <c r="J832">
        <v>34</v>
      </c>
      <c r="K832" t="s">
        <v>61</v>
      </c>
      <c r="L832" t="s">
        <v>74</v>
      </c>
      <c r="M832" t="s">
        <v>63</v>
      </c>
      <c r="N832" t="s">
        <v>64</v>
      </c>
      <c r="P832" t="s">
        <v>65</v>
      </c>
      <c r="R832">
        <v>119</v>
      </c>
      <c r="T832">
        <v>107</v>
      </c>
      <c r="V832">
        <v>133</v>
      </c>
      <c r="W832" t="s">
        <v>66</v>
      </c>
      <c r="X832" t="s">
        <v>67</v>
      </c>
      <c r="Y832" t="s">
        <v>67</v>
      </c>
      <c r="Z832" t="s">
        <v>68</v>
      </c>
      <c r="AB832">
        <v>4</v>
      </c>
      <c r="AC832" t="s">
        <v>61</v>
      </c>
      <c r="AJ832" t="s">
        <v>69</v>
      </c>
      <c r="AY832" t="s">
        <v>141</v>
      </c>
      <c r="AZ832">
        <v>12447</v>
      </c>
      <c r="BA832" t="s">
        <v>142</v>
      </c>
      <c r="BB832" t="s">
        <v>143</v>
      </c>
      <c r="BC832">
        <v>1985</v>
      </c>
      <c r="BD832" t="s">
        <v>73</v>
      </c>
    </row>
    <row r="833" spans="1:56" x14ac:dyDescent="0.35">
      <c r="A833">
        <v>98953</v>
      </c>
      <c r="B833" t="s">
        <v>867</v>
      </c>
      <c r="D833" t="s">
        <v>57</v>
      </c>
      <c r="E833" t="s">
        <v>79</v>
      </c>
      <c r="F833" t="s">
        <v>58</v>
      </c>
      <c r="G833" t="s">
        <v>59</v>
      </c>
      <c r="H833" t="s">
        <v>60</v>
      </c>
      <c r="I833" t="s">
        <v>188</v>
      </c>
      <c r="J833" t="s">
        <v>289</v>
      </c>
      <c r="K833" t="s">
        <v>184</v>
      </c>
      <c r="L833" t="s">
        <v>74</v>
      </c>
      <c r="M833" t="s">
        <v>63</v>
      </c>
      <c r="N833" t="s">
        <v>64</v>
      </c>
      <c r="P833" t="s">
        <v>65</v>
      </c>
      <c r="R833">
        <v>44.1</v>
      </c>
      <c r="T833">
        <v>40.94</v>
      </c>
      <c r="V833">
        <v>47.51</v>
      </c>
      <c r="W833" t="s">
        <v>66</v>
      </c>
      <c r="X833" t="s">
        <v>67</v>
      </c>
      <c r="Y833" t="s">
        <v>290</v>
      </c>
      <c r="Z833" t="s">
        <v>68</v>
      </c>
      <c r="AB833">
        <v>4</v>
      </c>
      <c r="AC833" t="s">
        <v>61</v>
      </c>
      <c r="AJ833" t="s">
        <v>69</v>
      </c>
      <c r="AY833" t="s">
        <v>291</v>
      </c>
      <c r="AZ833">
        <v>3910</v>
      </c>
      <c r="BA833" t="s">
        <v>292</v>
      </c>
      <c r="BB833" t="s">
        <v>293</v>
      </c>
      <c r="BC833">
        <v>1992</v>
      </c>
      <c r="BD833" t="s">
        <v>185</v>
      </c>
    </row>
    <row r="834" spans="1:56" x14ac:dyDescent="0.35">
      <c r="A834">
        <v>98953</v>
      </c>
      <c r="B834" t="s">
        <v>867</v>
      </c>
      <c r="D834" t="s">
        <v>57</v>
      </c>
      <c r="E834">
        <v>99</v>
      </c>
      <c r="F834" t="s">
        <v>58</v>
      </c>
      <c r="G834" t="s">
        <v>59</v>
      </c>
      <c r="H834" t="s">
        <v>60</v>
      </c>
      <c r="J834" t="s">
        <v>86</v>
      </c>
      <c r="L834" t="s">
        <v>62</v>
      </c>
      <c r="M834" t="s">
        <v>63</v>
      </c>
      <c r="N834" t="s">
        <v>64</v>
      </c>
      <c r="O834">
        <v>6</v>
      </c>
      <c r="P834" t="s">
        <v>65</v>
      </c>
      <c r="R834">
        <v>130</v>
      </c>
      <c r="T834">
        <v>120</v>
      </c>
      <c r="V834">
        <v>150</v>
      </c>
      <c r="W834" t="s">
        <v>66</v>
      </c>
      <c r="X834" t="s">
        <v>67</v>
      </c>
      <c r="Y834" t="s">
        <v>67</v>
      </c>
      <c r="Z834" t="s">
        <v>68</v>
      </c>
      <c r="AB834">
        <v>4</v>
      </c>
      <c r="AC834" t="s">
        <v>61</v>
      </c>
      <c r="AJ834" t="s">
        <v>69</v>
      </c>
      <c r="AY834" t="s">
        <v>351</v>
      </c>
      <c r="AZ834">
        <v>9994</v>
      </c>
      <c r="BA834" t="s">
        <v>352</v>
      </c>
      <c r="BB834" t="s">
        <v>353</v>
      </c>
      <c r="BC834">
        <v>1982</v>
      </c>
      <c r="BD834" t="s">
        <v>90</v>
      </c>
    </row>
    <row r="835" spans="1:56" x14ac:dyDescent="0.35">
      <c r="A835">
        <v>98953</v>
      </c>
      <c r="B835" t="s">
        <v>867</v>
      </c>
      <c r="D835" t="s">
        <v>57</v>
      </c>
      <c r="E835" t="s">
        <v>79</v>
      </c>
      <c r="F835" t="s">
        <v>58</v>
      </c>
      <c r="G835" t="s">
        <v>59</v>
      </c>
      <c r="H835" t="s">
        <v>60</v>
      </c>
      <c r="I835" t="s">
        <v>129</v>
      </c>
      <c r="J835" t="s">
        <v>86</v>
      </c>
      <c r="K835" t="s">
        <v>61</v>
      </c>
      <c r="L835" t="s">
        <v>74</v>
      </c>
      <c r="M835" t="s">
        <v>63</v>
      </c>
      <c r="N835" t="s">
        <v>64</v>
      </c>
      <c r="P835" t="s">
        <v>65</v>
      </c>
      <c r="R835">
        <v>119</v>
      </c>
      <c r="T835">
        <v>107</v>
      </c>
      <c r="V835">
        <v>133</v>
      </c>
      <c r="W835" t="s">
        <v>66</v>
      </c>
      <c r="X835" t="s">
        <v>67</v>
      </c>
      <c r="Y835" t="s">
        <v>290</v>
      </c>
      <c r="Z835" t="s">
        <v>68</v>
      </c>
      <c r="AB835">
        <v>4</v>
      </c>
      <c r="AC835" t="s">
        <v>61</v>
      </c>
      <c r="AJ835" t="s">
        <v>69</v>
      </c>
      <c r="AY835" t="s">
        <v>291</v>
      </c>
      <c r="AZ835">
        <v>3910</v>
      </c>
      <c r="BA835" t="s">
        <v>292</v>
      </c>
      <c r="BB835" t="s">
        <v>293</v>
      </c>
      <c r="BC835">
        <v>1992</v>
      </c>
      <c r="BD835" t="s">
        <v>294</v>
      </c>
    </row>
    <row r="836" spans="1:56" x14ac:dyDescent="0.35">
      <c r="A836">
        <v>98953</v>
      </c>
      <c r="B836" t="s">
        <v>867</v>
      </c>
      <c r="D836" t="s">
        <v>57</v>
      </c>
      <c r="E836">
        <v>99</v>
      </c>
      <c r="F836" t="s">
        <v>58</v>
      </c>
      <c r="G836" t="s">
        <v>59</v>
      </c>
      <c r="H836" t="s">
        <v>60</v>
      </c>
      <c r="J836" t="s">
        <v>86</v>
      </c>
      <c r="K836" t="s">
        <v>61</v>
      </c>
      <c r="L836" t="s">
        <v>74</v>
      </c>
      <c r="M836" t="s">
        <v>63</v>
      </c>
      <c r="N836" t="s">
        <v>64</v>
      </c>
      <c r="P836" t="s">
        <v>65</v>
      </c>
      <c r="R836">
        <v>117</v>
      </c>
      <c r="T836">
        <v>105</v>
      </c>
      <c r="V836">
        <v>130</v>
      </c>
      <c r="W836" t="s">
        <v>66</v>
      </c>
      <c r="X836" t="s">
        <v>67</v>
      </c>
      <c r="Y836" t="s">
        <v>67</v>
      </c>
      <c r="Z836" t="s">
        <v>68</v>
      </c>
      <c r="AB836">
        <v>4</v>
      </c>
      <c r="AC836" t="s">
        <v>61</v>
      </c>
      <c r="AJ836" t="s">
        <v>69</v>
      </c>
      <c r="AY836" t="s">
        <v>258</v>
      </c>
      <c r="AZ836">
        <v>10954</v>
      </c>
      <c r="BA836" t="s">
        <v>259</v>
      </c>
      <c r="BB836" t="s">
        <v>260</v>
      </c>
      <c r="BC836">
        <v>1984</v>
      </c>
      <c r="BD836" t="s">
        <v>261</v>
      </c>
    </row>
    <row r="837" spans="1:56" x14ac:dyDescent="0.35">
      <c r="A837">
        <v>98953</v>
      </c>
      <c r="B837" t="s">
        <v>867</v>
      </c>
      <c r="D837" t="s">
        <v>57</v>
      </c>
      <c r="E837">
        <v>99</v>
      </c>
      <c r="F837" t="s">
        <v>58</v>
      </c>
      <c r="G837" t="s">
        <v>59</v>
      </c>
      <c r="H837" t="s">
        <v>60</v>
      </c>
      <c r="J837" t="s">
        <v>86</v>
      </c>
      <c r="L837" t="s">
        <v>74</v>
      </c>
      <c r="M837" t="s">
        <v>63</v>
      </c>
      <c r="N837" t="s">
        <v>64</v>
      </c>
      <c r="O837">
        <v>6</v>
      </c>
      <c r="P837" t="s">
        <v>65</v>
      </c>
      <c r="R837">
        <v>100</v>
      </c>
      <c r="T837">
        <v>90</v>
      </c>
      <c r="V837">
        <v>120</v>
      </c>
      <c r="W837" t="s">
        <v>66</v>
      </c>
      <c r="X837" t="s">
        <v>67</v>
      </c>
      <c r="Y837" t="s">
        <v>67</v>
      </c>
      <c r="Z837" t="s">
        <v>68</v>
      </c>
      <c r="AB837">
        <v>4</v>
      </c>
      <c r="AC837" t="s">
        <v>61</v>
      </c>
      <c r="AJ837" t="s">
        <v>69</v>
      </c>
      <c r="AY837" t="s">
        <v>351</v>
      </c>
      <c r="AZ837">
        <v>9994</v>
      </c>
      <c r="BA837" t="s">
        <v>352</v>
      </c>
      <c r="BB837" t="s">
        <v>353</v>
      </c>
      <c r="BC837">
        <v>1982</v>
      </c>
      <c r="BD837" t="s">
        <v>90</v>
      </c>
    </row>
    <row r="838" spans="1:56" x14ac:dyDescent="0.35">
      <c r="A838">
        <v>99036</v>
      </c>
      <c r="B838" t="s">
        <v>868</v>
      </c>
      <c r="D838" t="s">
        <v>57</v>
      </c>
      <c r="E838">
        <v>97</v>
      </c>
      <c r="F838" t="s">
        <v>58</v>
      </c>
      <c r="G838" t="s">
        <v>59</v>
      </c>
      <c r="H838" t="s">
        <v>60</v>
      </c>
      <c r="J838">
        <v>29</v>
      </c>
      <c r="K838" t="s">
        <v>61</v>
      </c>
      <c r="L838" t="s">
        <v>74</v>
      </c>
      <c r="M838" t="s">
        <v>63</v>
      </c>
      <c r="N838" t="s">
        <v>64</v>
      </c>
      <c r="O838">
        <v>6</v>
      </c>
      <c r="P838" t="s">
        <v>65</v>
      </c>
      <c r="R838">
        <v>382</v>
      </c>
      <c r="W838" t="s">
        <v>66</v>
      </c>
      <c r="X838" t="s">
        <v>67</v>
      </c>
      <c r="Y838" t="s">
        <v>67</v>
      </c>
      <c r="Z838" t="s">
        <v>68</v>
      </c>
      <c r="AB838">
        <v>4</v>
      </c>
      <c r="AC838" t="s">
        <v>61</v>
      </c>
      <c r="AJ838" t="s">
        <v>69</v>
      </c>
      <c r="AY838" t="s">
        <v>286</v>
      </c>
      <c r="AZ838">
        <v>12448</v>
      </c>
      <c r="BA838" t="s">
        <v>287</v>
      </c>
      <c r="BB838" t="s">
        <v>288</v>
      </c>
      <c r="BC838">
        <v>1984</v>
      </c>
      <c r="BD838" t="s">
        <v>73</v>
      </c>
    </row>
    <row r="839" spans="1:56" x14ac:dyDescent="0.35">
      <c r="A839">
        <v>99081</v>
      </c>
      <c r="B839" t="s">
        <v>869</v>
      </c>
      <c r="D839" t="s">
        <v>85</v>
      </c>
      <c r="E839" t="s">
        <v>86</v>
      </c>
      <c r="F839" t="s">
        <v>58</v>
      </c>
      <c r="G839" t="s">
        <v>59</v>
      </c>
      <c r="H839" t="s">
        <v>60</v>
      </c>
      <c r="I839" t="s">
        <v>129</v>
      </c>
      <c r="J839" t="s">
        <v>86</v>
      </c>
      <c r="L839" t="s">
        <v>62</v>
      </c>
      <c r="M839" t="s">
        <v>63</v>
      </c>
      <c r="N839" t="s">
        <v>64</v>
      </c>
      <c r="P839" t="s">
        <v>65</v>
      </c>
      <c r="R839">
        <v>32.5</v>
      </c>
      <c r="T839">
        <v>29.9</v>
      </c>
      <c r="V839">
        <v>34.700000000000003</v>
      </c>
      <c r="W839" t="s">
        <v>66</v>
      </c>
      <c r="X839" t="s">
        <v>67</v>
      </c>
      <c r="Y839" t="s">
        <v>67</v>
      </c>
      <c r="Z839" t="s">
        <v>68</v>
      </c>
      <c r="AB839">
        <v>4</v>
      </c>
      <c r="AC839" t="s">
        <v>61</v>
      </c>
      <c r="AJ839" t="s">
        <v>69</v>
      </c>
      <c r="AY839" t="s">
        <v>718</v>
      </c>
      <c r="AZ839">
        <v>10141</v>
      </c>
      <c r="BA839" t="s">
        <v>719</v>
      </c>
      <c r="BB839" t="s">
        <v>720</v>
      </c>
      <c r="BC839">
        <v>1983</v>
      </c>
      <c r="BD839" t="s">
        <v>721</v>
      </c>
    </row>
    <row r="840" spans="1:56" x14ac:dyDescent="0.35">
      <c r="A840">
        <v>99081</v>
      </c>
      <c r="B840" t="s">
        <v>869</v>
      </c>
      <c r="D840" t="s">
        <v>57</v>
      </c>
      <c r="E840">
        <v>99</v>
      </c>
      <c r="F840" t="s">
        <v>58</v>
      </c>
      <c r="G840" t="s">
        <v>59</v>
      </c>
      <c r="H840" t="s">
        <v>60</v>
      </c>
      <c r="J840">
        <v>33</v>
      </c>
      <c r="K840" t="s">
        <v>61</v>
      </c>
      <c r="L840" t="s">
        <v>74</v>
      </c>
      <c r="M840" t="s">
        <v>63</v>
      </c>
      <c r="N840" t="s">
        <v>64</v>
      </c>
      <c r="O840">
        <v>6</v>
      </c>
      <c r="P840" t="s">
        <v>65</v>
      </c>
      <c r="R840">
        <v>25.6</v>
      </c>
      <c r="W840" t="s">
        <v>66</v>
      </c>
      <c r="X840" t="s">
        <v>67</v>
      </c>
      <c r="Y840" t="s">
        <v>67</v>
      </c>
      <c r="Z840" t="s">
        <v>68</v>
      </c>
      <c r="AB840">
        <v>4</v>
      </c>
      <c r="AC840" t="s">
        <v>61</v>
      </c>
      <c r="AJ840" t="s">
        <v>69</v>
      </c>
      <c r="AY840" t="s">
        <v>263</v>
      </c>
      <c r="AZ840">
        <v>12858</v>
      </c>
      <c r="BA840" t="s">
        <v>264</v>
      </c>
      <c r="BB840" t="s">
        <v>265</v>
      </c>
      <c r="BC840">
        <v>1986</v>
      </c>
      <c r="BD840" t="s">
        <v>73</v>
      </c>
    </row>
    <row r="841" spans="1:56" x14ac:dyDescent="0.35">
      <c r="A841">
        <v>99081</v>
      </c>
      <c r="B841" t="s">
        <v>869</v>
      </c>
      <c r="D841" t="s">
        <v>85</v>
      </c>
      <c r="E841" t="s">
        <v>86</v>
      </c>
      <c r="F841" t="s">
        <v>58</v>
      </c>
      <c r="G841" t="s">
        <v>59</v>
      </c>
      <c r="H841" t="s">
        <v>60</v>
      </c>
      <c r="J841" t="s">
        <v>86</v>
      </c>
      <c r="L841" t="s">
        <v>62</v>
      </c>
      <c r="M841" t="s">
        <v>63</v>
      </c>
      <c r="N841" t="s">
        <v>64</v>
      </c>
      <c r="P841" t="s">
        <v>100</v>
      </c>
      <c r="T841">
        <v>19</v>
      </c>
      <c r="V841">
        <v>50</v>
      </c>
      <c r="W841" t="s">
        <v>66</v>
      </c>
      <c r="X841" t="s">
        <v>67</v>
      </c>
      <c r="Y841" t="s">
        <v>67</v>
      </c>
      <c r="Z841" t="s">
        <v>68</v>
      </c>
      <c r="AB841">
        <v>4</v>
      </c>
      <c r="AC841" t="s">
        <v>61</v>
      </c>
      <c r="AJ841" t="s">
        <v>69</v>
      </c>
      <c r="AY841" t="s">
        <v>715</v>
      </c>
      <c r="AZ841">
        <v>5671</v>
      </c>
      <c r="BA841" t="s">
        <v>716</v>
      </c>
      <c r="BB841" t="s">
        <v>717</v>
      </c>
      <c r="BC841">
        <v>1977</v>
      </c>
      <c r="BD841" t="s">
        <v>90</v>
      </c>
    </row>
    <row r="842" spans="1:56" x14ac:dyDescent="0.35">
      <c r="A842">
        <v>99081</v>
      </c>
      <c r="B842" t="s">
        <v>869</v>
      </c>
      <c r="D842" t="s">
        <v>85</v>
      </c>
      <c r="E842" t="s">
        <v>86</v>
      </c>
      <c r="F842" t="s">
        <v>58</v>
      </c>
      <c r="G842" t="s">
        <v>59</v>
      </c>
      <c r="H842" t="s">
        <v>60</v>
      </c>
      <c r="I842" t="s">
        <v>129</v>
      </c>
      <c r="J842" t="s">
        <v>86</v>
      </c>
      <c r="K842" t="s">
        <v>196</v>
      </c>
      <c r="L842" t="s">
        <v>62</v>
      </c>
      <c r="M842" t="s">
        <v>63</v>
      </c>
      <c r="N842" t="s">
        <v>64</v>
      </c>
      <c r="P842" t="s">
        <v>100</v>
      </c>
      <c r="R842">
        <v>30</v>
      </c>
      <c r="W842" t="s">
        <v>66</v>
      </c>
      <c r="X842" t="s">
        <v>67</v>
      </c>
      <c r="Y842" t="s">
        <v>67</v>
      </c>
      <c r="Z842" t="s">
        <v>68</v>
      </c>
      <c r="AB842">
        <v>4</v>
      </c>
      <c r="AC842" t="s">
        <v>61</v>
      </c>
      <c r="AJ842" t="s">
        <v>69</v>
      </c>
      <c r="AY842" t="s">
        <v>338</v>
      </c>
      <c r="AZ842">
        <v>719</v>
      </c>
      <c r="BA842" t="s">
        <v>339</v>
      </c>
      <c r="BB842" t="s">
        <v>340</v>
      </c>
      <c r="BC842">
        <v>1976</v>
      </c>
      <c r="BD842" t="s">
        <v>341</v>
      </c>
    </row>
    <row r="843" spans="1:56" x14ac:dyDescent="0.35">
      <c r="A843">
        <v>99116</v>
      </c>
      <c r="B843" t="s">
        <v>870</v>
      </c>
      <c r="D843" t="s">
        <v>85</v>
      </c>
      <c r="E843" t="s">
        <v>86</v>
      </c>
      <c r="F843" t="s">
        <v>58</v>
      </c>
      <c r="G843" t="s">
        <v>59</v>
      </c>
      <c r="H843" t="s">
        <v>60</v>
      </c>
      <c r="J843" t="s">
        <v>86</v>
      </c>
      <c r="L843" t="s">
        <v>62</v>
      </c>
      <c r="M843" t="s">
        <v>63</v>
      </c>
      <c r="N843" t="s">
        <v>64</v>
      </c>
      <c r="O843">
        <v>4</v>
      </c>
      <c r="P843" t="s">
        <v>100</v>
      </c>
      <c r="Q843" t="s">
        <v>153</v>
      </c>
      <c r="R843">
        <v>100</v>
      </c>
      <c r="W843" t="s">
        <v>66</v>
      </c>
      <c r="X843" t="s">
        <v>67</v>
      </c>
      <c r="Y843" t="s">
        <v>67</v>
      </c>
      <c r="Z843" t="s">
        <v>68</v>
      </c>
      <c r="AB843">
        <v>4</v>
      </c>
      <c r="AC843" t="s">
        <v>61</v>
      </c>
      <c r="AJ843" t="s">
        <v>69</v>
      </c>
      <c r="AY843" t="s">
        <v>173</v>
      </c>
      <c r="AZ843">
        <v>167113</v>
      </c>
      <c r="BA843" t="s">
        <v>174</v>
      </c>
      <c r="BB843" t="s">
        <v>175</v>
      </c>
      <c r="BC843">
        <v>1974</v>
      </c>
      <c r="BD843" t="s">
        <v>90</v>
      </c>
    </row>
    <row r="844" spans="1:56" x14ac:dyDescent="0.35">
      <c r="A844">
        <v>99354</v>
      </c>
      <c r="B844" t="s">
        <v>871</v>
      </c>
      <c r="D844" t="s">
        <v>85</v>
      </c>
      <c r="E844" t="s">
        <v>86</v>
      </c>
      <c r="F844" t="s">
        <v>58</v>
      </c>
      <c r="G844" t="s">
        <v>59</v>
      </c>
      <c r="H844" t="s">
        <v>60</v>
      </c>
      <c r="J844" t="s">
        <v>86</v>
      </c>
      <c r="L844" t="s">
        <v>62</v>
      </c>
      <c r="M844" t="s">
        <v>63</v>
      </c>
      <c r="N844" t="s">
        <v>64</v>
      </c>
      <c r="P844" t="s">
        <v>100</v>
      </c>
      <c r="R844">
        <v>1.1000000000000001</v>
      </c>
      <c r="T844">
        <v>1</v>
      </c>
      <c r="V844">
        <v>1.2</v>
      </c>
      <c r="W844" t="s">
        <v>66</v>
      </c>
      <c r="X844" t="s">
        <v>67</v>
      </c>
      <c r="Y844" t="s">
        <v>67</v>
      </c>
      <c r="Z844" t="s">
        <v>68</v>
      </c>
      <c r="AB844">
        <v>4</v>
      </c>
      <c r="AC844" t="s">
        <v>61</v>
      </c>
      <c r="AJ844" t="s">
        <v>69</v>
      </c>
      <c r="AY844" t="s">
        <v>872</v>
      </c>
      <c r="AZ844">
        <v>73461</v>
      </c>
      <c r="BA844" t="s">
        <v>873</v>
      </c>
      <c r="BB844" t="s">
        <v>874</v>
      </c>
      <c r="BC844">
        <v>1983</v>
      </c>
      <c r="BD844" t="s">
        <v>90</v>
      </c>
    </row>
    <row r="845" spans="1:56" x14ac:dyDescent="0.35">
      <c r="A845">
        <v>99354</v>
      </c>
      <c r="B845" t="s">
        <v>871</v>
      </c>
      <c r="D845" t="s">
        <v>57</v>
      </c>
      <c r="E845" t="s">
        <v>428</v>
      </c>
      <c r="F845" t="s">
        <v>58</v>
      </c>
      <c r="G845" t="s">
        <v>59</v>
      </c>
      <c r="H845" t="s">
        <v>60</v>
      </c>
      <c r="J845" t="s">
        <v>86</v>
      </c>
      <c r="K845" t="s">
        <v>196</v>
      </c>
      <c r="L845" t="s">
        <v>62</v>
      </c>
      <c r="M845" t="s">
        <v>63</v>
      </c>
      <c r="N845" t="s">
        <v>64</v>
      </c>
      <c r="P845" t="s">
        <v>65</v>
      </c>
      <c r="R845">
        <v>0.49</v>
      </c>
      <c r="T845">
        <v>0.44</v>
      </c>
      <c r="V845">
        <v>0.56000000000000005</v>
      </c>
      <c r="W845" t="s">
        <v>66</v>
      </c>
      <c r="X845" t="s">
        <v>67</v>
      </c>
      <c r="Y845" t="s">
        <v>67</v>
      </c>
      <c r="Z845" t="s">
        <v>68</v>
      </c>
      <c r="AB845">
        <v>4</v>
      </c>
      <c r="AC845" t="s">
        <v>61</v>
      </c>
      <c r="AJ845" t="s">
        <v>69</v>
      </c>
      <c r="AY845" t="s">
        <v>875</v>
      </c>
      <c r="AZ845">
        <v>11830</v>
      </c>
      <c r="BA845" t="s">
        <v>876</v>
      </c>
      <c r="BB845" t="s">
        <v>877</v>
      </c>
      <c r="BC845">
        <v>1983</v>
      </c>
      <c r="BD845" t="s">
        <v>878</v>
      </c>
    </row>
    <row r="846" spans="1:56" x14ac:dyDescent="0.35">
      <c r="A846">
        <v>99354</v>
      </c>
      <c r="B846" t="s">
        <v>871</v>
      </c>
      <c r="D846" t="s">
        <v>85</v>
      </c>
      <c r="E846" t="s">
        <v>86</v>
      </c>
      <c r="F846" t="s">
        <v>58</v>
      </c>
      <c r="G846" t="s">
        <v>59</v>
      </c>
      <c r="H846" t="s">
        <v>60</v>
      </c>
      <c r="I846" t="s">
        <v>129</v>
      </c>
      <c r="J846" t="s">
        <v>86</v>
      </c>
      <c r="L846" t="s">
        <v>62</v>
      </c>
      <c r="M846" t="s">
        <v>63</v>
      </c>
      <c r="N846" t="s">
        <v>64</v>
      </c>
      <c r="P846" t="s">
        <v>100</v>
      </c>
      <c r="R846">
        <v>1.03</v>
      </c>
      <c r="W846" t="s">
        <v>66</v>
      </c>
      <c r="X846" t="s">
        <v>67</v>
      </c>
      <c r="Y846" t="s">
        <v>67</v>
      </c>
      <c r="Z846" t="s">
        <v>68</v>
      </c>
      <c r="AB846">
        <v>4</v>
      </c>
      <c r="AC846" t="s">
        <v>61</v>
      </c>
      <c r="AJ846" t="s">
        <v>69</v>
      </c>
      <c r="AY846" t="s">
        <v>722</v>
      </c>
      <c r="AZ846">
        <v>5087</v>
      </c>
      <c r="BA846" t="s">
        <v>723</v>
      </c>
      <c r="BB846" t="s">
        <v>724</v>
      </c>
      <c r="BC846">
        <v>1979</v>
      </c>
      <c r="BD846" t="s">
        <v>90</v>
      </c>
    </row>
    <row r="847" spans="1:56" x14ac:dyDescent="0.35">
      <c r="A847">
        <v>99354</v>
      </c>
      <c r="B847" t="s">
        <v>871</v>
      </c>
      <c r="D847" t="s">
        <v>85</v>
      </c>
      <c r="E847" t="s">
        <v>86</v>
      </c>
      <c r="F847" t="s">
        <v>58</v>
      </c>
      <c r="G847" t="s">
        <v>59</v>
      </c>
      <c r="H847" t="s">
        <v>60</v>
      </c>
      <c r="I847" t="s">
        <v>129</v>
      </c>
      <c r="J847" t="s">
        <v>86</v>
      </c>
      <c r="L847" t="s">
        <v>62</v>
      </c>
      <c r="M847" t="s">
        <v>63</v>
      </c>
      <c r="N847" t="s">
        <v>64</v>
      </c>
      <c r="P847" t="s">
        <v>65</v>
      </c>
      <c r="R847">
        <v>1.1000000000000001</v>
      </c>
      <c r="T847">
        <v>1</v>
      </c>
      <c r="V847">
        <v>1.2</v>
      </c>
      <c r="W847" t="s">
        <v>66</v>
      </c>
      <c r="X847" t="s">
        <v>67</v>
      </c>
      <c r="Y847" t="s">
        <v>67</v>
      </c>
      <c r="Z847" t="s">
        <v>68</v>
      </c>
      <c r="AB847">
        <v>4</v>
      </c>
      <c r="AC847" t="s">
        <v>61</v>
      </c>
      <c r="AJ847" t="s">
        <v>69</v>
      </c>
      <c r="AY847" t="s">
        <v>718</v>
      </c>
      <c r="AZ847">
        <v>10141</v>
      </c>
      <c r="BA847" t="s">
        <v>719</v>
      </c>
      <c r="BB847" t="s">
        <v>720</v>
      </c>
      <c r="BC847">
        <v>1983</v>
      </c>
      <c r="BD847" t="s">
        <v>721</v>
      </c>
    </row>
    <row r="848" spans="1:56" x14ac:dyDescent="0.35">
      <c r="A848">
        <v>99354</v>
      </c>
      <c r="B848" t="s">
        <v>871</v>
      </c>
      <c r="D848" t="s">
        <v>85</v>
      </c>
      <c r="E848" t="s">
        <v>86</v>
      </c>
      <c r="F848" t="s">
        <v>58</v>
      </c>
      <c r="G848" t="s">
        <v>59</v>
      </c>
      <c r="H848" t="s">
        <v>60</v>
      </c>
      <c r="J848" t="s">
        <v>86</v>
      </c>
      <c r="L848" t="s">
        <v>62</v>
      </c>
      <c r="M848" t="s">
        <v>63</v>
      </c>
      <c r="N848" t="s">
        <v>64</v>
      </c>
      <c r="P848" t="s">
        <v>100</v>
      </c>
      <c r="Q848" t="s">
        <v>435</v>
      </c>
      <c r="R848">
        <v>5</v>
      </c>
      <c r="W848" t="s">
        <v>66</v>
      </c>
      <c r="X848" t="s">
        <v>67</v>
      </c>
      <c r="Y848" t="s">
        <v>67</v>
      </c>
      <c r="Z848" t="s">
        <v>68</v>
      </c>
      <c r="AB848">
        <v>4</v>
      </c>
      <c r="AC848" t="s">
        <v>61</v>
      </c>
      <c r="AJ848" t="s">
        <v>69</v>
      </c>
      <c r="AY848" t="s">
        <v>715</v>
      </c>
      <c r="AZ848">
        <v>5671</v>
      </c>
      <c r="BA848" t="s">
        <v>716</v>
      </c>
      <c r="BB848" t="s">
        <v>717</v>
      </c>
      <c r="BC848">
        <v>1977</v>
      </c>
      <c r="BD848" t="s">
        <v>90</v>
      </c>
    </row>
    <row r="849" spans="1:56" x14ac:dyDescent="0.35">
      <c r="A849">
        <v>99525</v>
      </c>
      <c r="B849" t="s">
        <v>879</v>
      </c>
      <c r="D849" t="s">
        <v>85</v>
      </c>
      <c r="E849" t="s">
        <v>86</v>
      </c>
      <c r="F849" t="s">
        <v>58</v>
      </c>
      <c r="G849" t="s">
        <v>59</v>
      </c>
      <c r="H849" t="s">
        <v>60</v>
      </c>
      <c r="I849" t="s">
        <v>129</v>
      </c>
      <c r="J849" t="s">
        <v>86</v>
      </c>
      <c r="L849" t="s">
        <v>62</v>
      </c>
      <c r="M849" t="s">
        <v>63</v>
      </c>
      <c r="N849" t="s">
        <v>64</v>
      </c>
      <c r="P849" t="s">
        <v>65</v>
      </c>
      <c r="R849">
        <v>86.7</v>
      </c>
      <c r="T849">
        <v>20.8</v>
      </c>
      <c r="V849">
        <v>116</v>
      </c>
      <c r="W849" t="s">
        <v>66</v>
      </c>
      <c r="X849" t="s">
        <v>67</v>
      </c>
      <c r="Y849" t="s">
        <v>67</v>
      </c>
      <c r="Z849" t="s">
        <v>68</v>
      </c>
      <c r="AB849">
        <v>4</v>
      </c>
      <c r="AC849" t="s">
        <v>61</v>
      </c>
      <c r="AJ849" t="s">
        <v>69</v>
      </c>
      <c r="AY849" t="s">
        <v>718</v>
      </c>
      <c r="AZ849">
        <v>10141</v>
      </c>
      <c r="BA849" t="s">
        <v>719</v>
      </c>
      <c r="BB849" t="s">
        <v>720</v>
      </c>
      <c r="BC849">
        <v>1983</v>
      </c>
      <c r="BD849" t="s">
        <v>721</v>
      </c>
    </row>
    <row r="850" spans="1:56" x14ac:dyDescent="0.35">
      <c r="A850">
        <v>99558</v>
      </c>
      <c r="B850" t="s">
        <v>880</v>
      </c>
      <c r="D850" t="s">
        <v>85</v>
      </c>
      <c r="E850" t="s">
        <v>86</v>
      </c>
      <c r="F850" t="s">
        <v>58</v>
      </c>
      <c r="G850" t="s">
        <v>59</v>
      </c>
      <c r="H850" t="s">
        <v>60</v>
      </c>
      <c r="I850" t="s">
        <v>129</v>
      </c>
      <c r="J850" t="s">
        <v>86</v>
      </c>
      <c r="L850" t="s">
        <v>62</v>
      </c>
      <c r="M850" t="s">
        <v>63</v>
      </c>
      <c r="N850" t="s">
        <v>64</v>
      </c>
      <c r="P850" t="s">
        <v>100</v>
      </c>
      <c r="R850">
        <v>71.3</v>
      </c>
      <c r="W850" t="s">
        <v>66</v>
      </c>
      <c r="X850" t="s">
        <v>67</v>
      </c>
      <c r="Y850" t="s">
        <v>67</v>
      </c>
      <c r="Z850" t="s">
        <v>68</v>
      </c>
      <c r="AB850">
        <v>4</v>
      </c>
      <c r="AC850" t="s">
        <v>61</v>
      </c>
      <c r="AJ850" t="s">
        <v>69</v>
      </c>
      <c r="AY850" t="s">
        <v>722</v>
      </c>
      <c r="AZ850">
        <v>5087</v>
      </c>
      <c r="BA850" t="s">
        <v>723</v>
      </c>
      <c r="BB850" t="s">
        <v>724</v>
      </c>
      <c r="BC850">
        <v>1979</v>
      </c>
      <c r="BD850" t="s">
        <v>90</v>
      </c>
    </row>
    <row r="851" spans="1:56" x14ac:dyDescent="0.35">
      <c r="A851">
        <v>99558</v>
      </c>
      <c r="B851" t="s">
        <v>880</v>
      </c>
      <c r="D851" t="s">
        <v>85</v>
      </c>
      <c r="E851" t="s">
        <v>86</v>
      </c>
      <c r="F851" t="s">
        <v>58</v>
      </c>
      <c r="G851" t="s">
        <v>59</v>
      </c>
      <c r="H851" t="s">
        <v>60</v>
      </c>
      <c r="I851" t="s">
        <v>129</v>
      </c>
      <c r="J851" t="s">
        <v>86</v>
      </c>
      <c r="L851" t="s">
        <v>62</v>
      </c>
      <c r="M851" t="s">
        <v>63</v>
      </c>
      <c r="N851" t="s">
        <v>64</v>
      </c>
      <c r="P851" t="s">
        <v>65</v>
      </c>
      <c r="R851">
        <v>68.8</v>
      </c>
      <c r="T851">
        <v>64.2</v>
      </c>
      <c r="V851">
        <v>74.2</v>
      </c>
      <c r="W851" t="s">
        <v>66</v>
      </c>
      <c r="X851" t="s">
        <v>67</v>
      </c>
      <c r="Y851" t="s">
        <v>67</v>
      </c>
      <c r="Z851" t="s">
        <v>68</v>
      </c>
      <c r="AB851">
        <v>4</v>
      </c>
      <c r="AC851" t="s">
        <v>61</v>
      </c>
      <c r="AJ851" t="s">
        <v>69</v>
      </c>
      <c r="AY851" t="s">
        <v>718</v>
      </c>
      <c r="AZ851">
        <v>10141</v>
      </c>
      <c r="BA851" t="s">
        <v>719</v>
      </c>
      <c r="BB851" t="s">
        <v>720</v>
      </c>
      <c r="BC851">
        <v>1983</v>
      </c>
      <c r="BD851" t="s">
        <v>721</v>
      </c>
    </row>
    <row r="852" spans="1:56" x14ac:dyDescent="0.35">
      <c r="A852">
        <v>99558</v>
      </c>
      <c r="B852" t="s">
        <v>880</v>
      </c>
      <c r="D852" t="s">
        <v>85</v>
      </c>
      <c r="E852" t="s">
        <v>86</v>
      </c>
      <c r="F852" t="s">
        <v>58</v>
      </c>
      <c r="G852" t="s">
        <v>59</v>
      </c>
      <c r="H852" t="s">
        <v>60</v>
      </c>
      <c r="J852" t="s">
        <v>86</v>
      </c>
      <c r="L852" t="s">
        <v>62</v>
      </c>
      <c r="M852" t="s">
        <v>63</v>
      </c>
      <c r="N852" t="s">
        <v>64</v>
      </c>
      <c r="P852" t="s">
        <v>100</v>
      </c>
      <c r="T852">
        <v>19</v>
      </c>
      <c r="V852">
        <v>50</v>
      </c>
      <c r="W852" t="s">
        <v>66</v>
      </c>
      <c r="X852" t="s">
        <v>67</v>
      </c>
      <c r="Y852" t="s">
        <v>67</v>
      </c>
      <c r="Z852" t="s">
        <v>68</v>
      </c>
      <c r="AB852">
        <v>4</v>
      </c>
      <c r="AC852" t="s">
        <v>61</v>
      </c>
      <c r="AJ852" t="s">
        <v>69</v>
      </c>
      <c r="AY852" t="s">
        <v>715</v>
      </c>
      <c r="AZ852">
        <v>5671</v>
      </c>
      <c r="BA852" t="s">
        <v>716</v>
      </c>
      <c r="BB852" t="s">
        <v>717</v>
      </c>
      <c r="BC852">
        <v>1977</v>
      </c>
      <c r="BD852" t="s">
        <v>90</v>
      </c>
    </row>
    <row r="853" spans="1:56" x14ac:dyDescent="0.35">
      <c r="A853">
        <v>99616</v>
      </c>
      <c r="B853" t="s">
        <v>881</v>
      </c>
      <c r="D853" t="s">
        <v>57</v>
      </c>
      <c r="E853" t="s">
        <v>86</v>
      </c>
      <c r="F853" t="s">
        <v>58</v>
      </c>
      <c r="G853" t="s">
        <v>59</v>
      </c>
      <c r="H853" t="s">
        <v>60</v>
      </c>
      <c r="J853" t="s">
        <v>86</v>
      </c>
      <c r="L853" t="s">
        <v>62</v>
      </c>
      <c r="M853" t="s">
        <v>63</v>
      </c>
      <c r="N853" t="s">
        <v>64</v>
      </c>
      <c r="O853" t="s">
        <v>267</v>
      </c>
      <c r="P853" t="s">
        <v>65</v>
      </c>
      <c r="R853">
        <v>5.8</v>
      </c>
      <c r="T853">
        <v>4.7</v>
      </c>
      <c r="V853">
        <v>7</v>
      </c>
      <c r="W853" t="s">
        <v>66</v>
      </c>
      <c r="X853" t="s">
        <v>67</v>
      </c>
      <c r="Y853" t="s">
        <v>67</v>
      </c>
      <c r="Z853" t="s">
        <v>68</v>
      </c>
      <c r="AB853">
        <v>4</v>
      </c>
      <c r="AC853" t="s">
        <v>61</v>
      </c>
      <c r="AJ853" t="s">
        <v>69</v>
      </c>
      <c r="AY853" t="s">
        <v>268</v>
      </c>
      <c r="AZ853">
        <v>2965</v>
      </c>
      <c r="BA853" t="s">
        <v>269</v>
      </c>
      <c r="BB853" t="s">
        <v>270</v>
      </c>
      <c r="BC853">
        <v>1981</v>
      </c>
      <c r="BD853" t="s">
        <v>90</v>
      </c>
    </row>
    <row r="854" spans="1:56" x14ac:dyDescent="0.35">
      <c r="A854">
        <v>99616</v>
      </c>
      <c r="B854" t="s">
        <v>881</v>
      </c>
      <c r="D854" t="s">
        <v>57</v>
      </c>
      <c r="E854" t="s">
        <v>86</v>
      </c>
      <c r="F854" t="s">
        <v>58</v>
      </c>
      <c r="G854" t="s">
        <v>59</v>
      </c>
      <c r="H854" t="s">
        <v>60</v>
      </c>
      <c r="J854" t="s">
        <v>86</v>
      </c>
      <c r="L854" t="s">
        <v>62</v>
      </c>
      <c r="M854" t="s">
        <v>63</v>
      </c>
      <c r="N854" t="s">
        <v>64</v>
      </c>
      <c r="P854" t="s">
        <v>65</v>
      </c>
      <c r="R854">
        <v>5.8</v>
      </c>
      <c r="T854">
        <v>4.7</v>
      </c>
      <c r="V854">
        <v>7</v>
      </c>
      <c r="W854" t="s">
        <v>66</v>
      </c>
      <c r="X854" t="s">
        <v>67</v>
      </c>
      <c r="Y854" t="s">
        <v>67</v>
      </c>
      <c r="Z854" t="s">
        <v>68</v>
      </c>
      <c r="AB854">
        <v>4</v>
      </c>
      <c r="AC854" t="s">
        <v>61</v>
      </c>
      <c r="AJ854" t="s">
        <v>69</v>
      </c>
      <c r="AY854" t="s">
        <v>304</v>
      </c>
      <c r="AZ854">
        <v>2966</v>
      </c>
      <c r="BA854" t="s">
        <v>305</v>
      </c>
      <c r="BB854" t="s">
        <v>306</v>
      </c>
      <c r="BC854">
        <v>1981</v>
      </c>
      <c r="BD854" t="s">
        <v>90</v>
      </c>
    </row>
    <row r="855" spans="1:56" x14ac:dyDescent="0.35">
      <c r="A855">
        <v>99650</v>
      </c>
      <c r="B855" t="s">
        <v>882</v>
      </c>
      <c r="D855" t="s">
        <v>57</v>
      </c>
      <c r="E855" t="s">
        <v>86</v>
      </c>
      <c r="F855" t="s">
        <v>58</v>
      </c>
      <c r="G855" t="s">
        <v>59</v>
      </c>
      <c r="H855" t="s">
        <v>60</v>
      </c>
      <c r="J855" t="s">
        <v>86</v>
      </c>
      <c r="L855" t="s">
        <v>62</v>
      </c>
      <c r="M855" t="s">
        <v>63</v>
      </c>
      <c r="N855" t="s">
        <v>64</v>
      </c>
      <c r="P855" t="s">
        <v>65</v>
      </c>
      <c r="R855">
        <v>15.9</v>
      </c>
      <c r="T855">
        <v>11.9</v>
      </c>
      <c r="V855">
        <v>19.899999999999999</v>
      </c>
      <c r="W855" t="s">
        <v>66</v>
      </c>
      <c r="X855" t="s">
        <v>67</v>
      </c>
      <c r="Y855" t="s">
        <v>67</v>
      </c>
      <c r="Z855" t="s">
        <v>68</v>
      </c>
      <c r="AB855">
        <v>4</v>
      </c>
      <c r="AC855" t="s">
        <v>61</v>
      </c>
      <c r="AJ855" t="s">
        <v>69</v>
      </c>
      <c r="AY855" t="s">
        <v>304</v>
      </c>
      <c r="AZ855">
        <v>2966</v>
      </c>
      <c r="BA855" t="s">
        <v>305</v>
      </c>
      <c r="BB855" t="s">
        <v>306</v>
      </c>
      <c r="BC855">
        <v>1981</v>
      </c>
      <c r="BD855" t="s">
        <v>90</v>
      </c>
    </row>
    <row r="856" spans="1:56" x14ac:dyDescent="0.35">
      <c r="A856">
        <v>99650</v>
      </c>
      <c r="B856" t="s">
        <v>882</v>
      </c>
      <c r="D856" t="s">
        <v>85</v>
      </c>
      <c r="E856" t="s">
        <v>86</v>
      </c>
      <c r="F856" t="s">
        <v>58</v>
      </c>
      <c r="G856" t="s">
        <v>59</v>
      </c>
      <c r="H856" t="s">
        <v>60</v>
      </c>
      <c r="I856" t="s">
        <v>129</v>
      </c>
      <c r="J856" t="s">
        <v>86</v>
      </c>
      <c r="L856" t="s">
        <v>62</v>
      </c>
      <c r="M856" t="s">
        <v>63</v>
      </c>
      <c r="N856" t="s">
        <v>64</v>
      </c>
      <c r="P856" t="s">
        <v>65</v>
      </c>
      <c r="R856">
        <v>7</v>
      </c>
      <c r="T856">
        <v>5.8</v>
      </c>
      <c r="V856">
        <v>8.1</v>
      </c>
      <c r="W856" t="s">
        <v>66</v>
      </c>
      <c r="X856" t="s">
        <v>67</v>
      </c>
      <c r="Y856" t="s">
        <v>67</v>
      </c>
      <c r="Z856" t="s">
        <v>68</v>
      </c>
      <c r="AB856">
        <v>4</v>
      </c>
      <c r="AC856" t="s">
        <v>61</v>
      </c>
      <c r="AJ856" t="s">
        <v>69</v>
      </c>
      <c r="AY856" t="s">
        <v>718</v>
      </c>
      <c r="AZ856">
        <v>10141</v>
      </c>
      <c r="BA856" t="s">
        <v>719</v>
      </c>
      <c r="BB856" t="s">
        <v>720</v>
      </c>
      <c r="BC856">
        <v>1983</v>
      </c>
      <c r="BD856" t="s">
        <v>721</v>
      </c>
    </row>
    <row r="857" spans="1:56" x14ac:dyDescent="0.35">
      <c r="A857">
        <v>99650</v>
      </c>
      <c r="B857" t="s">
        <v>882</v>
      </c>
      <c r="D857" t="s">
        <v>85</v>
      </c>
      <c r="E857" t="s">
        <v>86</v>
      </c>
      <c r="F857" t="s">
        <v>58</v>
      </c>
      <c r="G857" t="s">
        <v>59</v>
      </c>
      <c r="H857" t="s">
        <v>60</v>
      </c>
      <c r="J857" t="s">
        <v>86</v>
      </c>
      <c r="L857" t="s">
        <v>62</v>
      </c>
      <c r="M857" t="s">
        <v>63</v>
      </c>
      <c r="N857" t="s">
        <v>64</v>
      </c>
      <c r="P857" t="s">
        <v>100</v>
      </c>
      <c r="T857">
        <v>5</v>
      </c>
      <c r="V857">
        <v>15</v>
      </c>
      <c r="W857" t="s">
        <v>66</v>
      </c>
      <c r="X857" t="s">
        <v>67</v>
      </c>
      <c r="Y857" t="s">
        <v>67</v>
      </c>
      <c r="Z857" t="s">
        <v>68</v>
      </c>
      <c r="AB857">
        <v>4</v>
      </c>
      <c r="AC857" t="s">
        <v>61</v>
      </c>
      <c r="AJ857" t="s">
        <v>69</v>
      </c>
      <c r="AY857" t="s">
        <v>715</v>
      </c>
      <c r="AZ857">
        <v>5671</v>
      </c>
      <c r="BA857" t="s">
        <v>716</v>
      </c>
      <c r="BB857" t="s">
        <v>717</v>
      </c>
      <c r="BC857">
        <v>1977</v>
      </c>
      <c r="BD857" t="s">
        <v>90</v>
      </c>
    </row>
    <row r="858" spans="1:56" x14ac:dyDescent="0.35">
      <c r="A858">
        <v>99650</v>
      </c>
      <c r="B858" t="s">
        <v>882</v>
      </c>
      <c r="D858" t="s">
        <v>57</v>
      </c>
      <c r="E858" t="s">
        <v>428</v>
      </c>
      <c r="F858" t="s">
        <v>58</v>
      </c>
      <c r="G858" t="s">
        <v>59</v>
      </c>
      <c r="H858" t="s">
        <v>60</v>
      </c>
      <c r="J858" t="s">
        <v>86</v>
      </c>
      <c r="K858" t="s">
        <v>196</v>
      </c>
      <c r="L858" t="s">
        <v>62</v>
      </c>
      <c r="M858" t="s">
        <v>63</v>
      </c>
      <c r="N858" t="s">
        <v>64</v>
      </c>
      <c r="P858" t="s">
        <v>65</v>
      </c>
      <c r="R858">
        <v>16.8</v>
      </c>
      <c r="W858" t="s">
        <v>66</v>
      </c>
      <c r="X858" t="s">
        <v>67</v>
      </c>
      <c r="Y858" t="s">
        <v>67</v>
      </c>
      <c r="Z858" t="s">
        <v>68</v>
      </c>
      <c r="AB858">
        <v>4</v>
      </c>
      <c r="AC858" t="s">
        <v>61</v>
      </c>
      <c r="AJ858" t="s">
        <v>69</v>
      </c>
      <c r="AY858" t="s">
        <v>875</v>
      </c>
      <c r="AZ858">
        <v>11830</v>
      </c>
      <c r="BA858" t="s">
        <v>876</v>
      </c>
      <c r="BB858" t="s">
        <v>877</v>
      </c>
      <c r="BC858">
        <v>1983</v>
      </c>
      <c r="BD858" t="s">
        <v>878</v>
      </c>
    </row>
    <row r="859" spans="1:56" x14ac:dyDescent="0.35">
      <c r="A859">
        <v>99650</v>
      </c>
      <c r="B859" t="s">
        <v>882</v>
      </c>
      <c r="D859" t="s">
        <v>85</v>
      </c>
      <c r="E859" t="s">
        <v>86</v>
      </c>
      <c r="F859" t="s">
        <v>58</v>
      </c>
      <c r="G859" t="s">
        <v>59</v>
      </c>
      <c r="H859" t="s">
        <v>60</v>
      </c>
      <c r="I859" t="s">
        <v>129</v>
      </c>
      <c r="J859" t="s">
        <v>86</v>
      </c>
      <c r="L859" t="s">
        <v>62</v>
      </c>
      <c r="M859" t="s">
        <v>63</v>
      </c>
      <c r="N859" t="s">
        <v>64</v>
      </c>
      <c r="P859" t="s">
        <v>100</v>
      </c>
      <c r="R859">
        <v>7.4</v>
      </c>
      <c r="W859" t="s">
        <v>66</v>
      </c>
      <c r="X859" t="s">
        <v>67</v>
      </c>
      <c r="Y859" t="s">
        <v>67</v>
      </c>
      <c r="Z859" t="s">
        <v>68</v>
      </c>
      <c r="AB859">
        <v>4</v>
      </c>
      <c r="AC859" t="s">
        <v>61</v>
      </c>
      <c r="AJ859" t="s">
        <v>69</v>
      </c>
      <c r="AY859" t="s">
        <v>722</v>
      </c>
      <c r="AZ859">
        <v>5087</v>
      </c>
      <c r="BA859" t="s">
        <v>723</v>
      </c>
      <c r="BB859" t="s">
        <v>724</v>
      </c>
      <c r="BC859">
        <v>1979</v>
      </c>
      <c r="BD859" t="s">
        <v>90</v>
      </c>
    </row>
    <row r="860" spans="1:56" x14ac:dyDescent="0.35">
      <c r="A860">
        <v>99865</v>
      </c>
      <c r="B860" t="s">
        <v>883</v>
      </c>
      <c r="D860" t="s">
        <v>57</v>
      </c>
      <c r="E860">
        <v>92.3</v>
      </c>
      <c r="F860" t="s">
        <v>58</v>
      </c>
      <c r="G860" t="s">
        <v>59</v>
      </c>
      <c r="H860" t="s">
        <v>60</v>
      </c>
      <c r="I860" t="s">
        <v>129</v>
      </c>
      <c r="J860">
        <v>31</v>
      </c>
      <c r="K860" t="s">
        <v>61</v>
      </c>
      <c r="L860" t="s">
        <v>74</v>
      </c>
      <c r="M860" t="s">
        <v>63</v>
      </c>
      <c r="N860" t="s">
        <v>64</v>
      </c>
      <c r="O860">
        <v>6</v>
      </c>
      <c r="P860" t="s">
        <v>65</v>
      </c>
      <c r="R860">
        <v>3.15</v>
      </c>
      <c r="T860">
        <v>2.92</v>
      </c>
      <c r="V860">
        <v>3.4</v>
      </c>
      <c r="W860" t="s">
        <v>66</v>
      </c>
      <c r="X860" t="s">
        <v>67</v>
      </c>
      <c r="Y860" t="s">
        <v>67</v>
      </c>
      <c r="Z860" t="s">
        <v>68</v>
      </c>
      <c r="AB860">
        <v>4</v>
      </c>
      <c r="AC860" t="s">
        <v>61</v>
      </c>
      <c r="AJ860" t="s">
        <v>69</v>
      </c>
      <c r="AY860" t="s">
        <v>884</v>
      </c>
      <c r="AZ860">
        <v>97161</v>
      </c>
      <c r="BA860" t="s">
        <v>885</v>
      </c>
      <c r="BB860" t="s">
        <v>886</v>
      </c>
      <c r="BC860">
        <v>1990</v>
      </c>
      <c r="BD860" t="s">
        <v>73</v>
      </c>
    </row>
    <row r="861" spans="1:56" x14ac:dyDescent="0.35">
      <c r="A861">
        <v>99978</v>
      </c>
      <c r="B861" t="s">
        <v>887</v>
      </c>
      <c r="E861" t="s">
        <v>86</v>
      </c>
      <c r="F861" t="s">
        <v>58</v>
      </c>
      <c r="G861" t="s">
        <v>59</v>
      </c>
      <c r="H861" t="s">
        <v>60</v>
      </c>
      <c r="I861" t="s">
        <v>129</v>
      </c>
      <c r="J861" t="s">
        <v>86</v>
      </c>
      <c r="K861" t="s">
        <v>61</v>
      </c>
      <c r="L861" t="s">
        <v>74</v>
      </c>
      <c r="M861" t="s">
        <v>63</v>
      </c>
      <c r="N861" t="s">
        <v>64</v>
      </c>
      <c r="P861" t="s">
        <v>100</v>
      </c>
      <c r="R861">
        <v>52.8</v>
      </c>
      <c r="T861">
        <v>50</v>
      </c>
      <c r="V861">
        <v>55.6</v>
      </c>
      <c r="W861" t="s">
        <v>66</v>
      </c>
      <c r="X861" t="s">
        <v>67</v>
      </c>
      <c r="Y861" t="s">
        <v>67</v>
      </c>
      <c r="Z861" t="s">
        <v>68</v>
      </c>
      <c r="AB861">
        <v>4</v>
      </c>
      <c r="AC861" t="s">
        <v>61</v>
      </c>
      <c r="AJ861" t="s">
        <v>69</v>
      </c>
      <c r="AY861" t="s">
        <v>422</v>
      </c>
      <c r="AZ861">
        <v>14128</v>
      </c>
      <c r="BA861" t="s">
        <v>423</v>
      </c>
      <c r="BB861" t="s">
        <v>424</v>
      </c>
      <c r="BC861">
        <v>1985</v>
      </c>
      <c r="BD861" t="s">
        <v>833</v>
      </c>
    </row>
    <row r="862" spans="1:56" x14ac:dyDescent="0.35">
      <c r="A862">
        <v>99978</v>
      </c>
      <c r="B862" t="s">
        <v>887</v>
      </c>
      <c r="D862" t="s">
        <v>57</v>
      </c>
      <c r="E862">
        <v>99</v>
      </c>
      <c r="F862" t="s">
        <v>58</v>
      </c>
      <c r="G862" t="s">
        <v>59</v>
      </c>
      <c r="H862" t="s">
        <v>60</v>
      </c>
      <c r="J862">
        <v>35</v>
      </c>
      <c r="K862" t="s">
        <v>61</v>
      </c>
      <c r="L862" t="s">
        <v>74</v>
      </c>
      <c r="M862" t="s">
        <v>63</v>
      </c>
      <c r="N862" t="s">
        <v>64</v>
      </c>
      <c r="P862" t="s">
        <v>65</v>
      </c>
      <c r="R862">
        <v>52</v>
      </c>
      <c r="W862" t="s">
        <v>66</v>
      </c>
      <c r="X862" t="s">
        <v>67</v>
      </c>
      <c r="Y862" t="s">
        <v>67</v>
      </c>
      <c r="Z862" t="s">
        <v>68</v>
      </c>
      <c r="AB862">
        <v>4</v>
      </c>
      <c r="AC862" t="s">
        <v>61</v>
      </c>
      <c r="AJ862" t="s">
        <v>69</v>
      </c>
      <c r="AY862" t="s">
        <v>263</v>
      </c>
      <c r="AZ862">
        <v>12858</v>
      </c>
      <c r="BA862" t="s">
        <v>264</v>
      </c>
      <c r="BB862" t="s">
        <v>265</v>
      </c>
      <c r="BC862">
        <v>1986</v>
      </c>
      <c r="BD862" t="s">
        <v>73</v>
      </c>
    </row>
    <row r="863" spans="1:56" x14ac:dyDescent="0.35">
      <c r="A863">
        <v>99978</v>
      </c>
      <c r="B863" t="s">
        <v>887</v>
      </c>
      <c r="D863" t="s">
        <v>57</v>
      </c>
      <c r="E863">
        <v>99</v>
      </c>
      <c r="F863" t="s">
        <v>58</v>
      </c>
      <c r="G863" t="s">
        <v>59</v>
      </c>
      <c r="H863" t="s">
        <v>60</v>
      </c>
      <c r="J863">
        <v>32</v>
      </c>
      <c r="K863" t="s">
        <v>61</v>
      </c>
      <c r="L863" t="s">
        <v>74</v>
      </c>
      <c r="M863" t="s">
        <v>63</v>
      </c>
      <c r="N863" t="s">
        <v>64</v>
      </c>
      <c r="P863" t="s">
        <v>65</v>
      </c>
      <c r="R863">
        <v>46</v>
      </c>
      <c r="T863">
        <v>42</v>
      </c>
      <c r="V863">
        <v>50.5</v>
      </c>
      <c r="W863" t="s">
        <v>66</v>
      </c>
      <c r="X863" t="s">
        <v>67</v>
      </c>
      <c r="Y863" t="s">
        <v>67</v>
      </c>
      <c r="Z863" t="s">
        <v>68</v>
      </c>
      <c r="AB863">
        <v>4</v>
      </c>
      <c r="AC863" t="s">
        <v>61</v>
      </c>
      <c r="AJ863" t="s">
        <v>69</v>
      </c>
      <c r="AY863" t="s">
        <v>263</v>
      </c>
      <c r="AZ863">
        <v>12858</v>
      </c>
      <c r="BA863" t="s">
        <v>264</v>
      </c>
      <c r="BB863" t="s">
        <v>265</v>
      </c>
      <c r="BC863">
        <v>1986</v>
      </c>
      <c r="BD863" t="s">
        <v>73</v>
      </c>
    </row>
    <row r="864" spans="1:56" x14ac:dyDescent="0.35">
      <c r="A864">
        <v>99990</v>
      </c>
      <c r="B864" t="s">
        <v>888</v>
      </c>
      <c r="D864" t="s">
        <v>85</v>
      </c>
      <c r="E864" t="s">
        <v>86</v>
      </c>
      <c r="F864" t="s">
        <v>58</v>
      </c>
      <c r="G864" t="s">
        <v>59</v>
      </c>
      <c r="H864" t="s">
        <v>60</v>
      </c>
      <c r="I864" t="s">
        <v>129</v>
      </c>
      <c r="J864" t="s">
        <v>86</v>
      </c>
      <c r="L864" t="s">
        <v>62</v>
      </c>
      <c r="M864" t="s">
        <v>63</v>
      </c>
      <c r="N864" t="s">
        <v>64</v>
      </c>
      <c r="P864" t="s">
        <v>100</v>
      </c>
      <c r="R864">
        <v>49.9</v>
      </c>
      <c r="W864" t="s">
        <v>66</v>
      </c>
      <c r="X864" t="s">
        <v>67</v>
      </c>
      <c r="Y864" t="s">
        <v>67</v>
      </c>
      <c r="Z864" t="s">
        <v>68</v>
      </c>
      <c r="AB864">
        <v>4</v>
      </c>
      <c r="AC864" t="s">
        <v>61</v>
      </c>
      <c r="AJ864" t="s">
        <v>69</v>
      </c>
      <c r="AY864" t="s">
        <v>722</v>
      </c>
      <c r="AZ864">
        <v>5087</v>
      </c>
      <c r="BA864" t="s">
        <v>723</v>
      </c>
      <c r="BB864" t="s">
        <v>724</v>
      </c>
      <c r="BC864">
        <v>1979</v>
      </c>
      <c r="BD864" t="s">
        <v>90</v>
      </c>
    </row>
    <row r="865" spans="1:56" x14ac:dyDescent="0.35">
      <c r="A865">
        <v>99990</v>
      </c>
      <c r="B865" t="s">
        <v>888</v>
      </c>
      <c r="D865" t="s">
        <v>85</v>
      </c>
      <c r="E865" t="s">
        <v>86</v>
      </c>
      <c r="F865" t="s">
        <v>58</v>
      </c>
      <c r="G865" t="s">
        <v>59</v>
      </c>
      <c r="H865" t="s">
        <v>60</v>
      </c>
      <c r="J865" t="s">
        <v>86</v>
      </c>
      <c r="L865" t="s">
        <v>62</v>
      </c>
      <c r="M865" t="s">
        <v>63</v>
      </c>
      <c r="N865" t="s">
        <v>64</v>
      </c>
      <c r="P865" t="s">
        <v>100</v>
      </c>
      <c r="T865">
        <v>19</v>
      </c>
      <c r="V865">
        <v>50</v>
      </c>
      <c r="W865" t="s">
        <v>66</v>
      </c>
      <c r="X865" t="s">
        <v>67</v>
      </c>
      <c r="Y865" t="s">
        <v>67</v>
      </c>
      <c r="Z865" t="s">
        <v>68</v>
      </c>
      <c r="AB865">
        <v>4</v>
      </c>
      <c r="AC865" t="s">
        <v>61</v>
      </c>
      <c r="AJ865" t="s">
        <v>69</v>
      </c>
      <c r="AY865" t="s">
        <v>715</v>
      </c>
      <c r="AZ865">
        <v>5671</v>
      </c>
      <c r="BA865" t="s">
        <v>716</v>
      </c>
      <c r="BB865" t="s">
        <v>717</v>
      </c>
      <c r="BC865">
        <v>1977</v>
      </c>
      <c r="BD865" t="s">
        <v>90</v>
      </c>
    </row>
    <row r="866" spans="1:56" x14ac:dyDescent="0.35">
      <c r="A866">
        <v>99990</v>
      </c>
      <c r="B866" t="s">
        <v>888</v>
      </c>
      <c r="D866" t="s">
        <v>85</v>
      </c>
      <c r="E866" t="s">
        <v>86</v>
      </c>
      <c r="F866" t="s">
        <v>58</v>
      </c>
      <c r="G866" t="s">
        <v>59</v>
      </c>
      <c r="H866" t="s">
        <v>60</v>
      </c>
      <c r="I866" t="s">
        <v>129</v>
      </c>
      <c r="J866" t="s">
        <v>86</v>
      </c>
      <c r="L866" t="s">
        <v>62</v>
      </c>
      <c r="M866" t="s">
        <v>63</v>
      </c>
      <c r="N866" t="s">
        <v>64</v>
      </c>
      <c r="P866" t="s">
        <v>65</v>
      </c>
      <c r="R866">
        <v>49.7</v>
      </c>
      <c r="T866">
        <v>46.4</v>
      </c>
      <c r="V866">
        <v>52.6</v>
      </c>
      <c r="W866" t="s">
        <v>66</v>
      </c>
      <c r="X866" t="s">
        <v>67</v>
      </c>
      <c r="Y866" t="s">
        <v>67</v>
      </c>
      <c r="Z866" t="s">
        <v>68</v>
      </c>
      <c r="AB866">
        <v>4</v>
      </c>
      <c r="AC866" t="s">
        <v>61</v>
      </c>
      <c r="AJ866" t="s">
        <v>69</v>
      </c>
      <c r="AY866" t="s">
        <v>718</v>
      </c>
      <c r="AZ866">
        <v>10141</v>
      </c>
      <c r="BA866" t="s">
        <v>719</v>
      </c>
      <c r="BB866" t="s">
        <v>720</v>
      </c>
      <c r="BC866">
        <v>1983</v>
      </c>
      <c r="BD866" t="s">
        <v>721</v>
      </c>
    </row>
    <row r="867" spans="1:56" x14ac:dyDescent="0.35">
      <c r="A867">
        <v>100016</v>
      </c>
      <c r="B867" t="s">
        <v>889</v>
      </c>
      <c r="D867" t="s">
        <v>57</v>
      </c>
      <c r="E867" t="s">
        <v>86</v>
      </c>
      <c r="F867" t="s">
        <v>58</v>
      </c>
      <c r="G867" t="s">
        <v>59</v>
      </c>
      <c r="H867" t="s">
        <v>60</v>
      </c>
      <c r="J867" t="s">
        <v>86</v>
      </c>
      <c r="L867" t="s">
        <v>62</v>
      </c>
      <c r="M867" t="s">
        <v>63</v>
      </c>
      <c r="N867" t="s">
        <v>64</v>
      </c>
      <c r="P867" t="s">
        <v>65</v>
      </c>
      <c r="R867">
        <v>101.8</v>
      </c>
      <c r="T867">
        <v>85.7</v>
      </c>
      <c r="V867">
        <v>117</v>
      </c>
      <c r="W867" t="s">
        <v>66</v>
      </c>
      <c r="X867" t="s">
        <v>67</v>
      </c>
      <c r="Y867" t="s">
        <v>67</v>
      </c>
      <c r="Z867" t="s">
        <v>68</v>
      </c>
      <c r="AB867">
        <v>4</v>
      </c>
      <c r="AC867" t="s">
        <v>61</v>
      </c>
      <c r="AJ867" t="s">
        <v>69</v>
      </c>
      <c r="AY867" t="s">
        <v>304</v>
      </c>
      <c r="AZ867">
        <v>2966</v>
      </c>
      <c r="BA867" t="s">
        <v>305</v>
      </c>
      <c r="BB867" t="s">
        <v>306</v>
      </c>
      <c r="BC867">
        <v>1981</v>
      </c>
      <c r="BD867" t="s">
        <v>90</v>
      </c>
    </row>
    <row r="868" spans="1:56" x14ac:dyDescent="0.35">
      <c r="A868">
        <v>100016</v>
      </c>
      <c r="B868" t="s">
        <v>889</v>
      </c>
      <c r="D868" t="s">
        <v>57</v>
      </c>
      <c r="E868" t="s">
        <v>128</v>
      </c>
      <c r="F868" t="s">
        <v>58</v>
      </c>
      <c r="G868" t="s">
        <v>59</v>
      </c>
      <c r="H868" t="s">
        <v>60</v>
      </c>
      <c r="I868" t="s">
        <v>129</v>
      </c>
      <c r="J868" t="s">
        <v>86</v>
      </c>
      <c r="K868" t="s">
        <v>61</v>
      </c>
      <c r="L868" t="s">
        <v>74</v>
      </c>
      <c r="M868" t="s">
        <v>63</v>
      </c>
      <c r="N868" t="s">
        <v>64</v>
      </c>
      <c r="P868" t="s">
        <v>65</v>
      </c>
      <c r="R868">
        <v>125</v>
      </c>
      <c r="W868" t="s">
        <v>66</v>
      </c>
      <c r="X868" t="s">
        <v>67</v>
      </c>
      <c r="Y868" t="s">
        <v>67</v>
      </c>
      <c r="Z868" t="s">
        <v>68</v>
      </c>
      <c r="AB868">
        <v>4</v>
      </c>
      <c r="AC868" t="s">
        <v>61</v>
      </c>
      <c r="AJ868" t="s">
        <v>69</v>
      </c>
      <c r="AY868" t="s">
        <v>134</v>
      </c>
      <c r="AZ868">
        <v>15031</v>
      </c>
      <c r="BA868" t="s">
        <v>135</v>
      </c>
      <c r="BB868" t="s">
        <v>136</v>
      </c>
      <c r="BC868">
        <v>1995</v>
      </c>
      <c r="BD868" t="s">
        <v>133</v>
      </c>
    </row>
    <row r="869" spans="1:56" x14ac:dyDescent="0.35">
      <c r="A869">
        <v>100016</v>
      </c>
      <c r="B869" t="s">
        <v>889</v>
      </c>
      <c r="D869" t="s">
        <v>57</v>
      </c>
      <c r="E869" t="s">
        <v>79</v>
      </c>
      <c r="F869" t="s">
        <v>58</v>
      </c>
      <c r="G869" t="s">
        <v>59</v>
      </c>
      <c r="H869" t="s">
        <v>60</v>
      </c>
      <c r="J869">
        <v>32</v>
      </c>
      <c r="K869" t="s">
        <v>61</v>
      </c>
      <c r="L869" t="s">
        <v>74</v>
      </c>
      <c r="M869" t="s">
        <v>63</v>
      </c>
      <c r="N869" t="s">
        <v>64</v>
      </c>
      <c r="P869" t="s">
        <v>65</v>
      </c>
      <c r="R869">
        <v>125</v>
      </c>
      <c r="T869">
        <v>110</v>
      </c>
      <c r="V869">
        <v>142</v>
      </c>
      <c r="W869" t="s">
        <v>66</v>
      </c>
      <c r="X869" t="s">
        <v>67</v>
      </c>
      <c r="Y869" t="s">
        <v>67</v>
      </c>
      <c r="Z869" t="s">
        <v>68</v>
      </c>
      <c r="AB869">
        <v>4</v>
      </c>
      <c r="AC869" t="s">
        <v>61</v>
      </c>
      <c r="AJ869" t="s">
        <v>69</v>
      </c>
      <c r="AY869" t="s">
        <v>75</v>
      </c>
      <c r="AZ869">
        <v>3217</v>
      </c>
      <c r="BA869" t="s">
        <v>76</v>
      </c>
      <c r="BB869" t="s">
        <v>77</v>
      </c>
      <c r="BC869">
        <v>1990</v>
      </c>
      <c r="BD869" t="s">
        <v>73</v>
      </c>
    </row>
    <row r="870" spans="1:56" x14ac:dyDescent="0.35">
      <c r="A870">
        <v>100016</v>
      </c>
      <c r="B870" t="s">
        <v>889</v>
      </c>
      <c r="D870" t="s">
        <v>57</v>
      </c>
      <c r="E870" t="s">
        <v>86</v>
      </c>
      <c r="F870" t="s">
        <v>58</v>
      </c>
      <c r="G870" t="s">
        <v>59</v>
      </c>
      <c r="H870" t="s">
        <v>60</v>
      </c>
      <c r="J870" t="s">
        <v>86</v>
      </c>
      <c r="L870" t="s">
        <v>62</v>
      </c>
      <c r="M870" t="s">
        <v>63</v>
      </c>
      <c r="N870" t="s">
        <v>64</v>
      </c>
      <c r="O870" t="s">
        <v>267</v>
      </c>
      <c r="P870" t="s">
        <v>65</v>
      </c>
      <c r="R870">
        <v>106.1</v>
      </c>
      <c r="T870">
        <v>87.1</v>
      </c>
      <c r="V870">
        <v>124.4</v>
      </c>
      <c r="W870" t="s">
        <v>66</v>
      </c>
      <c r="X870" t="s">
        <v>67</v>
      </c>
      <c r="Y870" t="s">
        <v>67</v>
      </c>
      <c r="Z870" t="s">
        <v>68</v>
      </c>
      <c r="AB870">
        <v>4</v>
      </c>
      <c r="AC870" t="s">
        <v>61</v>
      </c>
      <c r="AJ870" t="s">
        <v>69</v>
      </c>
      <c r="AY870" t="s">
        <v>268</v>
      </c>
      <c r="AZ870">
        <v>2965</v>
      </c>
      <c r="BA870" t="s">
        <v>269</v>
      </c>
      <c r="BB870" t="s">
        <v>270</v>
      </c>
      <c r="BC870">
        <v>1981</v>
      </c>
      <c r="BD870" t="s">
        <v>90</v>
      </c>
    </row>
    <row r="871" spans="1:56" x14ac:dyDescent="0.35">
      <c r="A871">
        <v>100027</v>
      </c>
      <c r="B871" t="s">
        <v>890</v>
      </c>
      <c r="D871" t="s">
        <v>57</v>
      </c>
      <c r="E871" t="s">
        <v>128</v>
      </c>
      <c r="F871" t="s">
        <v>58</v>
      </c>
      <c r="G871" t="s">
        <v>59</v>
      </c>
      <c r="H871" t="s">
        <v>60</v>
      </c>
      <c r="I871" t="s">
        <v>129</v>
      </c>
      <c r="J871" t="s">
        <v>86</v>
      </c>
      <c r="K871" t="s">
        <v>61</v>
      </c>
      <c r="L871" t="s">
        <v>74</v>
      </c>
      <c r="M871" t="s">
        <v>63</v>
      </c>
      <c r="N871" t="s">
        <v>64</v>
      </c>
      <c r="O871">
        <v>6</v>
      </c>
      <c r="P871" t="s">
        <v>65</v>
      </c>
      <c r="R871">
        <v>31.7</v>
      </c>
      <c r="T871">
        <v>28.4</v>
      </c>
      <c r="V871">
        <v>35.299999999999997</v>
      </c>
      <c r="W871" t="s">
        <v>66</v>
      </c>
      <c r="X871" t="s">
        <v>67</v>
      </c>
      <c r="Y871" t="s">
        <v>67</v>
      </c>
      <c r="Z871" t="s">
        <v>68</v>
      </c>
      <c r="AB871">
        <v>4</v>
      </c>
      <c r="AC871" t="s">
        <v>61</v>
      </c>
      <c r="AJ871" t="s">
        <v>69</v>
      </c>
      <c r="AY871" t="s">
        <v>130</v>
      </c>
      <c r="AZ871">
        <v>86254</v>
      </c>
      <c r="BA871" t="s">
        <v>131</v>
      </c>
      <c r="BB871" t="s">
        <v>132</v>
      </c>
      <c r="BC871">
        <v>2005</v>
      </c>
      <c r="BD871" t="s">
        <v>133</v>
      </c>
    </row>
    <row r="872" spans="1:56" x14ac:dyDescent="0.35">
      <c r="A872">
        <v>100027</v>
      </c>
      <c r="B872" t="s">
        <v>890</v>
      </c>
      <c r="D872" t="s">
        <v>57</v>
      </c>
      <c r="E872">
        <v>98</v>
      </c>
      <c r="F872" t="s">
        <v>58</v>
      </c>
      <c r="G872" t="s">
        <v>59</v>
      </c>
      <c r="H872" t="s">
        <v>60</v>
      </c>
      <c r="J872">
        <v>31</v>
      </c>
      <c r="K872" t="s">
        <v>61</v>
      </c>
      <c r="L872" t="s">
        <v>74</v>
      </c>
      <c r="M872" t="s">
        <v>63</v>
      </c>
      <c r="N872" t="s">
        <v>64</v>
      </c>
      <c r="P872" t="s">
        <v>65</v>
      </c>
      <c r="R872">
        <v>58.6</v>
      </c>
      <c r="T872">
        <v>56.2</v>
      </c>
      <c r="V872">
        <v>61.1</v>
      </c>
      <c r="W872" t="s">
        <v>66</v>
      </c>
      <c r="X872" t="s">
        <v>67</v>
      </c>
      <c r="Y872" t="s">
        <v>67</v>
      </c>
      <c r="Z872" t="s">
        <v>68</v>
      </c>
      <c r="AB872">
        <v>4</v>
      </c>
      <c r="AC872" t="s">
        <v>61</v>
      </c>
      <c r="AJ872" t="s">
        <v>69</v>
      </c>
      <c r="AY872" t="s">
        <v>141</v>
      </c>
      <c r="AZ872">
        <v>12447</v>
      </c>
      <c r="BA872" t="s">
        <v>142</v>
      </c>
      <c r="BB872" t="s">
        <v>143</v>
      </c>
      <c r="BC872">
        <v>1985</v>
      </c>
      <c r="BD872" t="s">
        <v>73</v>
      </c>
    </row>
    <row r="873" spans="1:56" x14ac:dyDescent="0.35">
      <c r="A873">
        <v>100027</v>
      </c>
      <c r="B873" t="s">
        <v>890</v>
      </c>
      <c r="D873" t="s">
        <v>57</v>
      </c>
      <c r="E873">
        <v>98</v>
      </c>
      <c r="F873" t="s">
        <v>58</v>
      </c>
      <c r="G873" t="s">
        <v>59</v>
      </c>
      <c r="H873" t="s">
        <v>60</v>
      </c>
      <c r="J873">
        <v>32</v>
      </c>
      <c r="K873" t="s">
        <v>61</v>
      </c>
      <c r="L873" t="s">
        <v>74</v>
      </c>
      <c r="M873" t="s">
        <v>63</v>
      </c>
      <c r="N873" t="s">
        <v>64</v>
      </c>
      <c r="P873" t="s">
        <v>65</v>
      </c>
      <c r="R873">
        <v>41</v>
      </c>
      <c r="T873">
        <v>37.700000000000003</v>
      </c>
      <c r="V873">
        <v>44.6</v>
      </c>
      <c r="W873" t="s">
        <v>66</v>
      </c>
      <c r="X873" t="s">
        <v>67</v>
      </c>
      <c r="Y873" t="s">
        <v>67</v>
      </c>
      <c r="Z873" t="s">
        <v>68</v>
      </c>
      <c r="AB873">
        <v>4</v>
      </c>
      <c r="AC873" t="s">
        <v>61</v>
      </c>
      <c r="AJ873" t="s">
        <v>69</v>
      </c>
      <c r="AY873" t="s">
        <v>141</v>
      </c>
      <c r="AZ873">
        <v>12447</v>
      </c>
      <c r="BA873" t="s">
        <v>142</v>
      </c>
      <c r="BB873" t="s">
        <v>143</v>
      </c>
      <c r="BC873">
        <v>1985</v>
      </c>
      <c r="BD873" t="s">
        <v>73</v>
      </c>
    </row>
    <row r="874" spans="1:56" x14ac:dyDescent="0.35">
      <c r="A874">
        <v>100027</v>
      </c>
      <c r="B874" t="s">
        <v>890</v>
      </c>
      <c r="D874" t="s">
        <v>57</v>
      </c>
      <c r="E874">
        <v>98</v>
      </c>
      <c r="F874" t="s">
        <v>58</v>
      </c>
      <c r="G874" t="s">
        <v>59</v>
      </c>
      <c r="H874" t="s">
        <v>60</v>
      </c>
      <c r="J874" t="s">
        <v>86</v>
      </c>
      <c r="K874" t="s">
        <v>61</v>
      </c>
      <c r="L874" t="s">
        <v>74</v>
      </c>
      <c r="M874" t="s">
        <v>63</v>
      </c>
      <c r="N874" t="s">
        <v>64</v>
      </c>
      <c r="P874" t="s">
        <v>65</v>
      </c>
      <c r="R874">
        <v>41</v>
      </c>
      <c r="T874">
        <v>37.700000000000003</v>
      </c>
      <c r="V874">
        <v>44.6</v>
      </c>
      <c r="W874" t="s">
        <v>66</v>
      </c>
      <c r="X874" t="s">
        <v>67</v>
      </c>
      <c r="Y874" t="s">
        <v>67</v>
      </c>
      <c r="Z874" t="s">
        <v>68</v>
      </c>
      <c r="AB874">
        <v>4</v>
      </c>
      <c r="AC874" t="s">
        <v>61</v>
      </c>
      <c r="AJ874" t="s">
        <v>69</v>
      </c>
      <c r="AY874" t="s">
        <v>258</v>
      </c>
      <c r="AZ874">
        <v>10954</v>
      </c>
      <c r="BA874" t="s">
        <v>259</v>
      </c>
      <c r="BB874" t="s">
        <v>260</v>
      </c>
      <c r="BC874">
        <v>1984</v>
      </c>
      <c r="BD874" t="s">
        <v>261</v>
      </c>
    </row>
    <row r="875" spans="1:56" x14ac:dyDescent="0.35">
      <c r="A875">
        <v>100027</v>
      </c>
      <c r="B875" t="s">
        <v>890</v>
      </c>
      <c r="D875" t="s">
        <v>57</v>
      </c>
      <c r="E875">
        <v>98</v>
      </c>
      <c r="F875" t="s">
        <v>58</v>
      </c>
      <c r="G875" t="s">
        <v>59</v>
      </c>
      <c r="H875" t="s">
        <v>60</v>
      </c>
      <c r="J875">
        <v>31</v>
      </c>
      <c r="K875" t="s">
        <v>61</v>
      </c>
      <c r="L875" t="s">
        <v>74</v>
      </c>
      <c r="M875" t="s">
        <v>63</v>
      </c>
      <c r="N875" t="s">
        <v>64</v>
      </c>
      <c r="P875" t="s">
        <v>65</v>
      </c>
      <c r="R875">
        <v>37.299999999999997</v>
      </c>
      <c r="T875">
        <v>34.4</v>
      </c>
      <c r="V875">
        <v>40.5</v>
      </c>
      <c r="W875" t="s">
        <v>66</v>
      </c>
      <c r="X875" t="s">
        <v>67</v>
      </c>
      <c r="Y875" t="s">
        <v>67</v>
      </c>
      <c r="Z875" t="s">
        <v>68</v>
      </c>
      <c r="AB875">
        <v>4</v>
      </c>
      <c r="AC875" t="s">
        <v>61</v>
      </c>
      <c r="AJ875" t="s">
        <v>69</v>
      </c>
      <c r="AY875" t="s">
        <v>141</v>
      </c>
      <c r="AZ875">
        <v>12447</v>
      </c>
      <c r="BA875" t="s">
        <v>142</v>
      </c>
      <c r="BB875" t="s">
        <v>143</v>
      </c>
      <c r="BC875">
        <v>1985</v>
      </c>
      <c r="BD875" t="s">
        <v>73</v>
      </c>
    </row>
    <row r="876" spans="1:56" x14ac:dyDescent="0.35">
      <c r="A876">
        <v>100027</v>
      </c>
      <c r="B876" t="s">
        <v>890</v>
      </c>
      <c r="D876" t="s">
        <v>57</v>
      </c>
      <c r="E876" t="s">
        <v>128</v>
      </c>
      <c r="F876" t="s">
        <v>58</v>
      </c>
      <c r="G876" t="s">
        <v>59</v>
      </c>
      <c r="H876" t="s">
        <v>60</v>
      </c>
      <c r="I876" t="s">
        <v>129</v>
      </c>
      <c r="J876" t="s">
        <v>86</v>
      </c>
      <c r="K876" t="s">
        <v>61</v>
      </c>
      <c r="L876" t="s">
        <v>74</v>
      </c>
      <c r="M876" t="s">
        <v>63</v>
      </c>
      <c r="N876" t="s">
        <v>64</v>
      </c>
      <c r="P876" t="s">
        <v>65</v>
      </c>
      <c r="R876">
        <v>33.799999999999997</v>
      </c>
      <c r="W876" t="s">
        <v>66</v>
      </c>
      <c r="X876" t="s">
        <v>67</v>
      </c>
      <c r="Y876" t="s">
        <v>67</v>
      </c>
      <c r="Z876" t="s">
        <v>68</v>
      </c>
      <c r="AB876">
        <v>4</v>
      </c>
      <c r="AC876" t="s">
        <v>61</v>
      </c>
      <c r="AJ876" t="s">
        <v>69</v>
      </c>
      <c r="AY876" t="s">
        <v>134</v>
      </c>
      <c r="AZ876">
        <v>15031</v>
      </c>
      <c r="BA876" t="s">
        <v>135</v>
      </c>
      <c r="BB876" t="s">
        <v>136</v>
      </c>
      <c r="BC876">
        <v>1995</v>
      </c>
      <c r="BD876" t="s">
        <v>133</v>
      </c>
    </row>
    <row r="877" spans="1:56" x14ac:dyDescent="0.35">
      <c r="A877">
        <v>100027</v>
      </c>
      <c r="B877" t="s">
        <v>890</v>
      </c>
      <c r="D877" t="s">
        <v>57</v>
      </c>
      <c r="E877" t="s">
        <v>86</v>
      </c>
      <c r="F877" t="s">
        <v>58</v>
      </c>
      <c r="G877" t="s">
        <v>59</v>
      </c>
      <c r="H877" t="s">
        <v>60</v>
      </c>
      <c r="J877" t="s">
        <v>86</v>
      </c>
      <c r="K877" t="s">
        <v>61</v>
      </c>
      <c r="L877" t="s">
        <v>74</v>
      </c>
      <c r="M877" t="s">
        <v>63</v>
      </c>
      <c r="N877" t="s">
        <v>64</v>
      </c>
      <c r="P877" t="s">
        <v>65</v>
      </c>
      <c r="R877">
        <v>59</v>
      </c>
      <c r="T877">
        <v>56</v>
      </c>
      <c r="V877">
        <v>63</v>
      </c>
      <c r="W877" t="s">
        <v>66</v>
      </c>
      <c r="X877" t="s">
        <v>67</v>
      </c>
      <c r="Y877" t="s">
        <v>67</v>
      </c>
      <c r="Z877" t="s">
        <v>68</v>
      </c>
      <c r="AB877">
        <v>4</v>
      </c>
      <c r="AC877" t="s">
        <v>61</v>
      </c>
      <c r="AJ877" t="s">
        <v>69</v>
      </c>
      <c r="AY877" t="s">
        <v>124</v>
      </c>
      <c r="AZ877">
        <v>2189</v>
      </c>
      <c r="BA877" t="s">
        <v>125</v>
      </c>
      <c r="BB877" t="s">
        <v>126</v>
      </c>
      <c r="BC877">
        <v>1981</v>
      </c>
      <c r="BD877" t="s">
        <v>127</v>
      </c>
    </row>
    <row r="878" spans="1:56" x14ac:dyDescent="0.35">
      <c r="A878">
        <v>100027</v>
      </c>
      <c r="B878" t="s">
        <v>890</v>
      </c>
      <c r="D878" t="s">
        <v>57</v>
      </c>
      <c r="E878" t="s">
        <v>128</v>
      </c>
      <c r="F878" t="s">
        <v>58</v>
      </c>
      <c r="G878" t="s">
        <v>59</v>
      </c>
      <c r="H878" t="s">
        <v>60</v>
      </c>
      <c r="I878" t="s">
        <v>129</v>
      </c>
      <c r="J878" t="s">
        <v>86</v>
      </c>
      <c r="K878" t="s">
        <v>61</v>
      </c>
      <c r="L878" t="s">
        <v>74</v>
      </c>
      <c r="M878" t="s">
        <v>63</v>
      </c>
      <c r="N878" t="s">
        <v>64</v>
      </c>
      <c r="P878" t="s">
        <v>65</v>
      </c>
      <c r="R878">
        <v>30.4</v>
      </c>
      <c r="W878" t="s">
        <v>66</v>
      </c>
      <c r="X878" t="s">
        <v>67</v>
      </c>
      <c r="Y878" t="s">
        <v>67</v>
      </c>
      <c r="Z878" t="s">
        <v>68</v>
      </c>
      <c r="AB878">
        <v>4</v>
      </c>
      <c r="AC878" t="s">
        <v>61</v>
      </c>
      <c r="AJ878" t="s">
        <v>69</v>
      </c>
      <c r="AY878" t="s">
        <v>134</v>
      </c>
      <c r="AZ878">
        <v>15031</v>
      </c>
      <c r="BA878" t="s">
        <v>135</v>
      </c>
      <c r="BB878" t="s">
        <v>136</v>
      </c>
      <c r="BC878">
        <v>1995</v>
      </c>
      <c r="BD878" t="s">
        <v>133</v>
      </c>
    </row>
    <row r="879" spans="1:56" x14ac:dyDescent="0.35">
      <c r="A879">
        <v>100027</v>
      </c>
      <c r="B879" t="s">
        <v>890</v>
      </c>
      <c r="E879">
        <v>98</v>
      </c>
      <c r="F879" t="s">
        <v>58</v>
      </c>
      <c r="G879" t="s">
        <v>59</v>
      </c>
      <c r="H879" t="s">
        <v>60</v>
      </c>
      <c r="J879" t="s">
        <v>86</v>
      </c>
      <c r="L879" t="s">
        <v>62</v>
      </c>
      <c r="M879" t="s">
        <v>63</v>
      </c>
      <c r="N879" t="s">
        <v>64</v>
      </c>
      <c r="P879" t="s">
        <v>65</v>
      </c>
      <c r="R879">
        <v>53.5</v>
      </c>
      <c r="T879">
        <v>51.5</v>
      </c>
      <c r="V879">
        <v>55.5</v>
      </c>
      <c r="W879" t="s">
        <v>66</v>
      </c>
      <c r="X879" t="s">
        <v>67</v>
      </c>
      <c r="Y879" t="s">
        <v>67</v>
      </c>
      <c r="Z879" t="s">
        <v>68</v>
      </c>
      <c r="AB879">
        <v>4</v>
      </c>
      <c r="AC879" t="s">
        <v>61</v>
      </c>
      <c r="AJ879" t="s">
        <v>69</v>
      </c>
      <c r="AY879" t="s">
        <v>116</v>
      </c>
      <c r="AZ879">
        <v>344</v>
      </c>
      <c r="BA879" t="s">
        <v>117</v>
      </c>
      <c r="BB879" t="s">
        <v>118</v>
      </c>
      <c r="BC879">
        <v>1992</v>
      </c>
      <c r="BD879" t="s">
        <v>90</v>
      </c>
    </row>
    <row r="880" spans="1:56" x14ac:dyDescent="0.35">
      <c r="A880">
        <v>100027</v>
      </c>
      <c r="B880" t="s">
        <v>890</v>
      </c>
      <c r="D880" t="s">
        <v>57</v>
      </c>
      <c r="E880" t="s">
        <v>86</v>
      </c>
      <c r="F880" t="s">
        <v>58</v>
      </c>
      <c r="G880" t="s">
        <v>59</v>
      </c>
      <c r="H880" t="s">
        <v>60</v>
      </c>
      <c r="J880" t="s">
        <v>86</v>
      </c>
      <c r="K880" t="s">
        <v>61</v>
      </c>
      <c r="L880" t="s">
        <v>74</v>
      </c>
      <c r="M880" t="s">
        <v>63</v>
      </c>
      <c r="N880" t="s">
        <v>64</v>
      </c>
      <c r="P880" t="s">
        <v>65</v>
      </c>
      <c r="R880">
        <v>62</v>
      </c>
      <c r="T880">
        <v>57</v>
      </c>
      <c r="V880">
        <v>67</v>
      </c>
      <c r="W880" t="s">
        <v>66</v>
      </c>
      <c r="X880" t="s">
        <v>67</v>
      </c>
      <c r="Y880" t="s">
        <v>67</v>
      </c>
      <c r="Z880" t="s">
        <v>68</v>
      </c>
      <c r="AB880">
        <v>4</v>
      </c>
      <c r="AC880" t="s">
        <v>61</v>
      </c>
      <c r="AJ880" t="s">
        <v>69</v>
      </c>
      <c r="AY880" t="s">
        <v>124</v>
      </c>
      <c r="AZ880">
        <v>2189</v>
      </c>
      <c r="BA880" t="s">
        <v>125</v>
      </c>
      <c r="BB880" t="s">
        <v>126</v>
      </c>
      <c r="BC880">
        <v>1981</v>
      </c>
      <c r="BD880" t="s">
        <v>127</v>
      </c>
    </row>
    <row r="881" spans="1:56" x14ac:dyDescent="0.35">
      <c r="A881">
        <v>100107</v>
      </c>
      <c r="B881" t="s">
        <v>891</v>
      </c>
      <c r="D881" t="s">
        <v>57</v>
      </c>
      <c r="E881" t="s">
        <v>638</v>
      </c>
      <c r="F881" t="s">
        <v>58</v>
      </c>
      <c r="G881" t="s">
        <v>59</v>
      </c>
      <c r="H881" t="s">
        <v>60</v>
      </c>
      <c r="J881">
        <v>31</v>
      </c>
      <c r="K881" t="s">
        <v>61</v>
      </c>
      <c r="L881" t="s">
        <v>74</v>
      </c>
      <c r="M881" t="s">
        <v>63</v>
      </c>
      <c r="N881" t="s">
        <v>64</v>
      </c>
      <c r="O881">
        <v>6</v>
      </c>
      <c r="P881" t="s">
        <v>65</v>
      </c>
      <c r="R881">
        <v>45.7</v>
      </c>
      <c r="T881">
        <v>41.1</v>
      </c>
      <c r="V881">
        <v>51</v>
      </c>
      <c r="W881" t="s">
        <v>66</v>
      </c>
      <c r="X881" t="s">
        <v>67</v>
      </c>
      <c r="Y881" t="s">
        <v>67</v>
      </c>
      <c r="Z881" t="s">
        <v>68</v>
      </c>
      <c r="AB881">
        <v>4</v>
      </c>
      <c r="AC881" t="s">
        <v>61</v>
      </c>
      <c r="AJ881" t="s">
        <v>69</v>
      </c>
      <c r="AY881" t="s">
        <v>286</v>
      </c>
      <c r="AZ881">
        <v>12448</v>
      </c>
      <c r="BA881" t="s">
        <v>287</v>
      </c>
      <c r="BB881" t="s">
        <v>288</v>
      </c>
      <c r="BC881">
        <v>1984</v>
      </c>
      <c r="BD881" t="s">
        <v>73</v>
      </c>
    </row>
    <row r="882" spans="1:56" x14ac:dyDescent="0.35">
      <c r="A882">
        <v>100254</v>
      </c>
      <c r="B882" t="s">
        <v>892</v>
      </c>
      <c r="D882" t="s">
        <v>57</v>
      </c>
      <c r="E882">
        <v>98</v>
      </c>
      <c r="F882" t="s">
        <v>58</v>
      </c>
      <c r="G882" t="s">
        <v>59</v>
      </c>
      <c r="H882" t="s">
        <v>60</v>
      </c>
      <c r="J882">
        <v>35</v>
      </c>
      <c r="K882" t="s">
        <v>61</v>
      </c>
      <c r="L882" t="s">
        <v>74</v>
      </c>
      <c r="M882" t="s">
        <v>63</v>
      </c>
      <c r="N882" t="s">
        <v>64</v>
      </c>
      <c r="P882" t="s">
        <v>65</v>
      </c>
      <c r="R882">
        <v>0.71</v>
      </c>
      <c r="T882">
        <v>0.69</v>
      </c>
      <c r="V882">
        <v>0.74</v>
      </c>
      <c r="W882" t="s">
        <v>66</v>
      </c>
      <c r="X882" t="s">
        <v>67</v>
      </c>
      <c r="Y882" t="s">
        <v>67</v>
      </c>
      <c r="Z882" t="s">
        <v>68</v>
      </c>
      <c r="AB882">
        <v>4</v>
      </c>
      <c r="AC882" t="s">
        <v>61</v>
      </c>
      <c r="AJ882" t="s">
        <v>69</v>
      </c>
      <c r="AY882" t="s">
        <v>141</v>
      </c>
      <c r="AZ882">
        <v>12447</v>
      </c>
      <c r="BA882" t="s">
        <v>142</v>
      </c>
      <c r="BB882" t="s">
        <v>143</v>
      </c>
      <c r="BC882">
        <v>1985</v>
      </c>
      <c r="BD882" t="s">
        <v>73</v>
      </c>
    </row>
    <row r="883" spans="1:56" x14ac:dyDescent="0.35">
      <c r="A883">
        <v>100254</v>
      </c>
      <c r="B883" t="s">
        <v>892</v>
      </c>
      <c r="D883" t="s">
        <v>57</v>
      </c>
      <c r="E883" t="s">
        <v>128</v>
      </c>
      <c r="F883" t="s">
        <v>58</v>
      </c>
      <c r="G883" t="s">
        <v>59</v>
      </c>
      <c r="H883" t="s">
        <v>60</v>
      </c>
      <c r="I883" t="s">
        <v>129</v>
      </c>
      <c r="J883" t="s">
        <v>86</v>
      </c>
      <c r="K883" t="s">
        <v>61</v>
      </c>
      <c r="L883" t="s">
        <v>74</v>
      </c>
      <c r="M883" t="s">
        <v>63</v>
      </c>
      <c r="N883" t="s">
        <v>64</v>
      </c>
      <c r="P883" t="s">
        <v>65</v>
      </c>
      <c r="R883">
        <v>0.66200000000000003</v>
      </c>
      <c r="W883" t="s">
        <v>66</v>
      </c>
      <c r="X883" t="s">
        <v>67</v>
      </c>
      <c r="Y883" t="s">
        <v>67</v>
      </c>
      <c r="Z883" t="s">
        <v>68</v>
      </c>
      <c r="AB883">
        <v>4</v>
      </c>
      <c r="AC883" t="s">
        <v>61</v>
      </c>
      <c r="AJ883" t="s">
        <v>69</v>
      </c>
      <c r="AY883" t="s">
        <v>134</v>
      </c>
      <c r="AZ883">
        <v>15031</v>
      </c>
      <c r="BA883" t="s">
        <v>135</v>
      </c>
      <c r="BB883" t="s">
        <v>136</v>
      </c>
      <c r="BC883">
        <v>1995</v>
      </c>
      <c r="BD883" t="s">
        <v>133</v>
      </c>
    </row>
    <row r="884" spans="1:56" x14ac:dyDescent="0.35">
      <c r="A884">
        <v>100254</v>
      </c>
      <c r="B884" t="s">
        <v>892</v>
      </c>
      <c r="D884" t="s">
        <v>85</v>
      </c>
      <c r="E884" t="s">
        <v>86</v>
      </c>
      <c r="F884" t="s">
        <v>58</v>
      </c>
      <c r="G884" t="s">
        <v>59</v>
      </c>
      <c r="H884" t="s">
        <v>60</v>
      </c>
      <c r="I884" t="s">
        <v>129</v>
      </c>
      <c r="J884" t="s">
        <v>86</v>
      </c>
      <c r="L884" t="s">
        <v>62</v>
      </c>
      <c r="M884" t="s">
        <v>63</v>
      </c>
      <c r="N884" t="s">
        <v>64</v>
      </c>
      <c r="P884" t="s">
        <v>65</v>
      </c>
      <c r="R884">
        <v>1.7</v>
      </c>
      <c r="T884">
        <v>1.5</v>
      </c>
      <c r="V884">
        <v>2</v>
      </c>
      <c r="W884" t="s">
        <v>66</v>
      </c>
      <c r="X884" t="s">
        <v>67</v>
      </c>
      <c r="Y884" t="s">
        <v>67</v>
      </c>
      <c r="Z884" t="s">
        <v>68</v>
      </c>
      <c r="AB884">
        <v>4</v>
      </c>
      <c r="AC884" t="s">
        <v>61</v>
      </c>
      <c r="AJ884" t="s">
        <v>69</v>
      </c>
      <c r="AY884" t="s">
        <v>718</v>
      </c>
      <c r="AZ884">
        <v>10141</v>
      </c>
      <c r="BA884" t="s">
        <v>719</v>
      </c>
      <c r="BB884" t="s">
        <v>720</v>
      </c>
      <c r="BC884">
        <v>1983</v>
      </c>
      <c r="BD884" t="s">
        <v>721</v>
      </c>
    </row>
    <row r="885" spans="1:56" x14ac:dyDescent="0.35">
      <c r="A885">
        <v>100254</v>
      </c>
      <c r="B885" t="s">
        <v>892</v>
      </c>
      <c r="D885" t="s">
        <v>57</v>
      </c>
      <c r="E885">
        <v>98</v>
      </c>
      <c r="F885" t="s">
        <v>58</v>
      </c>
      <c r="G885" t="s">
        <v>59</v>
      </c>
      <c r="H885" t="s">
        <v>60</v>
      </c>
      <c r="J885" t="s">
        <v>86</v>
      </c>
      <c r="K885" t="s">
        <v>61</v>
      </c>
      <c r="L885" t="s">
        <v>74</v>
      </c>
      <c r="M885" t="s">
        <v>63</v>
      </c>
      <c r="N885" t="s">
        <v>64</v>
      </c>
      <c r="P885" t="s">
        <v>65</v>
      </c>
      <c r="R885">
        <v>0.60299999999999998</v>
      </c>
      <c r="T885">
        <v>0.58099999999999996</v>
      </c>
      <c r="V885">
        <v>0.627</v>
      </c>
      <c r="W885" t="s">
        <v>66</v>
      </c>
      <c r="X885" t="s">
        <v>67</v>
      </c>
      <c r="Y885" t="s">
        <v>67</v>
      </c>
      <c r="Z885" t="s">
        <v>68</v>
      </c>
      <c r="AB885">
        <v>4</v>
      </c>
      <c r="AC885" t="s">
        <v>61</v>
      </c>
      <c r="AJ885" t="s">
        <v>69</v>
      </c>
      <c r="AY885" t="s">
        <v>258</v>
      </c>
      <c r="AZ885">
        <v>10954</v>
      </c>
      <c r="BA885" t="s">
        <v>259</v>
      </c>
      <c r="BB885" t="s">
        <v>260</v>
      </c>
      <c r="BC885">
        <v>1984</v>
      </c>
      <c r="BD885" t="s">
        <v>261</v>
      </c>
    </row>
    <row r="886" spans="1:56" x14ac:dyDescent="0.35">
      <c r="A886">
        <v>100378</v>
      </c>
      <c r="B886" t="s">
        <v>893</v>
      </c>
      <c r="D886" t="s">
        <v>57</v>
      </c>
      <c r="E886" t="s">
        <v>79</v>
      </c>
      <c r="F886" t="s">
        <v>58</v>
      </c>
      <c r="G886" t="s">
        <v>59</v>
      </c>
      <c r="H886" t="s">
        <v>60</v>
      </c>
      <c r="J886">
        <v>37</v>
      </c>
      <c r="K886" t="s">
        <v>61</v>
      </c>
      <c r="L886" t="s">
        <v>74</v>
      </c>
      <c r="M886" t="s">
        <v>63</v>
      </c>
      <c r="N886" t="s">
        <v>64</v>
      </c>
      <c r="P886" t="s">
        <v>65</v>
      </c>
      <c r="R886">
        <v>1780</v>
      </c>
      <c r="T886">
        <v>1660</v>
      </c>
      <c r="V886">
        <v>1920</v>
      </c>
      <c r="W886" t="s">
        <v>66</v>
      </c>
      <c r="X886" t="s">
        <v>67</v>
      </c>
      <c r="Y886" t="s">
        <v>67</v>
      </c>
      <c r="Z886" t="s">
        <v>68</v>
      </c>
      <c r="AB886">
        <v>4</v>
      </c>
      <c r="AC886" t="s">
        <v>61</v>
      </c>
      <c r="AJ886" t="s">
        <v>69</v>
      </c>
      <c r="AY886" t="s">
        <v>263</v>
      </c>
      <c r="AZ886">
        <v>12858</v>
      </c>
      <c r="BA886" t="s">
        <v>264</v>
      </c>
      <c r="BB886" t="s">
        <v>265</v>
      </c>
      <c r="BC886">
        <v>1986</v>
      </c>
      <c r="BD886" t="s">
        <v>73</v>
      </c>
    </row>
    <row r="887" spans="1:56" x14ac:dyDescent="0.35">
      <c r="A887">
        <v>100414</v>
      </c>
      <c r="B887" t="s">
        <v>894</v>
      </c>
      <c r="D887" t="s">
        <v>57</v>
      </c>
      <c r="E887">
        <v>99</v>
      </c>
      <c r="F887" t="s">
        <v>58</v>
      </c>
      <c r="G887" t="s">
        <v>59</v>
      </c>
      <c r="H887" t="s">
        <v>60</v>
      </c>
      <c r="J887">
        <v>30</v>
      </c>
      <c r="K887" t="s">
        <v>61</v>
      </c>
      <c r="L887" t="s">
        <v>74</v>
      </c>
      <c r="M887" t="s">
        <v>63</v>
      </c>
      <c r="N887" t="s">
        <v>64</v>
      </c>
      <c r="P887" t="s">
        <v>65</v>
      </c>
      <c r="R887">
        <v>9.1</v>
      </c>
      <c r="T887">
        <v>7.5</v>
      </c>
      <c r="V887">
        <v>11</v>
      </c>
      <c r="W887" t="s">
        <v>66</v>
      </c>
      <c r="X887" t="s">
        <v>67</v>
      </c>
      <c r="Y887" t="s">
        <v>67</v>
      </c>
      <c r="Z887" t="s">
        <v>68</v>
      </c>
      <c r="AB887">
        <v>4</v>
      </c>
      <c r="AC887" t="s">
        <v>61</v>
      </c>
      <c r="AJ887" t="s">
        <v>69</v>
      </c>
      <c r="AY887" t="s">
        <v>70</v>
      </c>
      <c r="AZ887">
        <v>14339</v>
      </c>
      <c r="BA887" t="s">
        <v>71</v>
      </c>
      <c r="BB887" t="s">
        <v>72</v>
      </c>
      <c r="BC887">
        <v>1987</v>
      </c>
      <c r="BD887" t="s">
        <v>73</v>
      </c>
    </row>
    <row r="888" spans="1:56" x14ac:dyDescent="0.35">
      <c r="A888">
        <v>100414</v>
      </c>
      <c r="B888" t="s">
        <v>894</v>
      </c>
      <c r="D888" t="s">
        <v>85</v>
      </c>
      <c r="E888" t="s">
        <v>86</v>
      </c>
      <c r="F888" t="s">
        <v>58</v>
      </c>
      <c r="G888" t="s">
        <v>59</v>
      </c>
      <c r="H888" t="s">
        <v>60</v>
      </c>
      <c r="J888" t="s">
        <v>86</v>
      </c>
      <c r="L888" t="s">
        <v>62</v>
      </c>
      <c r="M888" t="s">
        <v>63</v>
      </c>
      <c r="N888" t="s">
        <v>64</v>
      </c>
      <c r="P888" t="s">
        <v>100</v>
      </c>
      <c r="R888">
        <v>42.33</v>
      </c>
      <c r="T888">
        <v>33.520000000000003</v>
      </c>
      <c r="V888">
        <v>53.47</v>
      </c>
      <c r="W888" t="s">
        <v>66</v>
      </c>
      <c r="X888" t="s">
        <v>67</v>
      </c>
      <c r="Y888" t="s">
        <v>67</v>
      </c>
      <c r="Z888" t="s">
        <v>68</v>
      </c>
      <c r="AB888">
        <v>4</v>
      </c>
      <c r="AC888" t="s">
        <v>61</v>
      </c>
      <c r="AJ888" t="s">
        <v>69</v>
      </c>
      <c r="AY888" t="s">
        <v>168</v>
      </c>
      <c r="AZ888">
        <v>728</v>
      </c>
      <c r="BA888" t="s">
        <v>426</v>
      </c>
      <c r="BB888" t="s">
        <v>427</v>
      </c>
      <c r="BC888">
        <v>1966</v>
      </c>
      <c r="BD888" t="s">
        <v>90</v>
      </c>
    </row>
    <row r="889" spans="1:56" x14ac:dyDescent="0.35">
      <c r="A889">
        <v>100414</v>
      </c>
      <c r="B889" t="s">
        <v>894</v>
      </c>
      <c r="D889" t="s">
        <v>57</v>
      </c>
      <c r="E889">
        <v>99</v>
      </c>
      <c r="F889" t="s">
        <v>58</v>
      </c>
      <c r="G889" t="s">
        <v>59</v>
      </c>
      <c r="H889" t="s">
        <v>60</v>
      </c>
      <c r="J889" t="s">
        <v>86</v>
      </c>
      <c r="K889" t="s">
        <v>61</v>
      </c>
      <c r="L889" t="s">
        <v>74</v>
      </c>
      <c r="M889" t="s">
        <v>63</v>
      </c>
      <c r="N889" t="s">
        <v>64</v>
      </c>
      <c r="P889" t="s">
        <v>65</v>
      </c>
      <c r="R889">
        <v>9.09</v>
      </c>
      <c r="T889">
        <v>7.55</v>
      </c>
      <c r="V889">
        <v>11</v>
      </c>
      <c r="W889" t="s">
        <v>66</v>
      </c>
      <c r="X889" t="s">
        <v>67</v>
      </c>
      <c r="Y889" t="s">
        <v>67</v>
      </c>
      <c r="Z889" t="s">
        <v>68</v>
      </c>
      <c r="AB889">
        <v>4</v>
      </c>
      <c r="AC889" t="s">
        <v>61</v>
      </c>
      <c r="AJ889" t="s">
        <v>69</v>
      </c>
      <c r="AY889" t="s">
        <v>75</v>
      </c>
      <c r="AZ889">
        <v>3217</v>
      </c>
      <c r="BA889" t="s">
        <v>76</v>
      </c>
      <c r="BB889" t="s">
        <v>77</v>
      </c>
      <c r="BC889">
        <v>1990</v>
      </c>
      <c r="BD889" t="s">
        <v>363</v>
      </c>
    </row>
    <row r="890" spans="1:56" x14ac:dyDescent="0.35">
      <c r="A890">
        <v>100414</v>
      </c>
      <c r="B890" t="s">
        <v>894</v>
      </c>
      <c r="D890" t="s">
        <v>57</v>
      </c>
      <c r="E890">
        <v>99</v>
      </c>
      <c r="F890" t="s">
        <v>58</v>
      </c>
      <c r="G890" t="s">
        <v>59</v>
      </c>
      <c r="H890" t="s">
        <v>60</v>
      </c>
      <c r="J890">
        <v>30</v>
      </c>
      <c r="K890" t="s">
        <v>61</v>
      </c>
      <c r="L890" t="s">
        <v>62</v>
      </c>
      <c r="M890" t="s">
        <v>63</v>
      </c>
      <c r="N890" t="s">
        <v>64</v>
      </c>
      <c r="P890" t="s">
        <v>65</v>
      </c>
      <c r="R890">
        <v>11.9</v>
      </c>
      <c r="T890">
        <v>9.1</v>
      </c>
      <c r="V890">
        <v>15.6</v>
      </c>
      <c r="W890" t="s">
        <v>66</v>
      </c>
      <c r="X890" t="s">
        <v>67</v>
      </c>
      <c r="Y890" t="s">
        <v>67</v>
      </c>
      <c r="Z890" t="s">
        <v>68</v>
      </c>
      <c r="AB890">
        <v>4</v>
      </c>
      <c r="AC890" t="s">
        <v>61</v>
      </c>
      <c r="AJ890" t="s">
        <v>69</v>
      </c>
      <c r="AY890" t="s">
        <v>70</v>
      </c>
      <c r="AZ890">
        <v>14339</v>
      </c>
      <c r="BA890" t="s">
        <v>71</v>
      </c>
      <c r="BB890" t="s">
        <v>72</v>
      </c>
      <c r="BC890">
        <v>1987</v>
      </c>
      <c r="BD890" t="s">
        <v>73</v>
      </c>
    </row>
    <row r="891" spans="1:56" x14ac:dyDescent="0.35">
      <c r="A891">
        <v>100414</v>
      </c>
      <c r="B891" t="s">
        <v>894</v>
      </c>
      <c r="D891" t="s">
        <v>57</v>
      </c>
      <c r="E891">
        <v>99</v>
      </c>
      <c r="F891" t="s">
        <v>58</v>
      </c>
      <c r="G891" t="s">
        <v>59</v>
      </c>
      <c r="H891" t="s">
        <v>60</v>
      </c>
      <c r="J891">
        <v>34</v>
      </c>
      <c r="K891" t="s">
        <v>61</v>
      </c>
      <c r="L891" t="s">
        <v>74</v>
      </c>
      <c r="M891" t="s">
        <v>63</v>
      </c>
      <c r="N891" t="s">
        <v>64</v>
      </c>
      <c r="P891" t="s">
        <v>65</v>
      </c>
      <c r="R891">
        <v>12.1</v>
      </c>
      <c r="T891">
        <v>11.5</v>
      </c>
      <c r="V891">
        <v>12.7</v>
      </c>
      <c r="W891" t="s">
        <v>66</v>
      </c>
      <c r="X891" t="s">
        <v>67</v>
      </c>
      <c r="Y891" t="s">
        <v>67</v>
      </c>
      <c r="Z891" t="s">
        <v>68</v>
      </c>
      <c r="AB891">
        <v>4</v>
      </c>
      <c r="AC891" t="s">
        <v>61</v>
      </c>
      <c r="AJ891" t="s">
        <v>69</v>
      </c>
      <c r="AY891" t="s">
        <v>263</v>
      </c>
      <c r="AZ891">
        <v>12858</v>
      </c>
      <c r="BA891" t="s">
        <v>264</v>
      </c>
      <c r="BB891" t="s">
        <v>265</v>
      </c>
      <c r="BC891">
        <v>1986</v>
      </c>
      <c r="BD891" t="s">
        <v>73</v>
      </c>
    </row>
    <row r="892" spans="1:56" x14ac:dyDescent="0.35">
      <c r="A892">
        <v>100414</v>
      </c>
      <c r="B892" t="s">
        <v>894</v>
      </c>
      <c r="D892" t="s">
        <v>85</v>
      </c>
      <c r="E892" t="s">
        <v>86</v>
      </c>
      <c r="F892" t="s">
        <v>58</v>
      </c>
      <c r="G892" t="s">
        <v>59</v>
      </c>
      <c r="H892" t="s">
        <v>60</v>
      </c>
      <c r="J892" t="s">
        <v>86</v>
      </c>
      <c r="L892" t="s">
        <v>62</v>
      </c>
      <c r="M892" t="s">
        <v>63</v>
      </c>
      <c r="N892" t="s">
        <v>64</v>
      </c>
      <c r="P892" t="s">
        <v>100</v>
      </c>
      <c r="R892">
        <v>48.51</v>
      </c>
      <c r="T892">
        <v>38.9</v>
      </c>
      <c r="V892">
        <v>62.83</v>
      </c>
      <c r="W892" t="s">
        <v>66</v>
      </c>
      <c r="X892" t="s">
        <v>67</v>
      </c>
      <c r="Y892" t="s">
        <v>67</v>
      </c>
      <c r="Z892" t="s">
        <v>68</v>
      </c>
      <c r="AB892">
        <v>4</v>
      </c>
      <c r="AC892" t="s">
        <v>61</v>
      </c>
      <c r="AJ892" t="s">
        <v>69</v>
      </c>
      <c r="AY892" t="s">
        <v>168</v>
      </c>
      <c r="AZ892">
        <v>728</v>
      </c>
      <c r="BA892" t="s">
        <v>426</v>
      </c>
      <c r="BB892" t="s">
        <v>427</v>
      </c>
      <c r="BC892">
        <v>1966</v>
      </c>
      <c r="BD892" t="s">
        <v>90</v>
      </c>
    </row>
    <row r="893" spans="1:56" x14ac:dyDescent="0.35">
      <c r="A893">
        <v>100425</v>
      </c>
      <c r="B893" t="s">
        <v>895</v>
      </c>
      <c r="D893" t="s">
        <v>85</v>
      </c>
      <c r="E893" t="s">
        <v>86</v>
      </c>
      <c r="F893" t="s">
        <v>58</v>
      </c>
      <c r="G893" t="s">
        <v>59</v>
      </c>
      <c r="H893" t="s">
        <v>60</v>
      </c>
      <c r="J893" t="s">
        <v>86</v>
      </c>
      <c r="L893" t="s">
        <v>62</v>
      </c>
      <c r="M893" t="s">
        <v>63</v>
      </c>
      <c r="N893" t="s">
        <v>64</v>
      </c>
      <c r="P893" t="s">
        <v>100</v>
      </c>
      <c r="R893">
        <v>59.3</v>
      </c>
      <c r="T893">
        <v>50.87</v>
      </c>
      <c r="V893">
        <v>70.34</v>
      </c>
      <c r="W893" t="s">
        <v>66</v>
      </c>
      <c r="X893" t="s">
        <v>67</v>
      </c>
      <c r="Y893" t="s">
        <v>67</v>
      </c>
      <c r="Z893" t="s">
        <v>68</v>
      </c>
      <c r="AB893">
        <v>4</v>
      </c>
      <c r="AC893" t="s">
        <v>61</v>
      </c>
      <c r="AJ893" t="s">
        <v>69</v>
      </c>
      <c r="AY893" t="s">
        <v>168</v>
      </c>
      <c r="AZ893">
        <v>728</v>
      </c>
      <c r="BA893" t="s">
        <v>426</v>
      </c>
      <c r="BB893" t="s">
        <v>427</v>
      </c>
      <c r="BC893">
        <v>1966</v>
      </c>
      <c r="BD893" t="s">
        <v>90</v>
      </c>
    </row>
    <row r="894" spans="1:56" x14ac:dyDescent="0.35">
      <c r="A894">
        <v>100425</v>
      </c>
      <c r="B894" t="s">
        <v>895</v>
      </c>
      <c r="D894" t="s">
        <v>57</v>
      </c>
      <c r="E894">
        <v>98</v>
      </c>
      <c r="F894" t="s">
        <v>58</v>
      </c>
      <c r="G894" t="s">
        <v>59</v>
      </c>
      <c r="H894" t="s">
        <v>60</v>
      </c>
      <c r="J894">
        <v>30</v>
      </c>
      <c r="K894" t="s">
        <v>61</v>
      </c>
      <c r="L894" t="s">
        <v>62</v>
      </c>
      <c r="M894" t="s">
        <v>63</v>
      </c>
      <c r="N894" t="s">
        <v>64</v>
      </c>
      <c r="P894" t="s">
        <v>65</v>
      </c>
      <c r="R894">
        <v>9.9</v>
      </c>
      <c r="T894">
        <v>6.75</v>
      </c>
      <c r="V894">
        <v>14.5</v>
      </c>
      <c r="W894" t="s">
        <v>66</v>
      </c>
      <c r="X894" t="s">
        <v>67</v>
      </c>
      <c r="Y894" t="s">
        <v>67</v>
      </c>
      <c r="Z894" t="s">
        <v>68</v>
      </c>
      <c r="AB894">
        <v>4</v>
      </c>
      <c r="AC894" t="s">
        <v>61</v>
      </c>
      <c r="AJ894" t="s">
        <v>69</v>
      </c>
      <c r="AY894" t="s">
        <v>70</v>
      </c>
      <c r="AZ894">
        <v>14339</v>
      </c>
      <c r="BA894" t="s">
        <v>71</v>
      </c>
      <c r="BB894" t="s">
        <v>72</v>
      </c>
      <c r="BC894">
        <v>1987</v>
      </c>
      <c r="BD894" t="s">
        <v>73</v>
      </c>
    </row>
    <row r="895" spans="1:56" x14ac:dyDescent="0.35">
      <c r="A895">
        <v>100425</v>
      </c>
      <c r="B895" t="s">
        <v>895</v>
      </c>
      <c r="D895" t="s">
        <v>85</v>
      </c>
      <c r="E895" t="s">
        <v>86</v>
      </c>
      <c r="F895" t="s">
        <v>58</v>
      </c>
      <c r="G895" t="s">
        <v>59</v>
      </c>
      <c r="H895" t="s">
        <v>60</v>
      </c>
      <c r="J895" t="s">
        <v>86</v>
      </c>
      <c r="L895" t="s">
        <v>62</v>
      </c>
      <c r="M895" t="s">
        <v>63</v>
      </c>
      <c r="N895" t="s">
        <v>64</v>
      </c>
      <c r="P895" t="s">
        <v>100</v>
      </c>
      <c r="R895">
        <v>46.41</v>
      </c>
      <c r="T895">
        <v>37.11</v>
      </c>
      <c r="V895">
        <v>59.54</v>
      </c>
      <c r="W895" t="s">
        <v>66</v>
      </c>
      <c r="X895" t="s">
        <v>67</v>
      </c>
      <c r="Y895" t="s">
        <v>67</v>
      </c>
      <c r="Z895" t="s">
        <v>68</v>
      </c>
      <c r="AB895">
        <v>4</v>
      </c>
      <c r="AC895" t="s">
        <v>61</v>
      </c>
      <c r="AJ895" t="s">
        <v>69</v>
      </c>
      <c r="AY895" t="s">
        <v>168</v>
      </c>
      <c r="AZ895">
        <v>728</v>
      </c>
      <c r="BA895" t="s">
        <v>426</v>
      </c>
      <c r="BB895" t="s">
        <v>427</v>
      </c>
      <c r="BC895">
        <v>1966</v>
      </c>
      <c r="BD895" t="s">
        <v>90</v>
      </c>
    </row>
    <row r="896" spans="1:56" x14ac:dyDescent="0.35">
      <c r="A896">
        <v>100425</v>
      </c>
      <c r="B896" t="s">
        <v>895</v>
      </c>
      <c r="D896" t="s">
        <v>57</v>
      </c>
      <c r="E896">
        <v>98</v>
      </c>
      <c r="F896" t="s">
        <v>58</v>
      </c>
      <c r="G896" t="s">
        <v>59</v>
      </c>
      <c r="H896" t="s">
        <v>60</v>
      </c>
      <c r="J896">
        <v>30</v>
      </c>
      <c r="K896" t="s">
        <v>61</v>
      </c>
      <c r="L896" t="s">
        <v>74</v>
      </c>
      <c r="M896" t="s">
        <v>63</v>
      </c>
      <c r="N896" t="s">
        <v>64</v>
      </c>
      <c r="P896" t="s">
        <v>65</v>
      </c>
      <c r="R896">
        <v>4.0199999999999996</v>
      </c>
      <c r="T896">
        <v>3.24</v>
      </c>
      <c r="V896">
        <v>4.99</v>
      </c>
      <c r="W896" t="s">
        <v>66</v>
      </c>
      <c r="X896" t="s">
        <v>67</v>
      </c>
      <c r="Y896" t="s">
        <v>67</v>
      </c>
      <c r="Z896" t="s">
        <v>68</v>
      </c>
      <c r="AB896">
        <v>4</v>
      </c>
      <c r="AC896" t="s">
        <v>61</v>
      </c>
      <c r="AJ896" t="s">
        <v>69</v>
      </c>
      <c r="AY896" t="s">
        <v>75</v>
      </c>
      <c r="AZ896">
        <v>3217</v>
      </c>
      <c r="BA896" t="s">
        <v>76</v>
      </c>
      <c r="BB896" t="s">
        <v>77</v>
      </c>
      <c r="BC896">
        <v>1990</v>
      </c>
      <c r="BD896" t="s">
        <v>73</v>
      </c>
    </row>
    <row r="897" spans="1:56" x14ac:dyDescent="0.35">
      <c r="A897">
        <v>100425</v>
      </c>
      <c r="B897" t="s">
        <v>895</v>
      </c>
      <c r="D897" t="s">
        <v>85</v>
      </c>
      <c r="E897" t="s">
        <v>86</v>
      </c>
      <c r="F897" t="s">
        <v>58</v>
      </c>
      <c r="G897" t="s">
        <v>59</v>
      </c>
      <c r="H897" t="s">
        <v>60</v>
      </c>
      <c r="I897" t="s">
        <v>129</v>
      </c>
      <c r="J897" t="s">
        <v>86</v>
      </c>
      <c r="K897" t="s">
        <v>196</v>
      </c>
      <c r="L897" t="s">
        <v>62</v>
      </c>
      <c r="M897" t="s">
        <v>63</v>
      </c>
      <c r="N897" t="s">
        <v>64</v>
      </c>
      <c r="P897" t="s">
        <v>100</v>
      </c>
      <c r="R897">
        <v>32</v>
      </c>
      <c r="W897" t="s">
        <v>66</v>
      </c>
      <c r="X897" t="s">
        <v>67</v>
      </c>
      <c r="Y897" t="s">
        <v>67</v>
      </c>
      <c r="Z897" t="s">
        <v>68</v>
      </c>
      <c r="AB897">
        <v>4</v>
      </c>
      <c r="AC897" t="s">
        <v>61</v>
      </c>
      <c r="AJ897" t="s">
        <v>69</v>
      </c>
      <c r="AY897" t="s">
        <v>338</v>
      </c>
      <c r="AZ897">
        <v>719</v>
      </c>
      <c r="BA897" t="s">
        <v>339</v>
      </c>
      <c r="BB897" t="s">
        <v>340</v>
      </c>
      <c r="BC897">
        <v>1976</v>
      </c>
      <c r="BD897" t="s">
        <v>341</v>
      </c>
    </row>
    <row r="898" spans="1:56" x14ac:dyDescent="0.35">
      <c r="A898">
        <v>100425</v>
      </c>
      <c r="B898" t="s">
        <v>895</v>
      </c>
      <c r="D898" t="s">
        <v>57</v>
      </c>
      <c r="E898">
        <v>98</v>
      </c>
      <c r="F898" t="s">
        <v>58</v>
      </c>
      <c r="G898" t="s">
        <v>59</v>
      </c>
      <c r="H898" t="s">
        <v>60</v>
      </c>
      <c r="J898">
        <v>30</v>
      </c>
      <c r="K898" t="s">
        <v>61</v>
      </c>
      <c r="L898" t="s">
        <v>74</v>
      </c>
      <c r="M898" t="s">
        <v>63</v>
      </c>
      <c r="N898" t="s">
        <v>64</v>
      </c>
      <c r="P898" t="s">
        <v>65</v>
      </c>
      <c r="R898">
        <v>4.08</v>
      </c>
      <c r="T898">
        <v>3.29</v>
      </c>
      <c r="V898">
        <v>5.05</v>
      </c>
      <c r="W898" t="s">
        <v>66</v>
      </c>
      <c r="X898" t="s">
        <v>67</v>
      </c>
      <c r="Y898" t="s">
        <v>67</v>
      </c>
      <c r="Z898" t="s">
        <v>68</v>
      </c>
      <c r="AB898">
        <v>4</v>
      </c>
      <c r="AC898" t="s">
        <v>61</v>
      </c>
      <c r="AJ898" t="s">
        <v>69</v>
      </c>
      <c r="AY898" t="s">
        <v>70</v>
      </c>
      <c r="AZ898">
        <v>14339</v>
      </c>
      <c r="BA898" t="s">
        <v>71</v>
      </c>
      <c r="BB898" t="s">
        <v>72</v>
      </c>
      <c r="BC898">
        <v>1987</v>
      </c>
      <c r="BD898" t="s">
        <v>73</v>
      </c>
    </row>
    <row r="899" spans="1:56" x14ac:dyDescent="0.35">
      <c r="A899">
        <v>100425</v>
      </c>
      <c r="B899" t="s">
        <v>895</v>
      </c>
      <c r="D899" t="s">
        <v>57</v>
      </c>
      <c r="E899">
        <v>99.929000000000002</v>
      </c>
      <c r="F899" t="s">
        <v>58</v>
      </c>
      <c r="G899" t="s">
        <v>59</v>
      </c>
      <c r="H899" t="s">
        <v>60</v>
      </c>
      <c r="J899" t="s">
        <v>86</v>
      </c>
      <c r="L899" t="s">
        <v>74</v>
      </c>
      <c r="M899" t="s">
        <v>63</v>
      </c>
      <c r="N899" t="s">
        <v>64</v>
      </c>
      <c r="P899" t="s">
        <v>65</v>
      </c>
      <c r="R899">
        <v>10</v>
      </c>
      <c r="T899">
        <v>9</v>
      </c>
      <c r="V899">
        <v>12</v>
      </c>
      <c r="W899" t="s">
        <v>66</v>
      </c>
      <c r="X899" t="s">
        <v>67</v>
      </c>
      <c r="Y899" t="s">
        <v>67</v>
      </c>
      <c r="Z899" t="s">
        <v>68</v>
      </c>
      <c r="AB899">
        <v>4</v>
      </c>
      <c r="AC899" t="s">
        <v>61</v>
      </c>
      <c r="AJ899" t="s">
        <v>69</v>
      </c>
      <c r="AY899" t="s">
        <v>896</v>
      </c>
      <c r="AZ899">
        <v>18326</v>
      </c>
      <c r="BA899" t="s">
        <v>897</v>
      </c>
      <c r="BB899" t="s">
        <v>898</v>
      </c>
      <c r="BC899">
        <v>1997</v>
      </c>
      <c r="BD899" t="s">
        <v>90</v>
      </c>
    </row>
    <row r="900" spans="1:56" x14ac:dyDescent="0.35">
      <c r="A900">
        <v>100425</v>
      </c>
      <c r="B900" t="s">
        <v>895</v>
      </c>
      <c r="D900" t="s">
        <v>85</v>
      </c>
      <c r="E900" t="s">
        <v>86</v>
      </c>
      <c r="F900" t="s">
        <v>58</v>
      </c>
      <c r="G900" t="s">
        <v>59</v>
      </c>
      <c r="H900" t="s">
        <v>60</v>
      </c>
      <c r="I900" t="s">
        <v>129</v>
      </c>
      <c r="J900" t="s">
        <v>86</v>
      </c>
      <c r="K900" t="s">
        <v>196</v>
      </c>
      <c r="L900" t="s">
        <v>62</v>
      </c>
      <c r="M900" t="s">
        <v>63</v>
      </c>
      <c r="N900" t="s">
        <v>64</v>
      </c>
      <c r="P900" t="s">
        <v>100</v>
      </c>
      <c r="R900">
        <v>29</v>
      </c>
      <c r="W900" t="s">
        <v>66</v>
      </c>
      <c r="X900" t="s">
        <v>67</v>
      </c>
      <c r="Y900" t="s">
        <v>67</v>
      </c>
      <c r="Z900" t="s">
        <v>68</v>
      </c>
      <c r="AB900">
        <v>4</v>
      </c>
      <c r="AC900" t="s">
        <v>61</v>
      </c>
      <c r="AJ900" t="s">
        <v>69</v>
      </c>
      <c r="AY900" t="s">
        <v>338</v>
      </c>
      <c r="AZ900">
        <v>719</v>
      </c>
      <c r="BA900" t="s">
        <v>339</v>
      </c>
      <c r="BB900" t="s">
        <v>340</v>
      </c>
      <c r="BC900">
        <v>1976</v>
      </c>
      <c r="BD900" t="s">
        <v>341</v>
      </c>
    </row>
    <row r="901" spans="1:56" x14ac:dyDescent="0.35">
      <c r="A901">
        <v>100447</v>
      </c>
      <c r="B901" t="s">
        <v>899</v>
      </c>
      <c r="D901" t="s">
        <v>57</v>
      </c>
      <c r="E901" t="s">
        <v>86</v>
      </c>
      <c r="F901" t="s">
        <v>58</v>
      </c>
      <c r="G901" t="s">
        <v>59</v>
      </c>
      <c r="H901" t="s">
        <v>60</v>
      </c>
      <c r="J901" t="s">
        <v>86</v>
      </c>
      <c r="L901" t="s">
        <v>62</v>
      </c>
      <c r="M901" t="s">
        <v>63</v>
      </c>
      <c r="N901" t="s">
        <v>64</v>
      </c>
      <c r="O901" t="s">
        <v>267</v>
      </c>
      <c r="P901" t="s">
        <v>65</v>
      </c>
      <c r="T901">
        <v>4.7</v>
      </c>
      <c r="V901">
        <v>7.8</v>
      </c>
      <c r="W901" t="s">
        <v>66</v>
      </c>
      <c r="X901" t="s">
        <v>67</v>
      </c>
      <c r="Y901" t="s">
        <v>67</v>
      </c>
      <c r="Z901" t="s">
        <v>68</v>
      </c>
      <c r="AB901">
        <v>4</v>
      </c>
      <c r="AC901" t="s">
        <v>61</v>
      </c>
      <c r="AJ901" t="s">
        <v>69</v>
      </c>
      <c r="AY901" t="s">
        <v>268</v>
      </c>
      <c r="AZ901">
        <v>2965</v>
      </c>
      <c r="BA901" t="s">
        <v>269</v>
      </c>
      <c r="BB901" t="s">
        <v>270</v>
      </c>
      <c r="BC901">
        <v>1981</v>
      </c>
      <c r="BD901" t="s">
        <v>90</v>
      </c>
    </row>
    <row r="902" spans="1:56" x14ac:dyDescent="0.35">
      <c r="A902">
        <v>100447</v>
      </c>
      <c r="B902" t="s">
        <v>899</v>
      </c>
      <c r="D902" t="s">
        <v>57</v>
      </c>
      <c r="E902" t="s">
        <v>86</v>
      </c>
      <c r="F902" t="s">
        <v>58</v>
      </c>
      <c r="G902" t="s">
        <v>59</v>
      </c>
      <c r="H902" t="s">
        <v>60</v>
      </c>
      <c r="J902" t="s">
        <v>86</v>
      </c>
      <c r="L902" t="s">
        <v>62</v>
      </c>
      <c r="M902" t="s">
        <v>63</v>
      </c>
      <c r="N902" t="s">
        <v>64</v>
      </c>
      <c r="P902" t="s">
        <v>65</v>
      </c>
      <c r="R902">
        <v>5</v>
      </c>
      <c r="T902">
        <v>4.4000000000000004</v>
      </c>
      <c r="V902">
        <v>5.6</v>
      </c>
      <c r="W902" t="s">
        <v>66</v>
      </c>
      <c r="X902" t="s">
        <v>67</v>
      </c>
      <c r="Y902" t="s">
        <v>67</v>
      </c>
      <c r="Z902" t="s">
        <v>68</v>
      </c>
      <c r="AB902">
        <v>4</v>
      </c>
      <c r="AC902" t="s">
        <v>61</v>
      </c>
      <c r="AJ902" t="s">
        <v>69</v>
      </c>
      <c r="AY902" t="s">
        <v>818</v>
      </c>
      <c r="AZ902">
        <v>5735</v>
      </c>
      <c r="BA902" t="s">
        <v>821</v>
      </c>
      <c r="BB902" t="s">
        <v>822</v>
      </c>
      <c r="BC902">
        <v>1978</v>
      </c>
      <c r="BD902" t="s">
        <v>90</v>
      </c>
    </row>
    <row r="903" spans="1:56" x14ac:dyDescent="0.35">
      <c r="A903">
        <v>100469</v>
      </c>
      <c r="B903" t="s">
        <v>900</v>
      </c>
      <c r="D903" t="s">
        <v>57</v>
      </c>
      <c r="E903">
        <v>99</v>
      </c>
      <c r="F903" t="s">
        <v>58</v>
      </c>
      <c r="G903" t="s">
        <v>59</v>
      </c>
      <c r="H903" t="s">
        <v>60</v>
      </c>
      <c r="J903">
        <v>30</v>
      </c>
      <c r="K903" t="s">
        <v>61</v>
      </c>
      <c r="L903" t="s">
        <v>74</v>
      </c>
      <c r="M903" t="s">
        <v>63</v>
      </c>
      <c r="N903" t="s">
        <v>64</v>
      </c>
      <c r="P903" t="s">
        <v>65</v>
      </c>
      <c r="R903">
        <v>102</v>
      </c>
      <c r="T903">
        <v>97.9</v>
      </c>
      <c r="V903">
        <v>106</v>
      </c>
      <c r="W903" t="s">
        <v>66</v>
      </c>
      <c r="X903" t="s">
        <v>67</v>
      </c>
      <c r="Y903" t="s">
        <v>67</v>
      </c>
      <c r="Z903" t="s">
        <v>68</v>
      </c>
      <c r="AB903">
        <v>4</v>
      </c>
      <c r="AC903" t="s">
        <v>61</v>
      </c>
      <c r="AJ903" t="s">
        <v>69</v>
      </c>
      <c r="AY903" t="s">
        <v>75</v>
      </c>
      <c r="AZ903">
        <v>3217</v>
      </c>
      <c r="BA903" t="s">
        <v>76</v>
      </c>
      <c r="BB903" t="s">
        <v>77</v>
      </c>
      <c r="BC903">
        <v>1990</v>
      </c>
      <c r="BD903" t="s">
        <v>73</v>
      </c>
    </row>
    <row r="904" spans="1:56" x14ac:dyDescent="0.35">
      <c r="A904">
        <v>100470</v>
      </c>
      <c r="B904" t="s">
        <v>901</v>
      </c>
      <c r="C904" t="s">
        <v>464</v>
      </c>
      <c r="D904" t="s">
        <v>85</v>
      </c>
      <c r="E904" t="s">
        <v>86</v>
      </c>
      <c r="F904" t="s">
        <v>58</v>
      </c>
      <c r="G904" t="s">
        <v>59</v>
      </c>
      <c r="H904" t="s">
        <v>60</v>
      </c>
      <c r="J904" t="s">
        <v>86</v>
      </c>
      <c r="L904" t="s">
        <v>62</v>
      </c>
      <c r="M904" t="s">
        <v>63</v>
      </c>
      <c r="N904" t="s">
        <v>64</v>
      </c>
      <c r="P904" t="s">
        <v>65</v>
      </c>
      <c r="R904">
        <v>78</v>
      </c>
      <c r="W904" t="s">
        <v>66</v>
      </c>
      <c r="X904" t="s">
        <v>67</v>
      </c>
      <c r="Y904" t="s">
        <v>67</v>
      </c>
      <c r="Z904" t="s">
        <v>68</v>
      </c>
      <c r="AB904">
        <v>4</v>
      </c>
      <c r="AC904" t="s">
        <v>61</v>
      </c>
      <c r="AJ904" t="s">
        <v>69</v>
      </c>
      <c r="AY904" t="s">
        <v>465</v>
      </c>
      <c r="AZ904">
        <v>923</v>
      </c>
      <c r="BA904" t="s">
        <v>466</v>
      </c>
      <c r="BB904" t="s">
        <v>467</v>
      </c>
      <c r="BC904">
        <v>1961</v>
      </c>
      <c r="BD904" t="s">
        <v>468</v>
      </c>
    </row>
    <row r="905" spans="1:56" x14ac:dyDescent="0.35">
      <c r="A905">
        <v>100470</v>
      </c>
      <c r="B905" t="s">
        <v>901</v>
      </c>
      <c r="C905" t="s">
        <v>464</v>
      </c>
      <c r="D905" t="s">
        <v>85</v>
      </c>
      <c r="E905" t="s">
        <v>86</v>
      </c>
      <c r="F905" t="s">
        <v>58</v>
      </c>
      <c r="G905" t="s">
        <v>59</v>
      </c>
      <c r="H905" t="s">
        <v>60</v>
      </c>
      <c r="J905" t="s">
        <v>86</v>
      </c>
      <c r="L905" t="s">
        <v>62</v>
      </c>
      <c r="M905" t="s">
        <v>63</v>
      </c>
      <c r="N905" t="s">
        <v>64</v>
      </c>
      <c r="P905" t="s">
        <v>65</v>
      </c>
      <c r="R905">
        <v>135</v>
      </c>
      <c r="W905" t="s">
        <v>66</v>
      </c>
      <c r="X905" t="s">
        <v>67</v>
      </c>
      <c r="Y905" t="s">
        <v>67</v>
      </c>
      <c r="Z905" t="s">
        <v>68</v>
      </c>
      <c r="AB905">
        <v>4</v>
      </c>
      <c r="AC905" t="s">
        <v>61</v>
      </c>
      <c r="AJ905" t="s">
        <v>69</v>
      </c>
      <c r="AY905" t="s">
        <v>465</v>
      </c>
      <c r="AZ905">
        <v>923</v>
      </c>
      <c r="BA905" t="s">
        <v>466</v>
      </c>
      <c r="BB905" t="s">
        <v>467</v>
      </c>
      <c r="BC905">
        <v>1961</v>
      </c>
      <c r="BD905" t="s">
        <v>468</v>
      </c>
    </row>
    <row r="906" spans="1:56" x14ac:dyDescent="0.35">
      <c r="A906">
        <v>100516</v>
      </c>
      <c r="B906" t="s">
        <v>902</v>
      </c>
      <c r="D906" t="s">
        <v>85</v>
      </c>
      <c r="E906" t="s">
        <v>86</v>
      </c>
      <c r="F906" t="s">
        <v>58</v>
      </c>
      <c r="G906" t="s">
        <v>59</v>
      </c>
      <c r="H906" t="s">
        <v>60</v>
      </c>
      <c r="I906" t="s">
        <v>129</v>
      </c>
      <c r="J906" t="s">
        <v>86</v>
      </c>
      <c r="K906" t="s">
        <v>196</v>
      </c>
      <c r="L906" t="s">
        <v>62</v>
      </c>
      <c r="M906" t="s">
        <v>63</v>
      </c>
      <c r="N906" t="s">
        <v>64</v>
      </c>
      <c r="P906" t="s">
        <v>100</v>
      </c>
      <c r="R906">
        <v>460</v>
      </c>
      <c r="W906" t="s">
        <v>66</v>
      </c>
      <c r="X906" t="s">
        <v>67</v>
      </c>
      <c r="Y906" t="s">
        <v>67</v>
      </c>
      <c r="Z906" t="s">
        <v>68</v>
      </c>
      <c r="AB906">
        <v>4</v>
      </c>
      <c r="AC906" t="s">
        <v>61</v>
      </c>
      <c r="AJ906" t="s">
        <v>69</v>
      </c>
      <c r="AY906" t="s">
        <v>338</v>
      </c>
      <c r="AZ906">
        <v>719</v>
      </c>
      <c r="BA906" t="s">
        <v>339</v>
      </c>
      <c r="BB906" t="s">
        <v>340</v>
      </c>
      <c r="BC906">
        <v>1976</v>
      </c>
      <c r="BD906" t="s">
        <v>341</v>
      </c>
    </row>
    <row r="907" spans="1:56" x14ac:dyDescent="0.35">
      <c r="A907">
        <v>100527</v>
      </c>
      <c r="B907" t="s">
        <v>903</v>
      </c>
      <c r="D907" t="s">
        <v>57</v>
      </c>
      <c r="E907" t="s">
        <v>86</v>
      </c>
      <c r="F907" t="s">
        <v>58</v>
      </c>
      <c r="G907" t="s">
        <v>59</v>
      </c>
      <c r="H907" t="s">
        <v>60</v>
      </c>
      <c r="J907" t="s">
        <v>86</v>
      </c>
      <c r="L907" t="s">
        <v>74</v>
      </c>
      <c r="M907" t="s">
        <v>63</v>
      </c>
      <c r="N907" t="s">
        <v>64</v>
      </c>
      <c r="P907" t="s">
        <v>65</v>
      </c>
      <c r="R907">
        <v>12.4</v>
      </c>
      <c r="T907">
        <v>10.9</v>
      </c>
      <c r="V907">
        <v>14</v>
      </c>
      <c r="W907" t="s">
        <v>66</v>
      </c>
      <c r="X907" t="s">
        <v>67</v>
      </c>
      <c r="Y907" t="s">
        <v>67</v>
      </c>
      <c r="Z907" t="s">
        <v>68</v>
      </c>
      <c r="AB907">
        <v>4</v>
      </c>
      <c r="AC907" t="s">
        <v>61</v>
      </c>
      <c r="AJ907" t="s">
        <v>69</v>
      </c>
      <c r="AY907" t="s">
        <v>325</v>
      </c>
      <c r="AZ907">
        <v>10775</v>
      </c>
      <c r="BA907" t="s">
        <v>326</v>
      </c>
      <c r="BB907" t="s">
        <v>327</v>
      </c>
      <c r="BC907">
        <v>1985</v>
      </c>
      <c r="BD907" t="s">
        <v>90</v>
      </c>
    </row>
    <row r="908" spans="1:56" x14ac:dyDescent="0.35">
      <c r="A908">
        <v>100527</v>
      </c>
      <c r="B908" t="s">
        <v>903</v>
      </c>
      <c r="D908" t="s">
        <v>57</v>
      </c>
      <c r="E908">
        <v>98</v>
      </c>
      <c r="F908" t="s">
        <v>58</v>
      </c>
      <c r="G908" t="s">
        <v>59</v>
      </c>
      <c r="H908" t="s">
        <v>60</v>
      </c>
      <c r="J908" t="s">
        <v>86</v>
      </c>
      <c r="L908" t="s">
        <v>74</v>
      </c>
      <c r="M908" t="s">
        <v>63</v>
      </c>
      <c r="N908" t="s">
        <v>64</v>
      </c>
      <c r="O908">
        <v>7</v>
      </c>
      <c r="P908" t="s">
        <v>65</v>
      </c>
      <c r="R908">
        <v>19</v>
      </c>
      <c r="T908">
        <v>16</v>
      </c>
      <c r="V908">
        <v>22</v>
      </c>
      <c r="W908" t="s">
        <v>66</v>
      </c>
      <c r="X908" t="s">
        <v>67</v>
      </c>
      <c r="Y908" t="s">
        <v>67</v>
      </c>
      <c r="Z908" t="s">
        <v>68</v>
      </c>
      <c r="AB908">
        <v>4</v>
      </c>
      <c r="AC908" t="s">
        <v>61</v>
      </c>
      <c r="AJ908" t="s">
        <v>69</v>
      </c>
      <c r="AY908" t="s">
        <v>351</v>
      </c>
      <c r="AZ908">
        <v>9994</v>
      </c>
      <c r="BA908" t="s">
        <v>352</v>
      </c>
      <c r="BB908" t="s">
        <v>353</v>
      </c>
      <c r="BC908">
        <v>1982</v>
      </c>
      <c r="BD908" t="s">
        <v>90</v>
      </c>
    </row>
    <row r="909" spans="1:56" x14ac:dyDescent="0.35">
      <c r="A909">
        <v>100527</v>
      </c>
      <c r="B909" t="s">
        <v>903</v>
      </c>
      <c r="D909" t="s">
        <v>57</v>
      </c>
      <c r="E909" t="s">
        <v>407</v>
      </c>
      <c r="F909" t="s">
        <v>58</v>
      </c>
      <c r="G909" t="s">
        <v>59</v>
      </c>
      <c r="H909" t="s">
        <v>60</v>
      </c>
      <c r="J909">
        <v>90</v>
      </c>
      <c r="K909" t="s">
        <v>61</v>
      </c>
      <c r="L909" t="s">
        <v>74</v>
      </c>
      <c r="M909" t="s">
        <v>63</v>
      </c>
      <c r="N909" t="s">
        <v>64</v>
      </c>
      <c r="P909" t="s">
        <v>65</v>
      </c>
      <c r="R909">
        <v>12.8</v>
      </c>
      <c r="T909">
        <v>11.3</v>
      </c>
      <c r="V909">
        <v>14.5</v>
      </c>
      <c r="W909" t="s">
        <v>66</v>
      </c>
      <c r="X909" t="s">
        <v>67</v>
      </c>
      <c r="Y909" t="s">
        <v>67</v>
      </c>
      <c r="Z909" t="s">
        <v>68</v>
      </c>
      <c r="AB909">
        <v>4</v>
      </c>
      <c r="AC909" t="s">
        <v>61</v>
      </c>
      <c r="AJ909" t="s">
        <v>69</v>
      </c>
      <c r="AY909" t="s">
        <v>141</v>
      </c>
      <c r="AZ909">
        <v>12447</v>
      </c>
      <c r="BA909" t="s">
        <v>142</v>
      </c>
      <c r="BB909" t="s">
        <v>143</v>
      </c>
      <c r="BC909">
        <v>1985</v>
      </c>
      <c r="BD909" t="s">
        <v>73</v>
      </c>
    </row>
    <row r="910" spans="1:56" x14ac:dyDescent="0.35">
      <c r="A910">
        <v>100527</v>
      </c>
      <c r="B910" t="s">
        <v>903</v>
      </c>
      <c r="D910" t="s">
        <v>57</v>
      </c>
      <c r="E910">
        <v>98</v>
      </c>
      <c r="F910" t="s">
        <v>58</v>
      </c>
      <c r="G910" t="s">
        <v>59</v>
      </c>
      <c r="H910" t="s">
        <v>60</v>
      </c>
      <c r="J910" t="s">
        <v>86</v>
      </c>
      <c r="L910" t="s">
        <v>62</v>
      </c>
      <c r="M910" t="s">
        <v>63</v>
      </c>
      <c r="N910" t="s">
        <v>64</v>
      </c>
      <c r="O910">
        <v>6</v>
      </c>
      <c r="P910" t="s">
        <v>65</v>
      </c>
      <c r="R910">
        <v>26</v>
      </c>
      <c r="T910">
        <v>22</v>
      </c>
      <c r="V910">
        <v>30</v>
      </c>
      <c r="W910" t="s">
        <v>66</v>
      </c>
      <c r="X910" t="s">
        <v>67</v>
      </c>
      <c r="Y910" t="s">
        <v>67</v>
      </c>
      <c r="Z910" t="s">
        <v>68</v>
      </c>
      <c r="AB910">
        <v>4</v>
      </c>
      <c r="AC910" t="s">
        <v>61</v>
      </c>
      <c r="AJ910" t="s">
        <v>69</v>
      </c>
      <c r="AY910" t="s">
        <v>351</v>
      </c>
      <c r="AZ910">
        <v>9994</v>
      </c>
      <c r="BA910" t="s">
        <v>352</v>
      </c>
      <c r="BB910" t="s">
        <v>353</v>
      </c>
      <c r="BC910">
        <v>1982</v>
      </c>
      <c r="BD910" t="s">
        <v>90</v>
      </c>
    </row>
    <row r="911" spans="1:56" x14ac:dyDescent="0.35">
      <c r="A911">
        <v>100527</v>
      </c>
      <c r="B911" t="s">
        <v>903</v>
      </c>
      <c r="D911" t="s">
        <v>57</v>
      </c>
      <c r="E911">
        <v>98</v>
      </c>
      <c r="F911" t="s">
        <v>58</v>
      </c>
      <c r="G911" t="s">
        <v>59</v>
      </c>
      <c r="H911" t="s">
        <v>60</v>
      </c>
      <c r="J911">
        <v>29</v>
      </c>
      <c r="K911" t="s">
        <v>61</v>
      </c>
      <c r="L911" t="s">
        <v>74</v>
      </c>
      <c r="M911" t="s">
        <v>63</v>
      </c>
      <c r="N911" t="s">
        <v>64</v>
      </c>
      <c r="P911" t="s">
        <v>65</v>
      </c>
      <c r="R911">
        <v>7.61</v>
      </c>
      <c r="T911">
        <v>6.8</v>
      </c>
      <c r="V911">
        <v>8.5299999999999994</v>
      </c>
      <c r="W911" t="s">
        <v>66</v>
      </c>
      <c r="X911" t="s">
        <v>67</v>
      </c>
      <c r="Y911" t="s">
        <v>67</v>
      </c>
      <c r="Z911" t="s">
        <v>68</v>
      </c>
      <c r="AB911">
        <v>4</v>
      </c>
      <c r="AC911" t="s">
        <v>61</v>
      </c>
      <c r="AJ911" t="s">
        <v>69</v>
      </c>
      <c r="AY911" t="s">
        <v>286</v>
      </c>
      <c r="AZ911">
        <v>12448</v>
      </c>
      <c r="BA911" t="s">
        <v>287</v>
      </c>
      <c r="BB911" t="s">
        <v>288</v>
      </c>
      <c r="BC911">
        <v>1984</v>
      </c>
      <c r="BD911" t="s">
        <v>73</v>
      </c>
    </row>
    <row r="912" spans="1:56" x14ac:dyDescent="0.35">
      <c r="A912">
        <v>100618</v>
      </c>
      <c r="B912" t="s">
        <v>904</v>
      </c>
      <c r="D912" t="s">
        <v>57</v>
      </c>
      <c r="E912" t="s">
        <v>79</v>
      </c>
      <c r="F912" t="s">
        <v>58</v>
      </c>
      <c r="G912" t="s">
        <v>59</v>
      </c>
      <c r="H912" t="s">
        <v>60</v>
      </c>
      <c r="J912">
        <v>30</v>
      </c>
      <c r="K912" t="s">
        <v>61</v>
      </c>
      <c r="L912" t="s">
        <v>74</v>
      </c>
      <c r="M912" t="s">
        <v>63</v>
      </c>
      <c r="N912" t="s">
        <v>64</v>
      </c>
      <c r="P912" t="s">
        <v>65</v>
      </c>
      <c r="R912">
        <v>100</v>
      </c>
      <c r="W912" t="s">
        <v>66</v>
      </c>
      <c r="X912" t="s">
        <v>67</v>
      </c>
      <c r="Y912" t="s">
        <v>67</v>
      </c>
      <c r="Z912" t="s">
        <v>68</v>
      </c>
      <c r="AB912">
        <v>4</v>
      </c>
      <c r="AC912" t="s">
        <v>61</v>
      </c>
      <c r="AJ912" t="s">
        <v>69</v>
      </c>
      <c r="AY912" t="s">
        <v>75</v>
      </c>
      <c r="AZ912">
        <v>3217</v>
      </c>
      <c r="BA912" t="s">
        <v>76</v>
      </c>
      <c r="BB912" t="s">
        <v>77</v>
      </c>
      <c r="BC912">
        <v>1990</v>
      </c>
      <c r="BD912" t="s">
        <v>73</v>
      </c>
    </row>
    <row r="913" spans="1:56" x14ac:dyDescent="0.35">
      <c r="A913">
        <v>100641</v>
      </c>
      <c r="B913" t="s">
        <v>905</v>
      </c>
      <c r="D913" t="s">
        <v>57</v>
      </c>
      <c r="E913">
        <v>97</v>
      </c>
      <c r="F913" t="s">
        <v>58</v>
      </c>
      <c r="G913" t="s">
        <v>59</v>
      </c>
      <c r="H913" t="s">
        <v>60</v>
      </c>
      <c r="J913">
        <v>32</v>
      </c>
      <c r="K913" t="s">
        <v>61</v>
      </c>
      <c r="L913" t="s">
        <v>74</v>
      </c>
      <c r="M913" t="s">
        <v>63</v>
      </c>
      <c r="N913" t="s">
        <v>64</v>
      </c>
      <c r="P913" t="s">
        <v>65</v>
      </c>
      <c r="R913">
        <v>208</v>
      </c>
      <c r="T913">
        <v>189</v>
      </c>
      <c r="V913">
        <v>230</v>
      </c>
      <c r="W913" t="s">
        <v>66</v>
      </c>
      <c r="X913" t="s">
        <v>67</v>
      </c>
      <c r="Y913" t="s">
        <v>67</v>
      </c>
      <c r="Z913" t="s">
        <v>68</v>
      </c>
      <c r="AB913">
        <v>4</v>
      </c>
      <c r="AC913" t="s">
        <v>61</v>
      </c>
      <c r="AJ913" t="s">
        <v>69</v>
      </c>
      <c r="AY913" t="s">
        <v>75</v>
      </c>
      <c r="AZ913">
        <v>3217</v>
      </c>
      <c r="BA913" t="s">
        <v>76</v>
      </c>
      <c r="BB913" t="s">
        <v>77</v>
      </c>
      <c r="BC913">
        <v>1990</v>
      </c>
      <c r="BD913" t="s">
        <v>73</v>
      </c>
    </row>
    <row r="914" spans="1:56" x14ac:dyDescent="0.35">
      <c r="A914">
        <v>100709</v>
      </c>
      <c r="B914" t="s">
        <v>906</v>
      </c>
      <c r="D914" t="s">
        <v>57</v>
      </c>
      <c r="E914">
        <v>99</v>
      </c>
      <c r="F914" t="s">
        <v>58</v>
      </c>
      <c r="G914" t="s">
        <v>59</v>
      </c>
      <c r="H914" t="s">
        <v>60</v>
      </c>
      <c r="J914">
        <v>31</v>
      </c>
      <c r="K914" t="s">
        <v>61</v>
      </c>
      <c r="L914" t="s">
        <v>74</v>
      </c>
      <c r="M914" t="s">
        <v>63</v>
      </c>
      <c r="N914" t="s">
        <v>64</v>
      </c>
      <c r="P914" t="s">
        <v>65</v>
      </c>
      <c r="R914">
        <v>726</v>
      </c>
      <c r="T914">
        <v>673</v>
      </c>
      <c r="V914">
        <v>783</v>
      </c>
      <c r="W914" t="s">
        <v>66</v>
      </c>
      <c r="X914" t="s">
        <v>67</v>
      </c>
      <c r="Y914" t="s">
        <v>67</v>
      </c>
      <c r="Z914" t="s">
        <v>68</v>
      </c>
      <c r="AB914">
        <v>4</v>
      </c>
      <c r="AC914" t="s">
        <v>61</v>
      </c>
      <c r="AJ914" t="s">
        <v>69</v>
      </c>
      <c r="AY914" t="s">
        <v>263</v>
      </c>
      <c r="AZ914">
        <v>12858</v>
      </c>
      <c r="BA914" t="s">
        <v>264</v>
      </c>
      <c r="BB914" t="s">
        <v>265</v>
      </c>
      <c r="BC914">
        <v>1986</v>
      </c>
      <c r="BD914" t="s">
        <v>73</v>
      </c>
    </row>
    <row r="915" spans="1:56" x14ac:dyDescent="0.35">
      <c r="A915">
        <v>100709</v>
      </c>
      <c r="B915" t="s">
        <v>906</v>
      </c>
      <c r="D915" t="s">
        <v>57</v>
      </c>
      <c r="E915" t="s">
        <v>128</v>
      </c>
      <c r="F915" t="s">
        <v>58</v>
      </c>
      <c r="G915" t="s">
        <v>59</v>
      </c>
      <c r="H915" t="s">
        <v>60</v>
      </c>
      <c r="I915" t="s">
        <v>129</v>
      </c>
      <c r="J915" t="s">
        <v>86</v>
      </c>
      <c r="K915" t="s">
        <v>61</v>
      </c>
      <c r="L915" t="s">
        <v>74</v>
      </c>
      <c r="M915" t="s">
        <v>63</v>
      </c>
      <c r="N915" t="s">
        <v>64</v>
      </c>
      <c r="P915" t="s">
        <v>65</v>
      </c>
      <c r="R915">
        <v>726</v>
      </c>
      <c r="W915" t="s">
        <v>66</v>
      </c>
      <c r="X915" t="s">
        <v>67</v>
      </c>
      <c r="Y915" t="s">
        <v>67</v>
      </c>
      <c r="Z915" t="s">
        <v>68</v>
      </c>
      <c r="AB915">
        <v>4</v>
      </c>
      <c r="AC915" t="s">
        <v>61</v>
      </c>
      <c r="AJ915" t="s">
        <v>69</v>
      </c>
      <c r="AY915" t="s">
        <v>134</v>
      </c>
      <c r="AZ915">
        <v>15031</v>
      </c>
      <c r="BA915" t="s">
        <v>135</v>
      </c>
      <c r="BB915" t="s">
        <v>136</v>
      </c>
      <c r="BC915">
        <v>1995</v>
      </c>
      <c r="BD915" t="s">
        <v>133</v>
      </c>
    </row>
    <row r="916" spans="1:56" x14ac:dyDescent="0.35">
      <c r="A916">
        <v>100710</v>
      </c>
      <c r="B916" t="s">
        <v>907</v>
      </c>
      <c r="D916" t="s">
        <v>57</v>
      </c>
      <c r="E916">
        <v>97</v>
      </c>
      <c r="F916" t="s">
        <v>58</v>
      </c>
      <c r="G916" t="s">
        <v>59</v>
      </c>
      <c r="H916" t="s">
        <v>60</v>
      </c>
      <c r="J916">
        <v>29</v>
      </c>
      <c r="K916" t="s">
        <v>61</v>
      </c>
      <c r="L916" t="s">
        <v>74</v>
      </c>
      <c r="M916" t="s">
        <v>63</v>
      </c>
      <c r="N916" t="s">
        <v>64</v>
      </c>
      <c r="P916" t="s">
        <v>65</v>
      </c>
      <c r="R916">
        <v>414</v>
      </c>
      <c r="T916">
        <v>390</v>
      </c>
      <c r="V916">
        <v>439</v>
      </c>
      <c r="W916" t="s">
        <v>66</v>
      </c>
      <c r="X916" t="s">
        <v>67</v>
      </c>
      <c r="Y916" t="s">
        <v>67</v>
      </c>
      <c r="Z916" t="s">
        <v>68</v>
      </c>
      <c r="AB916">
        <v>4</v>
      </c>
      <c r="AC916" t="s">
        <v>61</v>
      </c>
      <c r="AJ916" t="s">
        <v>69</v>
      </c>
      <c r="AY916" t="s">
        <v>75</v>
      </c>
      <c r="AZ916">
        <v>3217</v>
      </c>
      <c r="BA916" t="s">
        <v>76</v>
      </c>
      <c r="BB916" t="s">
        <v>77</v>
      </c>
      <c r="BC916">
        <v>1990</v>
      </c>
      <c r="BD916" t="s">
        <v>73</v>
      </c>
    </row>
    <row r="917" spans="1:56" x14ac:dyDescent="0.35">
      <c r="A917">
        <v>100798</v>
      </c>
      <c r="B917" t="s">
        <v>908</v>
      </c>
      <c r="D917" t="s">
        <v>57</v>
      </c>
      <c r="E917">
        <v>98</v>
      </c>
      <c r="F917" t="s">
        <v>58</v>
      </c>
      <c r="G917" t="s">
        <v>59</v>
      </c>
      <c r="H917" t="s">
        <v>60</v>
      </c>
      <c r="J917">
        <v>30</v>
      </c>
      <c r="K917" t="s">
        <v>61</v>
      </c>
      <c r="L917" t="s">
        <v>74</v>
      </c>
      <c r="M917" t="s">
        <v>63</v>
      </c>
      <c r="N917" t="s">
        <v>64</v>
      </c>
      <c r="P917" t="s">
        <v>65</v>
      </c>
      <c r="R917">
        <v>16700</v>
      </c>
      <c r="T917">
        <v>15200</v>
      </c>
      <c r="V917">
        <v>18300</v>
      </c>
      <c r="W917" t="s">
        <v>66</v>
      </c>
      <c r="X917" t="s">
        <v>67</v>
      </c>
      <c r="Y917" t="s">
        <v>67</v>
      </c>
      <c r="Z917" t="s">
        <v>68</v>
      </c>
      <c r="AB917">
        <v>4</v>
      </c>
      <c r="AC917" t="s">
        <v>61</v>
      </c>
      <c r="AJ917" t="s">
        <v>69</v>
      </c>
      <c r="AY917" t="s">
        <v>80</v>
      </c>
      <c r="AZ917">
        <v>12859</v>
      </c>
      <c r="BA917" t="s">
        <v>81</v>
      </c>
      <c r="BB917" t="s">
        <v>82</v>
      </c>
      <c r="BC917">
        <v>1988</v>
      </c>
      <c r="BD917" t="s">
        <v>73</v>
      </c>
    </row>
    <row r="918" spans="1:56" x14ac:dyDescent="0.35">
      <c r="A918">
        <v>100970</v>
      </c>
      <c r="B918" t="s">
        <v>909</v>
      </c>
      <c r="D918" t="s">
        <v>57</v>
      </c>
      <c r="E918">
        <v>99</v>
      </c>
      <c r="F918" t="s">
        <v>58</v>
      </c>
      <c r="G918" t="s">
        <v>59</v>
      </c>
      <c r="H918" t="s">
        <v>60</v>
      </c>
      <c r="J918">
        <v>33</v>
      </c>
      <c r="K918" t="s">
        <v>61</v>
      </c>
      <c r="L918" t="s">
        <v>74</v>
      </c>
      <c r="M918" t="s">
        <v>63</v>
      </c>
      <c r="N918" t="s">
        <v>64</v>
      </c>
      <c r="P918" t="s">
        <v>65</v>
      </c>
      <c r="R918">
        <v>49800</v>
      </c>
      <c r="T918">
        <v>44600</v>
      </c>
      <c r="V918">
        <v>55600</v>
      </c>
      <c r="W918" t="s">
        <v>66</v>
      </c>
      <c r="X918" t="s">
        <v>67</v>
      </c>
      <c r="Y918" t="s">
        <v>67</v>
      </c>
      <c r="Z918" t="s">
        <v>68</v>
      </c>
      <c r="AB918">
        <v>4</v>
      </c>
      <c r="AC918" t="s">
        <v>61</v>
      </c>
      <c r="AJ918" t="s">
        <v>69</v>
      </c>
      <c r="AY918" t="s">
        <v>80</v>
      </c>
      <c r="AZ918">
        <v>12859</v>
      </c>
      <c r="BA918" t="s">
        <v>81</v>
      </c>
      <c r="BB918" t="s">
        <v>82</v>
      </c>
      <c r="BC918">
        <v>1988</v>
      </c>
      <c r="BD918" t="s">
        <v>73</v>
      </c>
    </row>
    <row r="919" spans="1:56" x14ac:dyDescent="0.35">
      <c r="A919">
        <v>101202</v>
      </c>
      <c r="B919" t="s">
        <v>910</v>
      </c>
      <c r="D919" t="s">
        <v>57</v>
      </c>
      <c r="E919" t="s">
        <v>86</v>
      </c>
      <c r="F919" t="s">
        <v>58</v>
      </c>
      <c r="G919" t="s">
        <v>59</v>
      </c>
      <c r="H919" t="s">
        <v>60</v>
      </c>
      <c r="J919" t="s">
        <v>86</v>
      </c>
      <c r="L919" t="s">
        <v>62</v>
      </c>
      <c r="M919" t="s">
        <v>63</v>
      </c>
      <c r="N919" t="s">
        <v>64</v>
      </c>
      <c r="O919">
        <v>7</v>
      </c>
      <c r="P919" t="s">
        <v>65</v>
      </c>
      <c r="R919">
        <v>9.1999999999999998E-2</v>
      </c>
      <c r="T919">
        <v>8.1000000000000003E-2</v>
      </c>
      <c r="V919">
        <v>0.11</v>
      </c>
      <c r="W919" t="s">
        <v>66</v>
      </c>
      <c r="X919" t="s">
        <v>67</v>
      </c>
      <c r="Y919" t="s">
        <v>67</v>
      </c>
      <c r="Z919" t="s">
        <v>68</v>
      </c>
      <c r="AB919">
        <v>4</v>
      </c>
      <c r="AC919" t="s">
        <v>61</v>
      </c>
      <c r="AJ919" t="s">
        <v>69</v>
      </c>
      <c r="AY919" t="s">
        <v>834</v>
      </c>
      <c r="AZ919">
        <v>90730</v>
      </c>
      <c r="BA919" t="s">
        <v>911</v>
      </c>
      <c r="BB919" t="s">
        <v>912</v>
      </c>
      <c r="BC919">
        <v>1992</v>
      </c>
      <c r="BD919" t="s">
        <v>90</v>
      </c>
    </row>
    <row r="920" spans="1:56" x14ac:dyDescent="0.35">
      <c r="A920">
        <v>101553</v>
      </c>
      <c r="B920" t="s">
        <v>913</v>
      </c>
      <c r="D920" t="s">
        <v>57</v>
      </c>
      <c r="E920" t="s">
        <v>79</v>
      </c>
      <c r="F920" t="s">
        <v>58</v>
      </c>
      <c r="G920" t="s">
        <v>59</v>
      </c>
      <c r="H920" t="s">
        <v>60</v>
      </c>
      <c r="J920" t="s">
        <v>86</v>
      </c>
      <c r="L920" t="s">
        <v>62</v>
      </c>
      <c r="M920" t="s">
        <v>63</v>
      </c>
      <c r="N920" t="s">
        <v>64</v>
      </c>
      <c r="O920">
        <v>8</v>
      </c>
      <c r="P920" t="s">
        <v>65</v>
      </c>
      <c r="R920">
        <v>0.67</v>
      </c>
      <c r="T920">
        <v>0.54</v>
      </c>
      <c r="V920">
        <v>0.84</v>
      </c>
      <c r="W920" t="s">
        <v>66</v>
      </c>
      <c r="X920" t="s">
        <v>67</v>
      </c>
      <c r="Y920" t="s">
        <v>67</v>
      </c>
      <c r="Z920" t="s">
        <v>68</v>
      </c>
      <c r="AB920">
        <v>4</v>
      </c>
      <c r="AC920" t="s">
        <v>61</v>
      </c>
      <c r="AJ920" t="s">
        <v>69</v>
      </c>
      <c r="AY920" t="s">
        <v>351</v>
      </c>
      <c r="AZ920">
        <v>9994</v>
      </c>
      <c r="BA920" t="s">
        <v>352</v>
      </c>
      <c r="BB920" t="s">
        <v>353</v>
      </c>
      <c r="BC920">
        <v>1982</v>
      </c>
      <c r="BD920" t="s">
        <v>90</v>
      </c>
    </row>
    <row r="921" spans="1:56" x14ac:dyDescent="0.35">
      <c r="A921">
        <v>101553</v>
      </c>
      <c r="B921" t="s">
        <v>913</v>
      </c>
      <c r="D921" t="s">
        <v>57</v>
      </c>
      <c r="E921" t="s">
        <v>79</v>
      </c>
      <c r="F921" t="s">
        <v>58</v>
      </c>
      <c r="G921" t="s">
        <v>59</v>
      </c>
      <c r="H921" t="s">
        <v>60</v>
      </c>
      <c r="J921" t="s">
        <v>86</v>
      </c>
      <c r="L921" t="s">
        <v>74</v>
      </c>
      <c r="M921" t="s">
        <v>63</v>
      </c>
      <c r="N921" t="s">
        <v>64</v>
      </c>
      <c r="O921">
        <v>7</v>
      </c>
      <c r="P921" t="s">
        <v>65</v>
      </c>
      <c r="R921">
        <v>0.48</v>
      </c>
      <c r="T921">
        <v>0.4</v>
      </c>
      <c r="V921">
        <v>0.57999999999999996</v>
      </c>
      <c r="W921" t="s">
        <v>66</v>
      </c>
      <c r="X921" t="s">
        <v>67</v>
      </c>
      <c r="Y921" t="s">
        <v>67</v>
      </c>
      <c r="Z921" t="s">
        <v>68</v>
      </c>
      <c r="AB921">
        <v>4</v>
      </c>
      <c r="AC921" t="s">
        <v>61</v>
      </c>
      <c r="AJ921" t="s">
        <v>69</v>
      </c>
      <c r="AY921" t="s">
        <v>351</v>
      </c>
      <c r="AZ921">
        <v>9994</v>
      </c>
      <c r="BA921" t="s">
        <v>352</v>
      </c>
      <c r="BB921" t="s">
        <v>353</v>
      </c>
      <c r="BC921">
        <v>1982</v>
      </c>
      <c r="BD921" t="s">
        <v>90</v>
      </c>
    </row>
    <row r="922" spans="1:56" x14ac:dyDescent="0.35">
      <c r="A922">
        <v>101848</v>
      </c>
      <c r="B922" t="s">
        <v>914</v>
      </c>
      <c r="D922" t="s">
        <v>57</v>
      </c>
      <c r="E922">
        <v>99</v>
      </c>
      <c r="F922" t="s">
        <v>58</v>
      </c>
      <c r="G922" t="s">
        <v>59</v>
      </c>
      <c r="H922" t="s">
        <v>60</v>
      </c>
      <c r="J922">
        <v>30</v>
      </c>
      <c r="K922" t="s">
        <v>61</v>
      </c>
      <c r="L922" t="s">
        <v>74</v>
      </c>
      <c r="M922" t="s">
        <v>63</v>
      </c>
      <c r="N922" t="s">
        <v>64</v>
      </c>
      <c r="P922" t="s">
        <v>65</v>
      </c>
      <c r="R922">
        <v>4</v>
      </c>
      <c r="W922" t="s">
        <v>66</v>
      </c>
      <c r="X922" t="s">
        <v>67</v>
      </c>
      <c r="Y922" t="s">
        <v>67</v>
      </c>
      <c r="Z922" t="s">
        <v>68</v>
      </c>
      <c r="AB922">
        <v>4</v>
      </c>
      <c r="AC922" t="s">
        <v>61</v>
      </c>
      <c r="AJ922" t="s">
        <v>69</v>
      </c>
      <c r="AY922" t="s">
        <v>80</v>
      </c>
      <c r="AZ922">
        <v>12859</v>
      </c>
      <c r="BA922" t="s">
        <v>81</v>
      </c>
      <c r="BB922" t="s">
        <v>82</v>
      </c>
      <c r="BC922">
        <v>1988</v>
      </c>
      <c r="BD922" t="s">
        <v>73</v>
      </c>
    </row>
    <row r="923" spans="1:56" x14ac:dyDescent="0.35">
      <c r="A923">
        <v>102089</v>
      </c>
      <c r="B923" t="s">
        <v>915</v>
      </c>
      <c r="D923" t="s">
        <v>57</v>
      </c>
      <c r="E923" t="s">
        <v>86</v>
      </c>
      <c r="F923" t="s">
        <v>58</v>
      </c>
      <c r="G923" t="s">
        <v>59</v>
      </c>
      <c r="H923" t="s">
        <v>60</v>
      </c>
      <c r="J923" t="s">
        <v>86</v>
      </c>
      <c r="L923" t="s">
        <v>62</v>
      </c>
      <c r="M923" t="s">
        <v>63</v>
      </c>
      <c r="N923" t="s">
        <v>64</v>
      </c>
      <c r="P923" t="s">
        <v>65</v>
      </c>
      <c r="R923">
        <v>18.899999999999999</v>
      </c>
      <c r="W923" t="s">
        <v>66</v>
      </c>
      <c r="X923" t="s">
        <v>67</v>
      </c>
      <c r="Y923" t="s">
        <v>67</v>
      </c>
      <c r="Z923" t="s">
        <v>68</v>
      </c>
      <c r="AB923">
        <v>4</v>
      </c>
      <c r="AC923" t="s">
        <v>61</v>
      </c>
      <c r="AJ923" t="s">
        <v>69</v>
      </c>
      <c r="AY923" t="s">
        <v>304</v>
      </c>
      <c r="AZ923">
        <v>2966</v>
      </c>
      <c r="BA923" t="s">
        <v>305</v>
      </c>
      <c r="BB923" t="s">
        <v>306</v>
      </c>
      <c r="BC923">
        <v>1981</v>
      </c>
      <c r="BD923" t="s">
        <v>90</v>
      </c>
    </row>
    <row r="924" spans="1:56" x14ac:dyDescent="0.35">
      <c r="A924">
        <v>102272</v>
      </c>
      <c r="B924" t="s">
        <v>916</v>
      </c>
      <c r="D924" t="s">
        <v>57</v>
      </c>
      <c r="E924">
        <v>96</v>
      </c>
      <c r="F924" t="s">
        <v>58</v>
      </c>
      <c r="G924" t="s">
        <v>59</v>
      </c>
      <c r="H924" t="s">
        <v>60</v>
      </c>
      <c r="J924">
        <v>29</v>
      </c>
      <c r="K924" t="s">
        <v>61</v>
      </c>
      <c r="L924" t="s">
        <v>74</v>
      </c>
      <c r="M924" t="s">
        <v>63</v>
      </c>
      <c r="N924" t="s">
        <v>64</v>
      </c>
      <c r="P924" t="s">
        <v>65</v>
      </c>
      <c r="R924">
        <v>49.5</v>
      </c>
      <c r="T924">
        <v>48.1</v>
      </c>
      <c r="V924">
        <v>51</v>
      </c>
      <c r="W924" t="s">
        <v>66</v>
      </c>
      <c r="X924" t="s">
        <v>67</v>
      </c>
      <c r="Y924" t="s">
        <v>67</v>
      </c>
      <c r="Z924" t="s">
        <v>68</v>
      </c>
      <c r="AB924">
        <v>4</v>
      </c>
      <c r="AC924" t="s">
        <v>61</v>
      </c>
      <c r="AJ924" t="s">
        <v>69</v>
      </c>
      <c r="AY924" t="s">
        <v>286</v>
      </c>
      <c r="AZ924">
        <v>12448</v>
      </c>
      <c r="BA924" t="s">
        <v>287</v>
      </c>
      <c r="BB924" t="s">
        <v>288</v>
      </c>
      <c r="BC924">
        <v>1984</v>
      </c>
      <c r="BD924" t="s">
        <v>73</v>
      </c>
    </row>
    <row r="925" spans="1:56" x14ac:dyDescent="0.35">
      <c r="A925">
        <v>102692</v>
      </c>
      <c r="B925" t="s">
        <v>917</v>
      </c>
      <c r="D925" t="s">
        <v>57</v>
      </c>
      <c r="E925">
        <v>98</v>
      </c>
      <c r="F925" t="s">
        <v>58</v>
      </c>
      <c r="G925" t="s">
        <v>59</v>
      </c>
      <c r="H925" t="s">
        <v>60</v>
      </c>
      <c r="J925">
        <v>30</v>
      </c>
      <c r="K925" t="s">
        <v>61</v>
      </c>
      <c r="L925" t="s">
        <v>74</v>
      </c>
      <c r="M925" t="s">
        <v>63</v>
      </c>
      <c r="N925" t="s">
        <v>64</v>
      </c>
      <c r="P925" t="s">
        <v>65</v>
      </c>
      <c r="R925">
        <v>50.9</v>
      </c>
      <c r="T925">
        <v>45.6</v>
      </c>
      <c r="V925">
        <v>56.7</v>
      </c>
      <c r="W925" t="s">
        <v>66</v>
      </c>
      <c r="X925" t="s">
        <v>67</v>
      </c>
      <c r="Y925" t="s">
        <v>67</v>
      </c>
      <c r="Z925" t="s">
        <v>68</v>
      </c>
      <c r="AB925">
        <v>4</v>
      </c>
      <c r="AC925" t="s">
        <v>61</v>
      </c>
      <c r="AJ925" t="s">
        <v>69</v>
      </c>
      <c r="AY925" t="s">
        <v>263</v>
      </c>
      <c r="AZ925">
        <v>12858</v>
      </c>
      <c r="BA925" t="s">
        <v>264</v>
      </c>
      <c r="BB925" t="s">
        <v>265</v>
      </c>
      <c r="BC925">
        <v>1986</v>
      </c>
      <c r="BD925" t="s">
        <v>73</v>
      </c>
    </row>
    <row r="926" spans="1:56" x14ac:dyDescent="0.35">
      <c r="A926">
        <v>102716</v>
      </c>
      <c r="B926" t="s">
        <v>918</v>
      </c>
      <c r="D926" t="s">
        <v>57</v>
      </c>
      <c r="E926">
        <v>97</v>
      </c>
      <c r="F926" t="s">
        <v>58</v>
      </c>
      <c r="G926" t="s">
        <v>59</v>
      </c>
      <c r="H926" t="s">
        <v>60</v>
      </c>
      <c r="J926">
        <v>30</v>
      </c>
      <c r="K926" t="s">
        <v>61</v>
      </c>
      <c r="L926" t="s">
        <v>74</v>
      </c>
      <c r="M926" t="s">
        <v>63</v>
      </c>
      <c r="N926" t="s">
        <v>64</v>
      </c>
      <c r="P926" t="s">
        <v>65</v>
      </c>
      <c r="R926">
        <v>11800</v>
      </c>
      <c r="T926">
        <v>10600</v>
      </c>
      <c r="V926">
        <v>13000</v>
      </c>
      <c r="W926" t="s">
        <v>66</v>
      </c>
      <c r="X926" t="s">
        <v>67</v>
      </c>
      <c r="Y926" t="s">
        <v>67</v>
      </c>
      <c r="Z926" t="s">
        <v>68</v>
      </c>
      <c r="AB926">
        <v>4</v>
      </c>
      <c r="AC926" t="s">
        <v>61</v>
      </c>
      <c r="AJ926" t="s">
        <v>69</v>
      </c>
      <c r="AY926" t="s">
        <v>75</v>
      </c>
      <c r="AZ926">
        <v>3217</v>
      </c>
      <c r="BA926" t="s">
        <v>76</v>
      </c>
      <c r="BB926" t="s">
        <v>77</v>
      </c>
      <c r="BC926">
        <v>1990</v>
      </c>
      <c r="BD926" t="s">
        <v>73</v>
      </c>
    </row>
    <row r="927" spans="1:56" x14ac:dyDescent="0.35">
      <c r="A927">
        <v>103059</v>
      </c>
      <c r="B927" t="s">
        <v>919</v>
      </c>
      <c r="D927" t="s">
        <v>57</v>
      </c>
      <c r="E927">
        <v>97</v>
      </c>
      <c r="F927" t="s">
        <v>58</v>
      </c>
      <c r="G927" t="s">
        <v>59</v>
      </c>
      <c r="H927" t="s">
        <v>60</v>
      </c>
      <c r="J927">
        <v>32</v>
      </c>
      <c r="K927" t="s">
        <v>61</v>
      </c>
      <c r="L927" t="s">
        <v>74</v>
      </c>
      <c r="M927" t="s">
        <v>63</v>
      </c>
      <c r="N927" t="s">
        <v>64</v>
      </c>
      <c r="P927" t="s">
        <v>65</v>
      </c>
      <c r="R927">
        <v>66.400000000000006</v>
      </c>
      <c r="W927" t="s">
        <v>66</v>
      </c>
      <c r="X927" t="s">
        <v>67</v>
      </c>
      <c r="Y927" t="s">
        <v>67</v>
      </c>
      <c r="Z927" t="s">
        <v>68</v>
      </c>
      <c r="AB927">
        <v>4</v>
      </c>
      <c r="AC927" t="s">
        <v>61</v>
      </c>
      <c r="AJ927" t="s">
        <v>69</v>
      </c>
      <c r="AY927" t="s">
        <v>80</v>
      </c>
      <c r="AZ927">
        <v>12859</v>
      </c>
      <c r="BA927" t="s">
        <v>81</v>
      </c>
      <c r="BB927" t="s">
        <v>82</v>
      </c>
      <c r="BC927">
        <v>1988</v>
      </c>
      <c r="BD927" t="s">
        <v>73</v>
      </c>
    </row>
    <row r="928" spans="1:56" x14ac:dyDescent="0.35">
      <c r="A928">
        <v>103231</v>
      </c>
      <c r="B928" t="s">
        <v>920</v>
      </c>
      <c r="C928" t="s">
        <v>652</v>
      </c>
      <c r="D928" t="s">
        <v>85</v>
      </c>
      <c r="E928" t="s">
        <v>86</v>
      </c>
      <c r="F928" t="s">
        <v>58</v>
      </c>
      <c r="G928" t="s">
        <v>59</v>
      </c>
      <c r="H928" t="s">
        <v>60</v>
      </c>
      <c r="J928" t="s">
        <v>86</v>
      </c>
      <c r="L928" t="s">
        <v>62</v>
      </c>
      <c r="M928" t="s">
        <v>63</v>
      </c>
      <c r="N928" t="s">
        <v>64</v>
      </c>
      <c r="P928" t="s">
        <v>65</v>
      </c>
      <c r="Q928" t="s">
        <v>153</v>
      </c>
      <c r="R928">
        <v>0.78</v>
      </c>
      <c r="T928">
        <v>0.48</v>
      </c>
      <c r="V928">
        <v>0.85</v>
      </c>
      <c r="W928" t="s">
        <v>66</v>
      </c>
      <c r="X928" t="s">
        <v>67</v>
      </c>
      <c r="Y928" t="s">
        <v>67</v>
      </c>
      <c r="Z928" t="s">
        <v>68</v>
      </c>
      <c r="AB928">
        <v>4</v>
      </c>
      <c r="AC928" t="s">
        <v>61</v>
      </c>
      <c r="AJ928" t="s">
        <v>69</v>
      </c>
      <c r="AY928" t="s">
        <v>921</v>
      </c>
      <c r="AZ928">
        <v>12260</v>
      </c>
      <c r="BA928" t="s">
        <v>922</v>
      </c>
      <c r="BB928" t="s">
        <v>923</v>
      </c>
      <c r="BC928">
        <v>1986</v>
      </c>
      <c r="BD928" t="s">
        <v>90</v>
      </c>
    </row>
    <row r="929" spans="1:56" x14ac:dyDescent="0.35">
      <c r="A929">
        <v>103764</v>
      </c>
      <c r="B929" t="s">
        <v>924</v>
      </c>
      <c r="D929" t="s">
        <v>57</v>
      </c>
      <c r="E929">
        <v>98</v>
      </c>
      <c r="F929" t="s">
        <v>58</v>
      </c>
      <c r="G929" t="s">
        <v>59</v>
      </c>
      <c r="H929" t="s">
        <v>60</v>
      </c>
      <c r="J929">
        <v>31</v>
      </c>
      <c r="K929" t="s">
        <v>61</v>
      </c>
      <c r="L929" t="s">
        <v>74</v>
      </c>
      <c r="M929" t="s">
        <v>63</v>
      </c>
      <c r="N929" t="s">
        <v>64</v>
      </c>
      <c r="P929" t="s">
        <v>65</v>
      </c>
      <c r="R929">
        <v>6410</v>
      </c>
      <c r="T929">
        <v>5970</v>
      </c>
      <c r="V929">
        <v>6880</v>
      </c>
      <c r="W929" t="s">
        <v>66</v>
      </c>
      <c r="X929" t="s">
        <v>67</v>
      </c>
      <c r="Y929" t="s">
        <v>67</v>
      </c>
      <c r="Z929" t="s">
        <v>68</v>
      </c>
      <c r="AB929">
        <v>4</v>
      </c>
      <c r="AC929" t="s">
        <v>61</v>
      </c>
      <c r="AJ929" t="s">
        <v>69</v>
      </c>
      <c r="AY929" t="s">
        <v>263</v>
      </c>
      <c r="AZ929">
        <v>12858</v>
      </c>
      <c r="BA929" t="s">
        <v>264</v>
      </c>
      <c r="BB929" t="s">
        <v>265</v>
      </c>
      <c r="BC929">
        <v>1986</v>
      </c>
      <c r="BD929" t="s">
        <v>73</v>
      </c>
    </row>
    <row r="930" spans="1:56" x14ac:dyDescent="0.35">
      <c r="A930">
        <v>103833</v>
      </c>
      <c r="B930" t="s">
        <v>925</v>
      </c>
      <c r="D930" t="s">
        <v>57</v>
      </c>
      <c r="E930">
        <v>98</v>
      </c>
      <c r="F930" t="s">
        <v>58</v>
      </c>
      <c r="G930" t="s">
        <v>59</v>
      </c>
      <c r="H930" t="s">
        <v>60</v>
      </c>
      <c r="J930">
        <v>29</v>
      </c>
      <c r="K930" t="s">
        <v>61</v>
      </c>
      <c r="L930" t="s">
        <v>74</v>
      </c>
      <c r="M930" t="s">
        <v>63</v>
      </c>
      <c r="N930" t="s">
        <v>64</v>
      </c>
      <c r="P930" t="s">
        <v>65</v>
      </c>
      <c r="R930">
        <v>37.799999999999997</v>
      </c>
      <c r="T930">
        <v>35.799999999999997</v>
      </c>
      <c r="V930">
        <v>39.9</v>
      </c>
      <c r="W930" t="s">
        <v>66</v>
      </c>
      <c r="X930" t="s">
        <v>67</v>
      </c>
      <c r="Y930" t="s">
        <v>67</v>
      </c>
      <c r="Z930" t="s">
        <v>68</v>
      </c>
      <c r="AB930">
        <v>4</v>
      </c>
      <c r="AC930" t="s">
        <v>61</v>
      </c>
      <c r="AJ930" t="s">
        <v>69</v>
      </c>
      <c r="AY930" t="s">
        <v>263</v>
      </c>
      <c r="AZ930">
        <v>12858</v>
      </c>
      <c r="BA930" t="s">
        <v>264</v>
      </c>
      <c r="BB930" t="s">
        <v>265</v>
      </c>
      <c r="BC930">
        <v>1986</v>
      </c>
      <c r="BD930" t="s">
        <v>73</v>
      </c>
    </row>
    <row r="931" spans="1:56" x14ac:dyDescent="0.35">
      <c r="A931">
        <v>103902</v>
      </c>
      <c r="B931" t="s">
        <v>926</v>
      </c>
      <c r="D931" t="s">
        <v>57</v>
      </c>
      <c r="E931" t="s">
        <v>128</v>
      </c>
      <c r="F931" t="s">
        <v>58</v>
      </c>
      <c r="G931" t="s">
        <v>59</v>
      </c>
      <c r="H931" t="s">
        <v>60</v>
      </c>
      <c r="I931" t="s">
        <v>129</v>
      </c>
      <c r="J931" t="s">
        <v>86</v>
      </c>
      <c r="K931" t="s">
        <v>61</v>
      </c>
      <c r="L931" t="s">
        <v>74</v>
      </c>
      <c r="M931" t="s">
        <v>63</v>
      </c>
      <c r="N931" t="s">
        <v>64</v>
      </c>
      <c r="P931" t="s">
        <v>65</v>
      </c>
      <c r="R931">
        <v>814</v>
      </c>
      <c r="W931" t="s">
        <v>66</v>
      </c>
      <c r="X931" t="s">
        <v>67</v>
      </c>
      <c r="Y931" t="s">
        <v>67</v>
      </c>
      <c r="Z931" t="s">
        <v>68</v>
      </c>
      <c r="AB931">
        <v>4</v>
      </c>
      <c r="AC931" t="s">
        <v>61</v>
      </c>
      <c r="AJ931" t="s">
        <v>69</v>
      </c>
      <c r="AY931" t="s">
        <v>134</v>
      </c>
      <c r="AZ931">
        <v>15031</v>
      </c>
      <c r="BA931" t="s">
        <v>135</v>
      </c>
      <c r="BB931" t="s">
        <v>136</v>
      </c>
      <c r="BC931">
        <v>1995</v>
      </c>
      <c r="BD931" t="s">
        <v>133</v>
      </c>
    </row>
    <row r="932" spans="1:56" x14ac:dyDescent="0.35">
      <c r="A932">
        <v>103902</v>
      </c>
      <c r="B932" t="s">
        <v>926</v>
      </c>
      <c r="D932" t="s">
        <v>57</v>
      </c>
      <c r="E932">
        <v>99</v>
      </c>
      <c r="F932" t="s">
        <v>58</v>
      </c>
      <c r="G932" t="s">
        <v>59</v>
      </c>
      <c r="H932" t="s">
        <v>60</v>
      </c>
      <c r="J932">
        <v>33</v>
      </c>
      <c r="K932" t="s">
        <v>61</v>
      </c>
      <c r="L932" t="s">
        <v>74</v>
      </c>
      <c r="M932" t="s">
        <v>63</v>
      </c>
      <c r="N932" t="s">
        <v>64</v>
      </c>
      <c r="P932" t="s">
        <v>65</v>
      </c>
      <c r="R932">
        <v>814</v>
      </c>
      <c r="W932" t="s">
        <v>66</v>
      </c>
      <c r="X932" t="s">
        <v>67</v>
      </c>
      <c r="Y932" t="s">
        <v>67</v>
      </c>
      <c r="Z932" t="s">
        <v>68</v>
      </c>
      <c r="AB932">
        <v>4</v>
      </c>
      <c r="AC932" t="s">
        <v>61</v>
      </c>
      <c r="AJ932" t="s">
        <v>69</v>
      </c>
      <c r="AY932" t="s">
        <v>286</v>
      </c>
      <c r="AZ932">
        <v>12448</v>
      </c>
      <c r="BA932" t="s">
        <v>287</v>
      </c>
      <c r="BB932" t="s">
        <v>288</v>
      </c>
      <c r="BC932">
        <v>1984</v>
      </c>
      <c r="BD932" t="s">
        <v>73</v>
      </c>
    </row>
    <row r="933" spans="1:56" x14ac:dyDescent="0.35">
      <c r="A933">
        <v>104132</v>
      </c>
      <c r="B933" t="s">
        <v>927</v>
      </c>
      <c r="D933" t="s">
        <v>57</v>
      </c>
      <c r="E933">
        <v>97</v>
      </c>
      <c r="F933" t="s">
        <v>58</v>
      </c>
      <c r="G933" t="s">
        <v>59</v>
      </c>
      <c r="H933" t="s">
        <v>60</v>
      </c>
      <c r="J933">
        <v>30</v>
      </c>
      <c r="K933" t="s">
        <v>61</v>
      </c>
      <c r="L933" t="s">
        <v>74</v>
      </c>
      <c r="M933" t="s">
        <v>63</v>
      </c>
      <c r="N933" t="s">
        <v>64</v>
      </c>
      <c r="P933" t="s">
        <v>65</v>
      </c>
      <c r="R933">
        <v>10.199999999999999</v>
      </c>
      <c r="T933">
        <v>9.18</v>
      </c>
      <c r="V933">
        <v>11.3</v>
      </c>
      <c r="W933" t="s">
        <v>66</v>
      </c>
      <c r="X933" t="s">
        <v>67</v>
      </c>
      <c r="Y933" t="s">
        <v>67</v>
      </c>
      <c r="Z933" t="s">
        <v>68</v>
      </c>
      <c r="AB933">
        <v>4</v>
      </c>
      <c r="AC933" t="s">
        <v>61</v>
      </c>
      <c r="AJ933" t="s">
        <v>69</v>
      </c>
      <c r="AY933" t="s">
        <v>263</v>
      </c>
      <c r="AZ933">
        <v>12858</v>
      </c>
      <c r="BA933" t="s">
        <v>264</v>
      </c>
      <c r="BB933" t="s">
        <v>265</v>
      </c>
      <c r="BC933">
        <v>1986</v>
      </c>
      <c r="BD933" t="s">
        <v>73</v>
      </c>
    </row>
    <row r="934" spans="1:56" x14ac:dyDescent="0.35">
      <c r="A934">
        <v>104405</v>
      </c>
      <c r="B934" t="s">
        <v>928</v>
      </c>
      <c r="D934" t="s">
        <v>57</v>
      </c>
      <c r="E934" t="s">
        <v>253</v>
      </c>
      <c r="F934" t="s">
        <v>58</v>
      </c>
      <c r="G934" t="s">
        <v>59</v>
      </c>
      <c r="H934" t="s">
        <v>60</v>
      </c>
      <c r="I934" t="s">
        <v>188</v>
      </c>
      <c r="J934">
        <v>4</v>
      </c>
      <c r="K934" t="s">
        <v>61</v>
      </c>
      <c r="L934" t="s">
        <v>74</v>
      </c>
      <c r="M934" t="s">
        <v>63</v>
      </c>
      <c r="N934" t="s">
        <v>64</v>
      </c>
      <c r="O934">
        <v>6</v>
      </c>
      <c r="P934" t="s">
        <v>65</v>
      </c>
      <c r="R934">
        <v>0.13600000000000001</v>
      </c>
      <c r="T934">
        <v>0.127</v>
      </c>
      <c r="V934">
        <v>0.14599999999999999</v>
      </c>
      <c r="W934" t="s">
        <v>66</v>
      </c>
      <c r="X934" t="s">
        <v>67</v>
      </c>
      <c r="Y934" t="s">
        <v>67</v>
      </c>
      <c r="Z934" t="s">
        <v>68</v>
      </c>
      <c r="AB934">
        <v>4</v>
      </c>
      <c r="AC934" t="s">
        <v>61</v>
      </c>
      <c r="AJ934" t="s">
        <v>69</v>
      </c>
      <c r="AY934" t="s">
        <v>929</v>
      </c>
      <c r="AZ934">
        <v>107584</v>
      </c>
      <c r="BA934" t="s">
        <v>930</v>
      </c>
      <c r="BB934" t="s">
        <v>931</v>
      </c>
      <c r="BC934">
        <v>2007</v>
      </c>
      <c r="BD934" t="s">
        <v>73</v>
      </c>
    </row>
    <row r="935" spans="1:56" x14ac:dyDescent="0.35">
      <c r="A935">
        <v>104405</v>
      </c>
      <c r="B935" t="s">
        <v>928</v>
      </c>
      <c r="D935" t="s">
        <v>85</v>
      </c>
      <c r="E935">
        <v>85</v>
      </c>
      <c r="F935" t="s">
        <v>58</v>
      </c>
      <c r="G935" t="s">
        <v>59</v>
      </c>
      <c r="H935" t="s">
        <v>60</v>
      </c>
      <c r="J935" t="s">
        <v>86</v>
      </c>
      <c r="L935" t="s">
        <v>62</v>
      </c>
      <c r="M935" t="s">
        <v>63</v>
      </c>
      <c r="N935" t="s">
        <v>64</v>
      </c>
      <c r="O935">
        <v>8</v>
      </c>
      <c r="P935" t="s">
        <v>65</v>
      </c>
      <c r="R935">
        <v>0.36</v>
      </c>
      <c r="T935">
        <v>0.22</v>
      </c>
      <c r="V935">
        <v>0.6</v>
      </c>
      <c r="W935" t="s">
        <v>66</v>
      </c>
      <c r="X935" t="s">
        <v>67</v>
      </c>
      <c r="Y935" t="s">
        <v>67</v>
      </c>
      <c r="Z935" t="s">
        <v>68</v>
      </c>
      <c r="AB935">
        <v>4</v>
      </c>
      <c r="AC935" t="s">
        <v>61</v>
      </c>
      <c r="AJ935" t="s">
        <v>69</v>
      </c>
      <c r="AY935" t="s">
        <v>314</v>
      </c>
      <c r="AZ935">
        <v>73668</v>
      </c>
      <c r="BA935" t="s">
        <v>315</v>
      </c>
      <c r="BB935" t="s">
        <v>316</v>
      </c>
      <c r="BC935">
        <v>1995</v>
      </c>
      <c r="BD935" t="s">
        <v>90</v>
      </c>
    </row>
    <row r="936" spans="1:56" x14ac:dyDescent="0.35">
      <c r="A936">
        <v>104405</v>
      </c>
      <c r="B936" t="s">
        <v>928</v>
      </c>
      <c r="D936" t="s">
        <v>85</v>
      </c>
      <c r="E936">
        <v>85</v>
      </c>
      <c r="F936" t="s">
        <v>58</v>
      </c>
      <c r="G936" t="s">
        <v>59</v>
      </c>
      <c r="H936" t="s">
        <v>60</v>
      </c>
      <c r="J936" t="s">
        <v>86</v>
      </c>
      <c r="L936" t="s">
        <v>62</v>
      </c>
      <c r="M936" t="s">
        <v>63</v>
      </c>
      <c r="N936" t="s">
        <v>64</v>
      </c>
      <c r="O936">
        <v>8</v>
      </c>
      <c r="P936" t="s">
        <v>65</v>
      </c>
      <c r="R936">
        <v>0.33</v>
      </c>
      <c r="T936">
        <v>0.22</v>
      </c>
      <c r="V936">
        <v>0.36</v>
      </c>
      <c r="W936" t="s">
        <v>66</v>
      </c>
      <c r="X936" t="s">
        <v>67</v>
      </c>
      <c r="Y936" t="s">
        <v>67</v>
      </c>
      <c r="Z936" t="s">
        <v>68</v>
      </c>
      <c r="AB936">
        <v>4</v>
      </c>
      <c r="AC936" t="s">
        <v>61</v>
      </c>
      <c r="AJ936" t="s">
        <v>69</v>
      </c>
      <c r="AY936" t="s">
        <v>314</v>
      </c>
      <c r="AZ936">
        <v>73668</v>
      </c>
      <c r="BA936" t="s">
        <v>315</v>
      </c>
      <c r="BB936" t="s">
        <v>316</v>
      </c>
      <c r="BC936">
        <v>1995</v>
      </c>
      <c r="BD936" t="s">
        <v>90</v>
      </c>
    </row>
    <row r="937" spans="1:56" x14ac:dyDescent="0.35">
      <c r="A937">
        <v>104405</v>
      </c>
      <c r="B937" t="s">
        <v>928</v>
      </c>
      <c r="D937" t="s">
        <v>85</v>
      </c>
      <c r="E937" t="s">
        <v>86</v>
      </c>
      <c r="F937" t="s">
        <v>58</v>
      </c>
      <c r="G937" t="s">
        <v>59</v>
      </c>
      <c r="H937" t="s">
        <v>60</v>
      </c>
      <c r="J937" t="s">
        <v>86</v>
      </c>
      <c r="L937" t="s">
        <v>62</v>
      </c>
      <c r="M937" t="s">
        <v>63</v>
      </c>
      <c r="N937" t="s">
        <v>64</v>
      </c>
      <c r="P937" t="s">
        <v>100</v>
      </c>
      <c r="R937">
        <v>0.27200000000000002</v>
      </c>
      <c r="T937">
        <v>0.26</v>
      </c>
      <c r="V937">
        <v>0.28299999999999997</v>
      </c>
      <c r="W937" t="s">
        <v>66</v>
      </c>
      <c r="X937" t="s">
        <v>67</v>
      </c>
      <c r="Y937" t="s">
        <v>67</v>
      </c>
      <c r="Z937" t="s">
        <v>68</v>
      </c>
      <c r="AB937">
        <v>4</v>
      </c>
      <c r="AC937" t="s">
        <v>61</v>
      </c>
      <c r="AJ937" t="s">
        <v>69</v>
      </c>
      <c r="AY937" t="s">
        <v>317</v>
      </c>
      <c r="AZ937">
        <v>153255</v>
      </c>
      <c r="BA937" t="s">
        <v>318</v>
      </c>
      <c r="BB937" t="s">
        <v>319</v>
      </c>
      <c r="BC937">
        <v>2008</v>
      </c>
      <c r="BD937" t="s">
        <v>90</v>
      </c>
    </row>
    <row r="938" spans="1:56" x14ac:dyDescent="0.35">
      <c r="A938">
        <v>104405</v>
      </c>
      <c r="B938" t="s">
        <v>928</v>
      </c>
      <c r="D938" t="s">
        <v>85</v>
      </c>
      <c r="E938">
        <v>85</v>
      </c>
      <c r="F938" t="s">
        <v>58</v>
      </c>
      <c r="G938" t="s">
        <v>59</v>
      </c>
      <c r="H938" t="s">
        <v>60</v>
      </c>
      <c r="J938" t="s">
        <v>86</v>
      </c>
      <c r="L938" t="s">
        <v>62</v>
      </c>
      <c r="M938" t="s">
        <v>63</v>
      </c>
      <c r="N938" t="s">
        <v>64</v>
      </c>
      <c r="P938" t="s">
        <v>65</v>
      </c>
      <c r="R938">
        <v>0.27</v>
      </c>
      <c r="T938">
        <v>0.17</v>
      </c>
      <c r="V938">
        <v>0.36</v>
      </c>
      <c r="W938" t="s">
        <v>66</v>
      </c>
      <c r="X938" t="s">
        <v>67</v>
      </c>
      <c r="Y938" t="s">
        <v>67</v>
      </c>
      <c r="Z938" t="s">
        <v>68</v>
      </c>
      <c r="AB938">
        <v>4</v>
      </c>
      <c r="AC938" t="s">
        <v>61</v>
      </c>
      <c r="AJ938" t="s">
        <v>69</v>
      </c>
      <c r="AY938" t="s">
        <v>328</v>
      </c>
      <c r="AZ938">
        <v>65396</v>
      </c>
      <c r="BA938" t="s">
        <v>329</v>
      </c>
      <c r="BB938" t="s">
        <v>330</v>
      </c>
      <c r="BC938">
        <v>2001</v>
      </c>
      <c r="BD938" t="s">
        <v>90</v>
      </c>
    </row>
    <row r="939" spans="1:56" x14ac:dyDescent="0.35">
      <c r="A939">
        <v>104405</v>
      </c>
      <c r="B939" t="s">
        <v>928</v>
      </c>
      <c r="C939" t="s">
        <v>91</v>
      </c>
      <c r="D939" t="s">
        <v>57</v>
      </c>
      <c r="E939">
        <v>90</v>
      </c>
      <c r="F939" t="s">
        <v>58</v>
      </c>
      <c r="G939" t="s">
        <v>59</v>
      </c>
      <c r="H939" t="s">
        <v>60</v>
      </c>
      <c r="I939" t="s">
        <v>129</v>
      </c>
      <c r="J939" t="s">
        <v>86</v>
      </c>
      <c r="L939" t="s">
        <v>74</v>
      </c>
      <c r="M939" t="s">
        <v>63</v>
      </c>
      <c r="N939" t="s">
        <v>64</v>
      </c>
      <c r="O939" t="s">
        <v>267</v>
      </c>
      <c r="P939" t="s">
        <v>65</v>
      </c>
      <c r="R939">
        <v>0.128</v>
      </c>
      <c r="W939" t="s">
        <v>66</v>
      </c>
      <c r="X939" t="s">
        <v>67</v>
      </c>
      <c r="Y939" t="s">
        <v>67</v>
      </c>
      <c r="Z939" t="s">
        <v>68</v>
      </c>
      <c r="AB939">
        <v>4</v>
      </c>
      <c r="AC939" t="s">
        <v>61</v>
      </c>
      <c r="AJ939" t="s">
        <v>69</v>
      </c>
      <c r="AY939" t="s">
        <v>932</v>
      </c>
      <c r="AZ939">
        <v>164890</v>
      </c>
      <c r="BA939" t="s">
        <v>933</v>
      </c>
      <c r="BB939" t="s">
        <v>934</v>
      </c>
      <c r="BC939">
        <v>2010</v>
      </c>
      <c r="BD939" t="s">
        <v>90</v>
      </c>
    </row>
    <row r="940" spans="1:56" x14ac:dyDescent="0.35">
      <c r="A940">
        <v>104405</v>
      </c>
      <c r="B940" t="s">
        <v>928</v>
      </c>
      <c r="D940" t="s">
        <v>85</v>
      </c>
      <c r="E940">
        <v>85</v>
      </c>
      <c r="F940" t="s">
        <v>58</v>
      </c>
      <c r="G940" t="s">
        <v>59</v>
      </c>
      <c r="H940" t="s">
        <v>60</v>
      </c>
      <c r="J940" t="s">
        <v>86</v>
      </c>
      <c r="L940" t="s">
        <v>62</v>
      </c>
      <c r="M940" t="s">
        <v>63</v>
      </c>
      <c r="N940" t="s">
        <v>64</v>
      </c>
      <c r="O940">
        <v>8</v>
      </c>
      <c r="P940" t="s">
        <v>65</v>
      </c>
      <c r="R940">
        <v>0.28999999999999998</v>
      </c>
      <c r="T940">
        <v>0.22</v>
      </c>
      <c r="V940">
        <v>0.36</v>
      </c>
      <c r="W940" t="s">
        <v>66</v>
      </c>
      <c r="X940" t="s">
        <v>67</v>
      </c>
      <c r="Y940" t="s">
        <v>67</v>
      </c>
      <c r="Z940" t="s">
        <v>68</v>
      </c>
      <c r="AB940">
        <v>4</v>
      </c>
      <c r="AC940" t="s">
        <v>61</v>
      </c>
      <c r="AJ940" t="s">
        <v>69</v>
      </c>
      <c r="AY940" t="s">
        <v>314</v>
      </c>
      <c r="AZ940">
        <v>73668</v>
      </c>
      <c r="BA940" t="s">
        <v>315</v>
      </c>
      <c r="BB940" t="s">
        <v>316</v>
      </c>
      <c r="BC940">
        <v>1995</v>
      </c>
      <c r="BD940" t="s">
        <v>90</v>
      </c>
    </row>
    <row r="941" spans="1:56" x14ac:dyDescent="0.35">
      <c r="A941">
        <v>104405</v>
      </c>
      <c r="B941" t="s">
        <v>928</v>
      </c>
      <c r="D941" t="s">
        <v>57</v>
      </c>
      <c r="E941">
        <v>99</v>
      </c>
      <c r="F941" t="s">
        <v>58</v>
      </c>
      <c r="G941" t="s">
        <v>59</v>
      </c>
      <c r="H941" t="s">
        <v>60</v>
      </c>
      <c r="J941">
        <v>32</v>
      </c>
      <c r="K941" t="s">
        <v>61</v>
      </c>
      <c r="L941" t="s">
        <v>74</v>
      </c>
      <c r="M941" t="s">
        <v>63</v>
      </c>
      <c r="N941" t="s">
        <v>64</v>
      </c>
      <c r="P941" t="s">
        <v>65</v>
      </c>
      <c r="R941">
        <v>0.14000000000000001</v>
      </c>
      <c r="W941" t="s">
        <v>66</v>
      </c>
      <c r="X941" t="s">
        <v>67</v>
      </c>
      <c r="Y941" t="s">
        <v>67</v>
      </c>
      <c r="Z941" t="s">
        <v>68</v>
      </c>
      <c r="AB941">
        <v>4</v>
      </c>
      <c r="AC941" t="s">
        <v>61</v>
      </c>
      <c r="AJ941" t="s">
        <v>69</v>
      </c>
      <c r="AY941" t="s">
        <v>141</v>
      </c>
      <c r="AZ941">
        <v>12447</v>
      </c>
      <c r="BA941" t="s">
        <v>142</v>
      </c>
      <c r="BB941" t="s">
        <v>143</v>
      </c>
      <c r="BC941">
        <v>1985</v>
      </c>
      <c r="BD941" t="s">
        <v>73</v>
      </c>
    </row>
    <row r="942" spans="1:56" x14ac:dyDescent="0.35">
      <c r="A942">
        <v>104405</v>
      </c>
      <c r="B942" t="s">
        <v>928</v>
      </c>
      <c r="D942" t="s">
        <v>85</v>
      </c>
      <c r="E942">
        <v>85</v>
      </c>
      <c r="F942" t="s">
        <v>58</v>
      </c>
      <c r="G942" t="s">
        <v>59</v>
      </c>
      <c r="H942" t="s">
        <v>60</v>
      </c>
      <c r="J942" t="s">
        <v>86</v>
      </c>
      <c r="L942" t="s">
        <v>62</v>
      </c>
      <c r="M942" t="s">
        <v>63</v>
      </c>
      <c r="N942" t="s">
        <v>64</v>
      </c>
      <c r="O942">
        <v>8</v>
      </c>
      <c r="P942" t="s">
        <v>65</v>
      </c>
      <c r="R942">
        <v>0.17</v>
      </c>
      <c r="T942">
        <v>0.13</v>
      </c>
      <c r="V942">
        <v>0.22</v>
      </c>
      <c r="W942" t="s">
        <v>66</v>
      </c>
      <c r="X942" t="s">
        <v>67</v>
      </c>
      <c r="Y942" t="s">
        <v>67</v>
      </c>
      <c r="Z942" t="s">
        <v>68</v>
      </c>
      <c r="AB942">
        <v>4</v>
      </c>
      <c r="AC942" t="s">
        <v>61</v>
      </c>
      <c r="AJ942" t="s">
        <v>69</v>
      </c>
      <c r="AY942" t="s">
        <v>314</v>
      </c>
      <c r="AZ942">
        <v>73668</v>
      </c>
      <c r="BA942" t="s">
        <v>315</v>
      </c>
      <c r="BB942" t="s">
        <v>316</v>
      </c>
      <c r="BC942">
        <v>1995</v>
      </c>
      <c r="BD942" t="s">
        <v>90</v>
      </c>
    </row>
    <row r="943" spans="1:56" x14ac:dyDescent="0.35">
      <c r="A943">
        <v>104405</v>
      </c>
      <c r="B943" t="s">
        <v>928</v>
      </c>
      <c r="D943" t="s">
        <v>85</v>
      </c>
      <c r="E943">
        <v>85</v>
      </c>
      <c r="F943" t="s">
        <v>58</v>
      </c>
      <c r="G943" t="s">
        <v>59</v>
      </c>
      <c r="H943" t="s">
        <v>60</v>
      </c>
      <c r="J943" t="s">
        <v>86</v>
      </c>
      <c r="L943" t="s">
        <v>62</v>
      </c>
      <c r="M943" t="s">
        <v>63</v>
      </c>
      <c r="N943" t="s">
        <v>64</v>
      </c>
      <c r="O943">
        <v>8</v>
      </c>
      <c r="P943" t="s">
        <v>65</v>
      </c>
      <c r="R943">
        <v>0.31</v>
      </c>
      <c r="T943">
        <v>0.22</v>
      </c>
      <c r="V943">
        <v>0.36</v>
      </c>
      <c r="W943" t="s">
        <v>66</v>
      </c>
      <c r="X943" t="s">
        <v>67</v>
      </c>
      <c r="Y943" t="s">
        <v>67</v>
      </c>
      <c r="Z943" t="s">
        <v>68</v>
      </c>
      <c r="AB943">
        <v>4</v>
      </c>
      <c r="AC943" t="s">
        <v>61</v>
      </c>
      <c r="AJ943" t="s">
        <v>69</v>
      </c>
      <c r="AY943" t="s">
        <v>314</v>
      </c>
      <c r="AZ943">
        <v>73668</v>
      </c>
      <c r="BA943" t="s">
        <v>315</v>
      </c>
      <c r="BB943" t="s">
        <v>316</v>
      </c>
      <c r="BC943">
        <v>1995</v>
      </c>
      <c r="BD943" t="s">
        <v>90</v>
      </c>
    </row>
    <row r="944" spans="1:56" x14ac:dyDescent="0.35">
      <c r="A944">
        <v>104405</v>
      </c>
      <c r="B944" t="s">
        <v>928</v>
      </c>
      <c r="D944" t="s">
        <v>85</v>
      </c>
      <c r="E944">
        <v>85</v>
      </c>
      <c r="F944" t="s">
        <v>58</v>
      </c>
      <c r="G944" t="s">
        <v>59</v>
      </c>
      <c r="H944" t="s">
        <v>60</v>
      </c>
      <c r="J944" t="s">
        <v>86</v>
      </c>
      <c r="L944" t="s">
        <v>62</v>
      </c>
      <c r="M944" t="s">
        <v>63</v>
      </c>
      <c r="N944" t="s">
        <v>64</v>
      </c>
      <c r="O944">
        <v>8</v>
      </c>
      <c r="P944" t="s">
        <v>65</v>
      </c>
      <c r="R944">
        <v>0.21</v>
      </c>
      <c r="T944">
        <v>0.13</v>
      </c>
      <c r="V944">
        <v>0.22</v>
      </c>
      <c r="W944" t="s">
        <v>66</v>
      </c>
      <c r="X944" t="s">
        <v>67</v>
      </c>
      <c r="Y944" t="s">
        <v>67</v>
      </c>
      <c r="Z944" t="s">
        <v>68</v>
      </c>
      <c r="AB944">
        <v>4</v>
      </c>
      <c r="AC944" t="s">
        <v>61</v>
      </c>
      <c r="AJ944" t="s">
        <v>69</v>
      </c>
      <c r="AY944" t="s">
        <v>314</v>
      </c>
      <c r="AZ944">
        <v>73668</v>
      </c>
      <c r="BA944" t="s">
        <v>315</v>
      </c>
      <c r="BB944" t="s">
        <v>316</v>
      </c>
      <c r="BC944">
        <v>1995</v>
      </c>
      <c r="BD944" t="s">
        <v>90</v>
      </c>
    </row>
    <row r="945" spans="1:56" x14ac:dyDescent="0.35">
      <c r="A945">
        <v>104405</v>
      </c>
      <c r="B945" t="s">
        <v>928</v>
      </c>
      <c r="C945" t="s">
        <v>91</v>
      </c>
      <c r="D945" t="s">
        <v>85</v>
      </c>
      <c r="E945">
        <v>85</v>
      </c>
      <c r="F945" t="s">
        <v>58</v>
      </c>
      <c r="G945" t="s">
        <v>59</v>
      </c>
      <c r="H945" t="s">
        <v>60</v>
      </c>
      <c r="J945" t="s">
        <v>86</v>
      </c>
      <c r="L945" t="s">
        <v>62</v>
      </c>
      <c r="M945" t="s">
        <v>63</v>
      </c>
      <c r="N945" t="s">
        <v>64</v>
      </c>
      <c r="O945">
        <v>8</v>
      </c>
      <c r="P945" t="s">
        <v>65</v>
      </c>
      <c r="R945">
        <v>0.27</v>
      </c>
      <c r="W945" t="s">
        <v>66</v>
      </c>
      <c r="X945" t="s">
        <v>67</v>
      </c>
      <c r="Y945" t="s">
        <v>67</v>
      </c>
      <c r="Z945" t="s">
        <v>68</v>
      </c>
      <c r="AB945">
        <v>4</v>
      </c>
      <c r="AC945" t="s">
        <v>61</v>
      </c>
      <c r="AJ945" t="s">
        <v>69</v>
      </c>
      <c r="AY945" t="s">
        <v>334</v>
      </c>
      <c r="AZ945">
        <v>81380</v>
      </c>
      <c r="BA945" t="s">
        <v>335</v>
      </c>
      <c r="BB945" t="s">
        <v>336</v>
      </c>
      <c r="BC945">
        <v>2005</v>
      </c>
      <c r="BD945" t="s">
        <v>90</v>
      </c>
    </row>
    <row r="946" spans="1:56" x14ac:dyDescent="0.35">
      <c r="A946">
        <v>104767</v>
      </c>
      <c r="B946" t="s">
        <v>935</v>
      </c>
      <c r="D946" t="s">
        <v>57</v>
      </c>
      <c r="E946">
        <v>99</v>
      </c>
      <c r="F946" t="s">
        <v>58</v>
      </c>
      <c r="G946" t="s">
        <v>59</v>
      </c>
      <c r="H946" t="s">
        <v>60</v>
      </c>
      <c r="J946">
        <v>34</v>
      </c>
      <c r="K946" t="s">
        <v>61</v>
      </c>
      <c r="L946" t="s">
        <v>74</v>
      </c>
      <c r="M946" t="s">
        <v>63</v>
      </c>
      <c r="N946" t="s">
        <v>64</v>
      </c>
      <c r="P946" t="s">
        <v>65</v>
      </c>
      <c r="R946">
        <v>28.2</v>
      </c>
      <c r="T946">
        <v>27</v>
      </c>
      <c r="V946">
        <v>29.5</v>
      </c>
      <c r="W946" t="s">
        <v>66</v>
      </c>
      <c r="X946" t="s">
        <v>67</v>
      </c>
      <c r="Y946" t="s">
        <v>67</v>
      </c>
      <c r="Z946" t="s">
        <v>68</v>
      </c>
      <c r="AB946">
        <v>4</v>
      </c>
      <c r="AC946" t="s">
        <v>61</v>
      </c>
      <c r="AJ946" t="s">
        <v>69</v>
      </c>
      <c r="AY946" t="s">
        <v>141</v>
      </c>
      <c r="AZ946">
        <v>12447</v>
      </c>
      <c r="BA946" t="s">
        <v>142</v>
      </c>
      <c r="BB946" t="s">
        <v>143</v>
      </c>
      <c r="BC946">
        <v>1985</v>
      </c>
      <c r="BD946" t="s">
        <v>73</v>
      </c>
    </row>
    <row r="947" spans="1:56" x14ac:dyDescent="0.35">
      <c r="A947">
        <v>104881</v>
      </c>
      <c r="B947" t="s">
        <v>936</v>
      </c>
      <c r="D947" t="s">
        <v>57</v>
      </c>
      <c r="E947">
        <v>97</v>
      </c>
      <c r="F947" t="s">
        <v>58</v>
      </c>
      <c r="G947" t="s">
        <v>59</v>
      </c>
      <c r="H947" t="s">
        <v>60</v>
      </c>
      <c r="J947" t="s">
        <v>86</v>
      </c>
      <c r="K947" t="s">
        <v>61</v>
      </c>
      <c r="L947" t="s">
        <v>74</v>
      </c>
      <c r="M947" t="s">
        <v>63</v>
      </c>
      <c r="N947" t="s">
        <v>64</v>
      </c>
      <c r="P947" t="s">
        <v>65</v>
      </c>
      <c r="R947">
        <v>2.2000000000000002</v>
      </c>
      <c r="T947">
        <v>2</v>
      </c>
      <c r="V947">
        <v>2.4</v>
      </c>
      <c r="W947" t="s">
        <v>66</v>
      </c>
      <c r="X947" t="s">
        <v>67</v>
      </c>
      <c r="Y947" t="s">
        <v>67</v>
      </c>
      <c r="Z947" t="s">
        <v>68</v>
      </c>
      <c r="AB947">
        <v>4</v>
      </c>
      <c r="AC947" t="s">
        <v>61</v>
      </c>
      <c r="AJ947" t="s">
        <v>69</v>
      </c>
      <c r="AY947" t="s">
        <v>286</v>
      </c>
      <c r="AZ947">
        <v>12448</v>
      </c>
      <c r="BA947" t="s">
        <v>287</v>
      </c>
      <c r="BB947" t="s">
        <v>288</v>
      </c>
      <c r="BC947">
        <v>1984</v>
      </c>
      <c r="BD947" t="s">
        <v>937</v>
      </c>
    </row>
    <row r="948" spans="1:56" x14ac:dyDescent="0.35">
      <c r="A948">
        <v>104881</v>
      </c>
      <c r="B948" t="s">
        <v>936</v>
      </c>
      <c r="D948" t="s">
        <v>57</v>
      </c>
      <c r="E948" t="s">
        <v>128</v>
      </c>
      <c r="F948" t="s">
        <v>58</v>
      </c>
      <c r="G948" t="s">
        <v>59</v>
      </c>
      <c r="H948" t="s">
        <v>60</v>
      </c>
      <c r="I948" t="s">
        <v>129</v>
      </c>
      <c r="J948" t="s">
        <v>86</v>
      </c>
      <c r="K948" t="s">
        <v>61</v>
      </c>
      <c r="L948" t="s">
        <v>74</v>
      </c>
      <c r="M948" t="s">
        <v>63</v>
      </c>
      <c r="N948" t="s">
        <v>64</v>
      </c>
      <c r="P948" t="s">
        <v>65</v>
      </c>
      <c r="R948">
        <v>2.2000000000000002</v>
      </c>
      <c r="W948" t="s">
        <v>66</v>
      </c>
      <c r="X948" t="s">
        <v>67</v>
      </c>
      <c r="Y948" t="s">
        <v>67</v>
      </c>
      <c r="Z948" t="s">
        <v>68</v>
      </c>
      <c r="AB948">
        <v>4</v>
      </c>
      <c r="AC948" t="s">
        <v>61</v>
      </c>
      <c r="AJ948" t="s">
        <v>69</v>
      </c>
      <c r="AY948" t="s">
        <v>134</v>
      </c>
      <c r="AZ948">
        <v>15031</v>
      </c>
      <c r="BA948" t="s">
        <v>135</v>
      </c>
      <c r="BB948" t="s">
        <v>136</v>
      </c>
      <c r="BC948">
        <v>1995</v>
      </c>
      <c r="BD948" t="s">
        <v>133</v>
      </c>
    </row>
    <row r="949" spans="1:56" x14ac:dyDescent="0.35">
      <c r="A949">
        <v>104905</v>
      </c>
      <c r="B949" t="s">
        <v>938</v>
      </c>
      <c r="D949" t="s">
        <v>57</v>
      </c>
      <c r="E949">
        <v>98</v>
      </c>
      <c r="F949" t="s">
        <v>58</v>
      </c>
      <c r="G949" t="s">
        <v>59</v>
      </c>
      <c r="H949" t="s">
        <v>60</v>
      </c>
      <c r="J949">
        <v>33</v>
      </c>
      <c r="K949" t="s">
        <v>61</v>
      </c>
      <c r="L949" t="s">
        <v>74</v>
      </c>
      <c r="M949" t="s">
        <v>63</v>
      </c>
      <c r="N949" t="s">
        <v>64</v>
      </c>
      <c r="P949" t="s">
        <v>65</v>
      </c>
      <c r="R949">
        <v>81.099999999999994</v>
      </c>
      <c r="T949">
        <v>77.599999999999994</v>
      </c>
      <c r="V949">
        <v>84.8</v>
      </c>
      <c r="W949" t="s">
        <v>66</v>
      </c>
      <c r="X949" t="s">
        <v>67</v>
      </c>
      <c r="Y949" t="s">
        <v>67</v>
      </c>
      <c r="Z949" t="s">
        <v>68</v>
      </c>
      <c r="AB949">
        <v>4</v>
      </c>
      <c r="AC949" t="s">
        <v>61</v>
      </c>
      <c r="AJ949" t="s">
        <v>69</v>
      </c>
      <c r="AY949" t="s">
        <v>286</v>
      </c>
      <c r="AZ949">
        <v>12448</v>
      </c>
      <c r="BA949" t="s">
        <v>287</v>
      </c>
      <c r="BB949" t="s">
        <v>288</v>
      </c>
      <c r="BC949">
        <v>1984</v>
      </c>
      <c r="BD949" t="s">
        <v>73</v>
      </c>
    </row>
    <row r="950" spans="1:56" x14ac:dyDescent="0.35">
      <c r="A950">
        <v>105146</v>
      </c>
      <c r="B950" t="s">
        <v>939</v>
      </c>
      <c r="D950" t="s">
        <v>57</v>
      </c>
      <c r="E950">
        <v>98</v>
      </c>
      <c r="F950" t="s">
        <v>58</v>
      </c>
      <c r="G950" t="s">
        <v>59</v>
      </c>
      <c r="H950" t="s">
        <v>60</v>
      </c>
      <c r="J950" t="s">
        <v>86</v>
      </c>
      <c r="K950" t="s">
        <v>61</v>
      </c>
      <c r="L950" t="s">
        <v>74</v>
      </c>
      <c r="M950" t="s">
        <v>63</v>
      </c>
      <c r="N950" t="s">
        <v>64</v>
      </c>
      <c r="P950" t="s">
        <v>65</v>
      </c>
      <c r="R950">
        <v>336</v>
      </c>
      <c r="T950">
        <v>297</v>
      </c>
      <c r="V950">
        <v>381</v>
      </c>
      <c r="W950" t="s">
        <v>66</v>
      </c>
      <c r="X950" t="s">
        <v>67</v>
      </c>
      <c r="Y950" t="s">
        <v>67</v>
      </c>
      <c r="Z950" t="s">
        <v>68</v>
      </c>
      <c r="AB950">
        <v>4</v>
      </c>
      <c r="AC950" t="s">
        <v>61</v>
      </c>
      <c r="AJ950" t="s">
        <v>69</v>
      </c>
      <c r="AY950" t="s">
        <v>263</v>
      </c>
      <c r="AZ950">
        <v>12858</v>
      </c>
      <c r="BA950" t="s">
        <v>264</v>
      </c>
      <c r="BB950" t="s">
        <v>265</v>
      </c>
      <c r="BC950">
        <v>1986</v>
      </c>
      <c r="BD950" t="s">
        <v>940</v>
      </c>
    </row>
    <row r="951" spans="1:56" x14ac:dyDescent="0.35">
      <c r="A951">
        <v>105533</v>
      </c>
      <c r="B951" t="s">
        <v>941</v>
      </c>
      <c r="D951" t="s">
        <v>57</v>
      </c>
      <c r="E951">
        <v>99</v>
      </c>
      <c r="F951" t="s">
        <v>58</v>
      </c>
      <c r="G951" t="s">
        <v>59</v>
      </c>
      <c r="H951" t="s">
        <v>60</v>
      </c>
      <c r="J951">
        <v>33</v>
      </c>
      <c r="K951" t="s">
        <v>61</v>
      </c>
      <c r="L951" t="s">
        <v>74</v>
      </c>
      <c r="M951" t="s">
        <v>63</v>
      </c>
      <c r="N951" t="s">
        <v>64</v>
      </c>
      <c r="P951" t="s">
        <v>65</v>
      </c>
      <c r="R951">
        <v>15.4</v>
      </c>
      <c r="T951">
        <v>14.1</v>
      </c>
      <c r="V951">
        <v>16.899999999999999</v>
      </c>
      <c r="W951" t="s">
        <v>66</v>
      </c>
      <c r="X951" t="s">
        <v>67</v>
      </c>
      <c r="Y951" t="s">
        <v>67</v>
      </c>
      <c r="Z951" t="s">
        <v>68</v>
      </c>
      <c r="AB951">
        <v>4</v>
      </c>
      <c r="AC951" t="s">
        <v>61</v>
      </c>
      <c r="AJ951" t="s">
        <v>69</v>
      </c>
      <c r="AY951" t="s">
        <v>286</v>
      </c>
      <c r="AZ951">
        <v>12448</v>
      </c>
      <c r="BA951" t="s">
        <v>287</v>
      </c>
      <c r="BB951" t="s">
        <v>288</v>
      </c>
      <c r="BC951">
        <v>1984</v>
      </c>
      <c r="BD951" t="s">
        <v>73</v>
      </c>
    </row>
    <row r="952" spans="1:56" x14ac:dyDescent="0.35">
      <c r="A952">
        <v>105533</v>
      </c>
      <c r="B952" t="s">
        <v>941</v>
      </c>
      <c r="D952" t="s">
        <v>57</v>
      </c>
      <c r="E952" t="s">
        <v>128</v>
      </c>
      <c r="F952" t="s">
        <v>58</v>
      </c>
      <c r="G952" t="s">
        <v>59</v>
      </c>
      <c r="H952" t="s">
        <v>60</v>
      </c>
      <c r="I952" t="s">
        <v>129</v>
      </c>
      <c r="J952" t="s">
        <v>86</v>
      </c>
      <c r="K952" t="s">
        <v>61</v>
      </c>
      <c r="L952" t="s">
        <v>74</v>
      </c>
      <c r="M952" t="s">
        <v>63</v>
      </c>
      <c r="N952" t="s">
        <v>64</v>
      </c>
      <c r="P952" t="s">
        <v>65</v>
      </c>
      <c r="R952">
        <v>15.6</v>
      </c>
      <c r="W952" t="s">
        <v>66</v>
      </c>
      <c r="X952" t="s">
        <v>67</v>
      </c>
      <c r="Y952" t="s">
        <v>67</v>
      </c>
      <c r="Z952" t="s">
        <v>68</v>
      </c>
      <c r="AB952">
        <v>4</v>
      </c>
      <c r="AC952" t="s">
        <v>61</v>
      </c>
      <c r="AJ952" t="s">
        <v>69</v>
      </c>
      <c r="AY952" t="s">
        <v>134</v>
      </c>
      <c r="AZ952">
        <v>15031</v>
      </c>
      <c r="BA952" t="s">
        <v>135</v>
      </c>
      <c r="BB952" t="s">
        <v>136</v>
      </c>
      <c r="BC952">
        <v>1995</v>
      </c>
      <c r="BD952" t="s">
        <v>133</v>
      </c>
    </row>
    <row r="953" spans="1:56" x14ac:dyDescent="0.35">
      <c r="A953">
        <v>105533</v>
      </c>
      <c r="B953" t="s">
        <v>941</v>
      </c>
      <c r="D953" t="s">
        <v>57</v>
      </c>
      <c r="E953" t="s">
        <v>128</v>
      </c>
      <c r="F953" t="s">
        <v>58</v>
      </c>
      <c r="G953" t="s">
        <v>59</v>
      </c>
      <c r="H953" t="s">
        <v>60</v>
      </c>
      <c r="I953" t="s">
        <v>129</v>
      </c>
      <c r="J953" t="s">
        <v>86</v>
      </c>
      <c r="K953" t="s">
        <v>61</v>
      </c>
      <c r="L953" t="s">
        <v>74</v>
      </c>
      <c r="M953" t="s">
        <v>63</v>
      </c>
      <c r="N953" t="s">
        <v>64</v>
      </c>
      <c r="P953" t="s">
        <v>65</v>
      </c>
      <c r="R953">
        <v>10.8</v>
      </c>
      <c r="W953" t="s">
        <v>66</v>
      </c>
      <c r="X953" t="s">
        <v>67</v>
      </c>
      <c r="Y953" t="s">
        <v>67</v>
      </c>
      <c r="Z953" t="s">
        <v>68</v>
      </c>
      <c r="AB953">
        <v>4</v>
      </c>
      <c r="AC953" t="s">
        <v>61</v>
      </c>
      <c r="AJ953" t="s">
        <v>69</v>
      </c>
      <c r="AY953" t="s">
        <v>134</v>
      </c>
      <c r="AZ953">
        <v>15031</v>
      </c>
      <c r="BA953" t="s">
        <v>135</v>
      </c>
      <c r="BB953" t="s">
        <v>136</v>
      </c>
      <c r="BC953">
        <v>1995</v>
      </c>
      <c r="BD953" t="s">
        <v>133</v>
      </c>
    </row>
    <row r="954" spans="1:56" x14ac:dyDescent="0.35">
      <c r="A954">
        <v>105533</v>
      </c>
      <c r="B954" t="s">
        <v>941</v>
      </c>
      <c r="D954" t="s">
        <v>57</v>
      </c>
      <c r="E954">
        <v>99</v>
      </c>
      <c r="F954" t="s">
        <v>58</v>
      </c>
      <c r="G954" t="s">
        <v>59</v>
      </c>
      <c r="H954" t="s">
        <v>60</v>
      </c>
      <c r="J954">
        <v>28</v>
      </c>
      <c r="K954" t="s">
        <v>61</v>
      </c>
      <c r="L954" t="s">
        <v>74</v>
      </c>
      <c r="M954" t="s">
        <v>63</v>
      </c>
      <c r="N954" t="s">
        <v>64</v>
      </c>
      <c r="P954" t="s">
        <v>65</v>
      </c>
      <c r="R954">
        <v>17.399999999999999</v>
      </c>
      <c r="T954">
        <v>15.4</v>
      </c>
      <c r="V954">
        <v>19.5</v>
      </c>
      <c r="W954" t="s">
        <v>66</v>
      </c>
      <c r="X954" t="s">
        <v>67</v>
      </c>
      <c r="Y954" t="s">
        <v>67</v>
      </c>
      <c r="Z954" t="s">
        <v>68</v>
      </c>
      <c r="AB954">
        <v>4</v>
      </c>
      <c r="AC954" t="s">
        <v>61</v>
      </c>
      <c r="AJ954" t="s">
        <v>69</v>
      </c>
      <c r="AY954" t="s">
        <v>141</v>
      </c>
      <c r="AZ954">
        <v>12447</v>
      </c>
      <c r="BA954" t="s">
        <v>142</v>
      </c>
      <c r="BB954" t="s">
        <v>143</v>
      </c>
      <c r="BC954">
        <v>1985</v>
      </c>
      <c r="BD954" t="s">
        <v>73</v>
      </c>
    </row>
    <row r="955" spans="1:56" x14ac:dyDescent="0.35">
      <c r="A955">
        <v>105533</v>
      </c>
      <c r="B955" t="s">
        <v>941</v>
      </c>
      <c r="D955" t="s">
        <v>57</v>
      </c>
      <c r="E955" t="s">
        <v>128</v>
      </c>
      <c r="F955" t="s">
        <v>58</v>
      </c>
      <c r="G955" t="s">
        <v>59</v>
      </c>
      <c r="H955" t="s">
        <v>60</v>
      </c>
      <c r="I955" t="s">
        <v>129</v>
      </c>
      <c r="J955" t="s">
        <v>86</v>
      </c>
      <c r="K955" t="s">
        <v>61</v>
      </c>
      <c r="L955" t="s">
        <v>74</v>
      </c>
      <c r="M955" t="s">
        <v>63</v>
      </c>
      <c r="N955" t="s">
        <v>64</v>
      </c>
      <c r="P955" t="s">
        <v>65</v>
      </c>
      <c r="R955">
        <v>15.5</v>
      </c>
      <c r="W955" t="s">
        <v>66</v>
      </c>
      <c r="X955" t="s">
        <v>67</v>
      </c>
      <c r="Y955" t="s">
        <v>67</v>
      </c>
      <c r="Z955" t="s">
        <v>68</v>
      </c>
      <c r="AB955">
        <v>4</v>
      </c>
      <c r="AC955" t="s">
        <v>61</v>
      </c>
      <c r="AJ955" t="s">
        <v>69</v>
      </c>
      <c r="AY955" t="s">
        <v>134</v>
      </c>
      <c r="AZ955">
        <v>15031</v>
      </c>
      <c r="BA955" t="s">
        <v>135</v>
      </c>
      <c r="BB955" t="s">
        <v>136</v>
      </c>
      <c r="BC955">
        <v>1995</v>
      </c>
      <c r="BD955" t="s">
        <v>133</v>
      </c>
    </row>
    <row r="956" spans="1:56" x14ac:dyDescent="0.35">
      <c r="A956">
        <v>105533</v>
      </c>
      <c r="B956" t="s">
        <v>941</v>
      </c>
      <c r="D956" t="s">
        <v>57</v>
      </c>
      <c r="E956">
        <v>99</v>
      </c>
      <c r="F956" t="s">
        <v>58</v>
      </c>
      <c r="G956" t="s">
        <v>59</v>
      </c>
      <c r="H956" t="s">
        <v>60</v>
      </c>
      <c r="J956">
        <v>28</v>
      </c>
      <c r="K956" t="s">
        <v>61</v>
      </c>
      <c r="L956" t="s">
        <v>74</v>
      </c>
      <c r="M956" t="s">
        <v>63</v>
      </c>
      <c r="N956" t="s">
        <v>64</v>
      </c>
      <c r="P956" t="s">
        <v>65</v>
      </c>
      <c r="R956">
        <v>11.8</v>
      </c>
      <c r="T956">
        <v>10.3</v>
      </c>
      <c r="V956">
        <v>13.4</v>
      </c>
      <c r="W956" t="s">
        <v>66</v>
      </c>
      <c r="X956" t="s">
        <v>67</v>
      </c>
      <c r="Y956" t="s">
        <v>67</v>
      </c>
      <c r="Z956" t="s">
        <v>68</v>
      </c>
      <c r="AB956">
        <v>4</v>
      </c>
      <c r="AC956" t="s">
        <v>61</v>
      </c>
      <c r="AJ956" t="s">
        <v>69</v>
      </c>
      <c r="AY956" t="s">
        <v>263</v>
      </c>
      <c r="AZ956">
        <v>12858</v>
      </c>
      <c r="BA956" t="s">
        <v>264</v>
      </c>
      <c r="BB956" t="s">
        <v>265</v>
      </c>
      <c r="BC956">
        <v>1986</v>
      </c>
      <c r="BD956" t="s">
        <v>73</v>
      </c>
    </row>
    <row r="957" spans="1:56" x14ac:dyDescent="0.35">
      <c r="A957">
        <v>105679</v>
      </c>
      <c r="B957" t="s">
        <v>942</v>
      </c>
      <c r="D957" t="s">
        <v>57</v>
      </c>
      <c r="E957" t="s">
        <v>128</v>
      </c>
      <c r="F957" t="s">
        <v>58</v>
      </c>
      <c r="G957" t="s">
        <v>59</v>
      </c>
      <c r="H957" t="s">
        <v>60</v>
      </c>
      <c r="I957" t="s">
        <v>129</v>
      </c>
      <c r="J957" t="s">
        <v>86</v>
      </c>
      <c r="K957" t="s">
        <v>61</v>
      </c>
      <c r="L957" t="s">
        <v>74</v>
      </c>
      <c r="M957" t="s">
        <v>63</v>
      </c>
      <c r="N957" t="s">
        <v>64</v>
      </c>
      <c r="P957" t="s">
        <v>65</v>
      </c>
      <c r="R957">
        <v>15.4</v>
      </c>
      <c r="W957" t="s">
        <v>66</v>
      </c>
      <c r="X957" t="s">
        <v>67</v>
      </c>
      <c r="Y957" t="s">
        <v>67</v>
      </c>
      <c r="Z957" t="s">
        <v>68</v>
      </c>
      <c r="AB957">
        <v>4</v>
      </c>
      <c r="AC957" t="s">
        <v>61</v>
      </c>
      <c r="AJ957" t="s">
        <v>69</v>
      </c>
      <c r="AY957" t="s">
        <v>134</v>
      </c>
      <c r="AZ957">
        <v>15031</v>
      </c>
      <c r="BA957" t="s">
        <v>135</v>
      </c>
      <c r="BB957" t="s">
        <v>136</v>
      </c>
      <c r="BC957">
        <v>1995</v>
      </c>
      <c r="BD957" t="s">
        <v>133</v>
      </c>
    </row>
    <row r="958" spans="1:56" x14ac:dyDescent="0.35">
      <c r="A958">
        <v>105679</v>
      </c>
      <c r="B958" t="s">
        <v>942</v>
      </c>
      <c r="D958" t="s">
        <v>57</v>
      </c>
      <c r="E958">
        <v>97</v>
      </c>
      <c r="F958" t="s">
        <v>58</v>
      </c>
      <c r="G958" t="s">
        <v>59</v>
      </c>
      <c r="H958" t="s">
        <v>60</v>
      </c>
      <c r="I958" t="s">
        <v>129</v>
      </c>
      <c r="J958" t="s">
        <v>86</v>
      </c>
      <c r="L958" t="s">
        <v>74</v>
      </c>
      <c r="M958" t="s">
        <v>63</v>
      </c>
      <c r="N958" t="s">
        <v>64</v>
      </c>
      <c r="P958" t="s">
        <v>65</v>
      </c>
      <c r="R958">
        <v>18.100000000000001</v>
      </c>
      <c r="T958">
        <v>14.6</v>
      </c>
      <c r="V958">
        <v>22.6</v>
      </c>
      <c r="W958" t="s">
        <v>66</v>
      </c>
      <c r="X958" t="s">
        <v>67</v>
      </c>
      <c r="Y958" t="s">
        <v>67</v>
      </c>
      <c r="Z958" t="s">
        <v>68</v>
      </c>
      <c r="AB958">
        <v>4</v>
      </c>
      <c r="AC958" t="s">
        <v>61</v>
      </c>
      <c r="AJ958" t="s">
        <v>69</v>
      </c>
      <c r="AY958" t="s">
        <v>943</v>
      </c>
      <c r="AZ958">
        <v>56473</v>
      </c>
      <c r="BA958" t="s">
        <v>944</v>
      </c>
      <c r="BB958" t="s">
        <v>945</v>
      </c>
      <c r="BC958">
        <v>1987</v>
      </c>
      <c r="BD958" t="s">
        <v>90</v>
      </c>
    </row>
    <row r="959" spans="1:56" x14ac:dyDescent="0.35">
      <c r="A959">
        <v>105679</v>
      </c>
      <c r="B959" t="s">
        <v>942</v>
      </c>
      <c r="D959" t="s">
        <v>57</v>
      </c>
      <c r="E959" t="s">
        <v>86</v>
      </c>
      <c r="F959" t="s">
        <v>58</v>
      </c>
      <c r="G959" t="s">
        <v>59</v>
      </c>
      <c r="H959" t="s">
        <v>60</v>
      </c>
      <c r="J959">
        <v>32</v>
      </c>
      <c r="K959" t="s">
        <v>61</v>
      </c>
      <c r="L959" t="s">
        <v>74</v>
      </c>
      <c r="M959" t="s">
        <v>63</v>
      </c>
      <c r="N959" t="s">
        <v>64</v>
      </c>
      <c r="P959" t="s">
        <v>65</v>
      </c>
      <c r="R959">
        <v>16.600000000000001</v>
      </c>
      <c r="T959">
        <v>16.100000000000001</v>
      </c>
      <c r="V959">
        <v>17.100000000000001</v>
      </c>
      <c r="W959" t="s">
        <v>66</v>
      </c>
      <c r="X959" t="s">
        <v>67</v>
      </c>
      <c r="Y959" t="s">
        <v>67</v>
      </c>
      <c r="Z959" t="s">
        <v>68</v>
      </c>
      <c r="AB959">
        <v>4</v>
      </c>
      <c r="AC959" t="s">
        <v>61</v>
      </c>
      <c r="AJ959" t="s">
        <v>69</v>
      </c>
      <c r="AY959" t="s">
        <v>141</v>
      </c>
      <c r="AZ959">
        <v>12447</v>
      </c>
      <c r="BA959" t="s">
        <v>142</v>
      </c>
      <c r="BB959" t="s">
        <v>143</v>
      </c>
      <c r="BC959">
        <v>1985</v>
      </c>
      <c r="BD959" t="s">
        <v>73</v>
      </c>
    </row>
    <row r="960" spans="1:56" x14ac:dyDescent="0.35">
      <c r="A960">
        <v>105679</v>
      </c>
      <c r="B960" t="s">
        <v>942</v>
      </c>
      <c r="D960" t="s">
        <v>57</v>
      </c>
      <c r="E960" t="s">
        <v>128</v>
      </c>
      <c r="F960" t="s">
        <v>58</v>
      </c>
      <c r="G960" t="s">
        <v>59</v>
      </c>
      <c r="H960" t="s">
        <v>60</v>
      </c>
      <c r="I960" t="s">
        <v>129</v>
      </c>
      <c r="J960" t="s">
        <v>86</v>
      </c>
      <c r="K960" t="s">
        <v>61</v>
      </c>
      <c r="L960" t="s">
        <v>74</v>
      </c>
      <c r="M960" t="s">
        <v>63</v>
      </c>
      <c r="N960" t="s">
        <v>64</v>
      </c>
      <c r="P960" t="s">
        <v>65</v>
      </c>
      <c r="R960">
        <v>18.100000000000001</v>
      </c>
      <c r="W960" t="s">
        <v>66</v>
      </c>
      <c r="X960" t="s">
        <v>67</v>
      </c>
      <c r="Y960" t="s">
        <v>67</v>
      </c>
      <c r="Z960" t="s">
        <v>68</v>
      </c>
      <c r="AB960">
        <v>4</v>
      </c>
      <c r="AC960" t="s">
        <v>61</v>
      </c>
      <c r="AJ960" t="s">
        <v>69</v>
      </c>
      <c r="AY960" t="s">
        <v>134</v>
      </c>
      <c r="AZ960">
        <v>15031</v>
      </c>
      <c r="BA960" t="s">
        <v>135</v>
      </c>
      <c r="BB960" t="s">
        <v>136</v>
      </c>
      <c r="BC960">
        <v>1995</v>
      </c>
      <c r="BD960" t="s">
        <v>133</v>
      </c>
    </row>
    <row r="961" spans="1:56" x14ac:dyDescent="0.35">
      <c r="A961">
        <v>105679</v>
      </c>
      <c r="B961" t="s">
        <v>942</v>
      </c>
      <c r="D961" t="s">
        <v>85</v>
      </c>
      <c r="E961" t="s">
        <v>86</v>
      </c>
      <c r="F961" t="s">
        <v>58</v>
      </c>
      <c r="G961" t="s">
        <v>59</v>
      </c>
      <c r="H961" t="s">
        <v>60</v>
      </c>
      <c r="J961">
        <v>32</v>
      </c>
      <c r="K961" t="s">
        <v>61</v>
      </c>
      <c r="M961" t="s">
        <v>63</v>
      </c>
      <c r="N961" t="s">
        <v>64</v>
      </c>
      <c r="P961" t="s">
        <v>100</v>
      </c>
      <c r="R961">
        <v>16.600000000000001</v>
      </c>
      <c r="T961">
        <v>16.100000000000001</v>
      </c>
      <c r="V961">
        <v>17.100000000000001</v>
      </c>
      <c r="W961" t="s">
        <v>66</v>
      </c>
      <c r="X961" t="s">
        <v>67</v>
      </c>
      <c r="Y961" t="s">
        <v>67</v>
      </c>
      <c r="Z961" t="s">
        <v>68</v>
      </c>
      <c r="AB961">
        <v>4</v>
      </c>
      <c r="AC961" t="s">
        <v>61</v>
      </c>
      <c r="AJ961" t="s">
        <v>69</v>
      </c>
      <c r="AY961" t="s">
        <v>295</v>
      </c>
      <c r="AZ961">
        <v>57532</v>
      </c>
      <c r="BA961" t="s">
        <v>296</v>
      </c>
      <c r="BB961" t="s">
        <v>297</v>
      </c>
      <c r="BC961">
        <v>1993</v>
      </c>
      <c r="BD961" t="s">
        <v>73</v>
      </c>
    </row>
    <row r="962" spans="1:56" x14ac:dyDescent="0.35">
      <c r="A962">
        <v>105679</v>
      </c>
      <c r="B962" t="s">
        <v>942</v>
      </c>
      <c r="D962" t="s">
        <v>57</v>
      </c>
      <c r="E962" t="s">
        <v>86</v>
      </c>
      <c r="F962" t="s">
        <v>58</v>
      </c>
      <c r="G962" t="s">
        <v>59</v>
      </c>
      <c r="H962" t="s">
        <v>60</v>
      </c>
      <c r="J962" t="s">
        <v>86</v>
      </c>
      <c r="K962" t="s">
        <v>61</v>
      </c>
      <c r="L962" t="s">
        <v>74</v>
      </c>
      <c r="M962" t="s">
        <v>63</v>
      </c>
      <c r="N962" t="s">
        <v>64</v>
      </c>
      <c r="P962" t="s">
        <v>65</v>
      </c>
      <c r="R962">
        <v>17</v>
      </c>
      <c r="T962">
        <v>16.100000000000001</v>
      </c>
      <c r="V962">
        <v>17.899999999999999</v>
      </c>
      <c r="W962" t="s">
        <v>66</v>
      </c>
      <c r="X962" t="s">
        <v>67</v>
      </c>
      <c r="Y962" t="s">
        <v>67</v>
      </c>
      <c r="Z962" t="s">
        <v>68</v>
      </c>
      <c r="AB962">
        <v>4</v>
      </c>
      <c r="AC962" t="s">
        <v>61</v>
      </c>
      <c r="AJ962" t="s">
        <v>69</v>
      </c>
      <c r="AY962" t="s">
        <v>124</v>
      </c>
      <c r="AZ962">
        <v>2189</v>
      </c>
      <c r="BA962" t="s">
        <v>125</v>
      </c>
      <c r="BB962" t="s">
        <v>126</v>
      </c>
      <c r="BC962">
        <v>1981</v>
      </c>
      <c r="BD962" t="s">
        <v>127</v>
      </c>
    </row>
    <row r="963" spans="1:56" x14ac:dyDescent="0.35">
      <c r="A963">
        <v>105679</v>
      </c>
      <c r="B963" t="s">
        <v>942</v>
      </c>
      <c r="D963" t="s">
        <v>57</v>
      </c>
      <c r="E963" t="s">
        <v>86</v>
      </c>
      <c r="F963" t="s">
        <v>58</v>
      </c>
      <c r="G963" t="s">
        <v>59</v>
      </c>
      <c r="H963" t="s">
        <v>60</v>
      </c>
      <c r="J963" t="s">
        <v>86</v>
      </c>
      <c r="K963" t="s">
        <v>61</v>
      </c>
      <c r="L963" t="s">
        <v>74</v>
      </c>
      <c r="M963" t="s">
        <v>63</v>
      </c>
      <c r="N963" t="s">
        <v>64</v>
      </c>
      <c r="P963" t="s">
        <v>65</v>
      </c>
      <c r="R963">
        <v>17</v>
      </c>
      <c r="T963">
        <v>16</v>
      </c>
      <c r="V963">
        <v>18</v>
      </c>
      <c r="W963" t="s">
        <v>66</v>
      </c>
      <c r="X963" t="s">
        <v>67</v>
      </c>
      <c r="Y963" t="s">
        <v>67</v>
      </c>
      <c r="Z963" t="s">
        <v>68</v>
      </c>
      <c r="AB963">
        <v>4</v>
      </c>
      <c r="AC963" t="s">
        <v>61</v>
      </c>
      <c r="AJ963" t="s">
        <v>69</v>
      </c>
      <c r="AY963" t="s">
        <v>124</v>
      </c>
      <c r="AZ963">
        <v>2189</v>
      </c>
      <c r="BA963" t="s">
        <v>125</v>
      </c>
      <c r="BB963" t="s">
        <v>126</v>
      </c>
      <c r="BC963">
        <v>1981</v>
      </c>
      <c r="BD963" t="s">
        <v>127</v>
      </c>
    </row>
    <row r="964" spans="1:56" x14ac:dyDescent="0.35">
      <c r="A964">
        <v>105759</v>
      </c>
      <c r="B964" t="s">
        <v>946</v>
      </c>
      <c r="D964" t="s">
        <v>57</v>
      </c>
      <c r="E964" t="s">
        <v>79</v>
      </c>
      <c r="F964" t="s">
        <v>58</v>
      </c>
      <c r="G964" t="s">
        <v>59</v>
      </c>
      <c r="H964" t="s">
        <v>60</v>
      </c>
      <c r="J964">
        <v>29</v>
      </c>
      <c r="K964" t="s">
        <v>61</v>
      </c>
      <c r="L964" t="s">
        <v>74</v>
      </c>
      <c r="M964" t="s">
        <v>63</v>
      </c>
      <c r="N964" t="s">
        <v>64</v>
      </c>
      <c r="P964" t="s">
        <v>65</v>
      </c>
      <c r="R964">
        <v>0.64</v>
      </c>
      <c r="T964">
        <v>0.6</v>
      </c>
      <c r="V964">
        <v>0.69</v>
      </c>
      <c r="W964" t="s">
        <v>66</v>
      </c>
      <c r="X964" t="s">
        <v>67</v>
      </c>
      <c r="Y964" t="s">
        <v>67</v>
      </c>
      <c r="Z964" t="s">
        <v>68</v>
      </c>
      <c r="AB964">
        <v>4</v>
      </c>
      <c r="AC964" t="s">
        <v>61</v>
      </c>
      <c r="AJ964" t="s">
        <v>69</v>
      </c>
      <c r="AY964" t="s">
        <v>141</v>
      </c>
      <c r="AZ964">
        <v>12447</v>
      </c>
      <c r="BA964" t="s">
        <v>142</v>
      </c>
      <c r="BB964" t="s">
        <v>143</v>
      </c>
      <c r="BC964">
        <v>1985</v>
      </c>
      <c r="BD964" t="s">
        <v>73</v>
      </c>
    </row>
    <row r="965" spans="1:56" x14ac:dyDescent="0.35">
      <c r="A965">
        <v>105759</v>
      </c>
      <c r="B965" t="s">
        <v>946</v>
      </c>
      <c r="D965" t="s">
        <v>57</v>
      </c>
      <c r="E965">
        <v>99</v>
      </c>
      <c r="F965" t="s">
        <v>58</v>
      </c>
      <c r="G965" t="s">
        <v>59</v>
      </c>
      <c r="H965" t="s">
        <v>60</v>
      </c>
      <c r="J965">
        <v>34</v>
      </c>
      <c r="K965" t="s">
        <v>61</v>
      </c>
      <c r="L965" t="s">
        <v>74</v>
      </c>
      <c r="M965" t="s">
        <v>63</v>
      </c>
      <c r="N965" t="s">
        <v>64</v>
      </c>
      <c r="P965" t="s">
        <v>65</v>
      </c>
      <c r="R965">
        <v>0.76</v>
      </c>
      <c r="W965" t="s">
        <v>66</v>
      </c>
      <c r="X965" t="s">
        <v>67</v>
      </c>
      <c r="Y965" t="s">
        <v>67</v>
      </c>
      <c r="Z965" t="s">
        <v>68</v>
      </c>
      <c r="AB965">
        <v>4</v>
      </c>
      <c r="AC965" t="s">
        <v>61</v>
      </c>
      <c r="AJ965" t="s">
        <v>69</v>
      </c>
      <c r="AY965" t="s">
        <v>141</v>
      </c>
      <c r="AZ965">
        <v>12447</v>
      </c>
      <c r="BA965" t="s">
        <v>142</v>
      </c>
      <c r="BB965" t="s">
        <v>143</v>
      </c>
      <c r="BC965">
        <v>1985</v>
      </c>
      <c r="BD965" t="s">
        <v>73</v>
      </c>
    </row>
    <row r="966" spans="1:56" x14ac:dyDescent="0.35">
      <c r="A966">
        <v>105759</v>
      </c>
      <c r="B966" t="s">
        <v>946</v>
      </c>
      <c r="D966" t="s">
        <v>57</v>
      </c>
      <c r="E966" t="s">
        <v>79</v>
      </c>
      <c r="F966" t="s">
        <v>58</v>
      </c>
      <c r="G966" t="s">
        <v>59</v>
      </c>
      <c r="H966" t="s">
        <v>60</v>
      </c>
      <c r="J966" t="s">
        <v>86</v>
      </c>
      <c r="K966" t="s">
        <v>61</v>
      </c>
      <c r="L966" t="s">
        <v>74</v>
      </c>
      <c r="M966" t="s">
        <v>63</v>
      </c>
      <c r="N966" t="s">
        <v>64</v>
      </c>
      <c r="P966" t="s">
        <v>65</v>
      </c>
      <c r="R966">
        <v>0.68400000000000005</v>
      </c>
      <c r="T966">
        <v>0.57699999999999996</v>
      </c>
      <c r="V966">
        <v>0.81200000000000006</v>
      </c>
      <c r="W966" t="s">
        <v>66</v>
      </c>
      <c r="X966" t="s">
        <v>67</v>
      </c>
      <c r="Y966" t="s">
        <v>67</v>
      </c>
      <c r="Z966" t="s">
        <v>68</v>
      </c>
      <c r="AB966">
        <v>4</v>
      </c>
      <c r="AC966" t="s">
        <v>61</v>
      </c>
      <c r="AJ966" t="s">
        <v>69</v>
      </c>
      <c r="AY966" t="s">
        <v>75</v>
      </c>
      <c r="AZ966">
        <v>3217</v>
      </c>
      <c r="BA966" t="s">
        <v>76</v>
      </c>
      <c r="BB966" t="s">
        <v>77</v>
      </c>
      <c r="BC966">
        <v>1990</v>
      </c>
      <c r="BD966" t="s">
        <v>947</v>
      </c>
    </row>
    <row r="967" spans="1:56" x14ac:dyDescent="0.35">
      <c r="A967">
        <v>105759</v>
      </c>
      <c r="B967" t="s">
        <v>946</v>
      </c>
      <c r="D967" t="s">
        <v>57</v>
      </c>
      <c r="E967" t="s">
        <v>86</v>
      </c>
      <c r="F967" t="s">
        <v>58</v>
      </c>
      <c r="G967" t="s">
        <v>59</v>
      </c>
      <c r="H967" t="s">
        <v>60</v>
      </c>
      <c r="J967" t="s">
        <v>86</v>
      </c>
      <c r="L967" t="s">
        <v>74</v>
      </c>
      <c r="M967" t="s">
        <v>63</v>
      </c>
      <c r="N967" t="s">
        <v>64</v>
      </c>
      <c r="P967" t="s">
        <v>65</v>
      </c>
      <c r="R967">
        <v>0.69</v>
      </c>
      <c r="T967">
        <v>0.57999999999999996</v>
      </c>
      <c r="V967">
        <v>0.82</v>
      </c>
      <c r="W967" t="s">
        <v>66</v>
      </c>
      <c r="X967" t="s">
        <v>67</v>
      </c>
      <c r="Y967" t="s">
        <v>67</v>
      </c>
      <c r="Z967" t="s">
        <v>68</v>
      </c>
      <c r="AB967">
        <v>4</v>
      </c>
      <c r="AC967" t="s">
        <v>61</v>
      </c>
      <c r="AJ967" t="s">
        <v>69</v>
      </c>
      <c r="AY967" t="s">
        <v>144</v>
      </c>
      <c r="AZ967">
        <v>12665</v>
      </c>
      <c r="BA967" t="s">
        <v>145</v>
      </c>
      <c r="BB967" t="s">
        <v>146</v>
      </c>
      <c r="BC967">
        <v>1987</v>
      </c>
      <c r="BD967" t="s">
        <v>90</v>
      </c>
    </row>
    <row r="968" spans="1:56" x14ac:dyDescent="0.35">
      <c r="A968">
        <v>105759</v>
      </c>
      <c r="B968" t="s">
        <v>946</v>
      </c>
      <c r="D968" t="s">
        <v>57</v>
      </c>
      <c r="E968" t="s">
        <v>128</v>
      </c>
      <c r="F968" t="s">
        <v>58</v>
      </c>
      <c r="G968" t="s">
        <v>59</v>
      </c>
      <c r="H968" t="s">
        <v>60</v>
      </c>
      <c r="I968" t="s">
        <v>129</v>
      </c>
      <c r="J968" t="s">
        <v>86</v>
      </c>
      <c r="K968" t="s">
        <v>61</v>
      </c>
      <c r="L968" t="s">
        <v>74</v>
      </c>
      <c r="M968" t="s">
        <v>63</v>
      </c>
      <c r="N968" t="s">
        <v>64</v>
      </c>
      <c r="P968" t="s">
        <v>65</v>
      </c>
      <c r="R968">
        <v>0.71</v>
      </c>
      <c r="W968" t="s">
        <v>66</v>
      </c>
      <c r="X968" t="s">
        <v>67</v>
      </c>
      <c r="Y968" t="s">
        <v>67</v>
      </c>
      <c r="Z968" t="s">
        <v>68</v>
      </c>
      <c r="AB968">
        <v>4</v>
      </c>
      <c r="AC968" t="s">
        <v>61</v>
      </c>
      <c r="AJ968" t="s">
        <v>69</v>
      </c>
      <c r="AY968" t="s">
        <v>134</v>
      </c>
      <c r="AZ968">
        <v>15031</v>
      </c>
      <c r="BA968" t="s">
        <v>135</v>
      </c>
      <c r="BB968" t="s">
        <v>136</v>
      </c>
      <c r="BC968">
        <v>1995</v>
      </c>
      <c r="BD968" t="s">
        <v>133</v>
      </c>
    </row>
    <row r="969" spans="1:56" x14ac:dyDescent="0.35">
      <c r="A969">
        <v>105759</v>
      </c>
      <c r="B969" t="s">
        <v>946</v>
      </c>
      <c r="D969" t="s">
        <v>57</v>
      </c>
      <c r="E969">
        <v>99</v>
      </c>
      <c r="F969" t="s">
        <v>58</v>
      </c>
      <c r="G969" t="s">
        <v>59</v>
      </c>
      <c r="H969" t="s">
        <v>60</v>
      </c>
      <c r="J969">
        <v>30</v>
      </c>
      <c r="K969" t="s">
        <v>61</v>
      </c>
      <c r="L969" t="s">
        <v>74</v>
      </c>
      <c r="M969" t="s">
        <v>63</v>
      </c>
      <c r="N969" t="s">
        <v>64</v>
      </c>
      <c r="P969" t="s">
        <v>65</v>
      </c>
      <c r="R969">
        <v>0.46899999999999997</v>
      </c>
      <c r="W969" t="s">
        <v>66</v>
      </c>
      <c r="X969" t="s">
        <v>67</v>
      </c>
      <c r="Y969" t="s">
        <v>67</v>
      </c>
      <c r="Z969" t="s">
        <v>68</v>
      </c>
      <c r="AB969">
        <v>4</v>
      </c>
      <c r="AC969" t="s">
        <v>61</v>
      </c>
      <c r="AJ969" t="s">
        <v>69</v>
      </c>
      <c r="AY969" t="s">
        <v>80</v>
      </c>
      <c r="AZ969">
        <v>12859</v>
      </c>
      <c r="BA969" t="s">
        <v>81</v>
      </c>
      <c r="BB969" t="s">
        <v>82</v>
      </c>
      <c r="BC969">
        <v>1988</v>
      </c>
      <c r="BD969" t="s">
        <v>73</v>
      </c>
    </row>
    <row r="970" spans="1:56" x14ac:dyDescent="0.35">
      <c r="A970">
        <v>105997</v>
      </c>
      <c r="B970" t="s">
        <v>948</v>
      </c>
      <c r="D970" t="s">
        <v>57</v>
      </c>
      <c r="E970">
        <v>95</v>
      </c>
      <c r="F970" t="s">
        <v>58</v>
      </c>
      <c r="G970" t="s">
        <v>59</v>
      </c>
      <c r="H970" t="s">
        <v>60</v>
      </c>
      <c r="J970">
        <v>33</v>
      </c>
      <c r="K970" t="s">
        <v>61</v>
      </c>
      <c r="L970" t="s">
        <v>74</v>
      </c>
      <c r="M970" t="s">
        <v>63</v>
      </c>
      <c r="N970" t="s">
        <v>64</v>
      </c>
      <c r="P970" t="s">
        <v>65</v>
      </c>
      <c r="R970">
        <v>3.64</v>
      </c>
      <c r="T970">
        <v>3.39</v>
      </c>
      <c r="V970">
        <v>3.9</v>
      </c>
      <c r="W970" t="s">
        <v>66</v>
      </c>
      <c r="X970" t="s">
        <v>67</v>
      </c>
      <c r="Y970" t="s">
        <v>67</v>
      </c>
      <c r="Z970" t="s">
        <v>68</v>
      </c>
      <c r="AB970">
        <v>4</v>
      </c>
      <c r="AC970" t="s">
        <v>61</v>
      </c>
      <c r="AJ970" t="s">
        <v>69</v>
      </c>
      <c r="AY970" t="s">
        <v>141</v>
      </c>
      <c r="AZ970">
        <v>12447</v>
      </c>
      <c r="BA970" t="s">
        <v>142</v>
      </c>
      <c r="BB970" t="s">
        <v>143</v>
      </c>
      <c r="BC970">
        <v>1985</v>
      </c>
      <c r="BD970" t="s">
        <v>73</v>
      </c>
    </row>
    <row r="971" spans="1:56" x14ac:dyDescent="0.35">
      <c r="A971">
        <v>106241</v>
      </c>
      <c r="B971" t="s">
        <v>949</v>
      </c>
      <c r="E971">
        <v>75</v>
      </c>
      <c r="F971" t="s">
        <v>58</v>
      </c>
      <c r="G971" t="s">
        <v>59</v>
      </c>
      <c r="H971" t="s">
        <v>60</v>
      </c>
      <c r="J971" t="s">
        <v>86</v>
      </c>
      <c r="L971" t="s">
        <v>62</v>
      </c>
      <c r="M971" t="s">
        <v>63</v>
      </c>
      <c r="N971" t="s">
        <v>64</v>
      </c>
      <c r="P971" t="s">
        <v>65</v>
      </c>
      <c r="R971">
        <v>5</v>
      </c>
      <c r="T971">
        <v>4.0999999999999996</v>
      </c>
      <c r="V971">
        <v>6.1</v>
      </c>
      <c r="W971" t="s">
        <v>66</v>
      </c>
      <c r="X971" t="s">
        <v>67</v>
      </c>
      <c r="Y971" t="s">
        <v>67</v>
      </c>
      <c r="Z971" t="s">
        <v>68</v>
      </c>
      <c r="AB971">
        <v>4</v>
      </c>
      <c r="AC971" t="s">
        <v>61</v>
      </c>
      <c r="AJ971" t="s">
        <v>69</v>
      </c>
      <c r="AY971" t="s">
        <v>96</v>
      </c>
      <c r="AZ971">
        <v>6797</v>
      </c>
      <c r="BA971" t="s">
        <v>97</v>
      </c>
      <c r="BB971" t="s">
        <v>98</v>
      </c>
      <c r="BC971">
        <v>1986</v>
      </c>
      <c r="BD971" t="s">
        <v>90</v>
      </c>
    </row>
    <row r="972" spans="1:56" x14ac:dyDescent="0.35">
      <c r="A972">
        <v>106241</v>
      </c>
      <c r="B972" t="s">
        <v>949</v>
      </c>
      <c r="E972">
        <v>75</v>
      </c>
      <c r="F972" t="s">
        <v>58</v>
      </c>
      <c r="G972" t="s">
        <v>59</v>
      </c>
      <c r="H972" t="s">
        <v>60</v>
      </c>
      <c r="J972" t="s">
        <v>86</v>
      </c>
      <c r="L972" t="s">
        <v>74</v>
      </c>
      <c r="M972" t="s">
        <v>63</v>
      </c>
      <c r="N972" t="s">
        <v>64</v>
      </c>
      <c r="P972" t="s">
        <v>65</v>
      </c>
      <c r="R972">
        <v>3.2</v>
      </c>
      <c r="T972">
        <v>2.7</v>
      </c>
      <c r="V972">
        <v>3.8</v>
      </c>
      <c r="W972" t="s">
        <v>66</v>
      </c>
      <c r="X972" t="s">
        <v>67</v>
      </c>
      <c r="Y972" t="s">
        <v>67</v>
      </c>
      <c r="Z972" t="s">
        <v>68</v>
      </c>
      <c r="AB972">
        <v>4</v>
      </c>
      <c r="AC972" t="s">
        <v>61</v>
      </c>
      <c r="AJ972" t="s">
        <v>69</v>
      </c>
      <c r="AY972" t="s">
        <v>96</v>
      </c>
      <c r="AZ972">
        <v>6797</v>
      </c>
      <c r="BA972" t="s">
        <v>97</v>
      </c>
      <c r="BB972" t="s">
        <v>98</v>
      </c>
      <c r="BC972">
        <v>1986</v>
      </c>
      <c r="BD972" t="s">
        <v>90</v>
      </c>
    </row>
    <row r="973" spans="1:56" x14ac:dyDescent="0.35">
      <c r="A973">
        <v>106376</v>
      </c>
      <c r="B973" t="s">
        <v>950</v>
      </c>
      <c r="D973" t="s">
        <v>57</v>
      </c>
      <c r="E973" t="s">
        <v>407</v>
      </c>
      <c r="F973" t="s">
        <v>58</v>
      </c>
      <c r="G973" t="s">
        <v>59</v>
      </c>
      <c r="H973" t="s">
        <v>60</v>
      </c>
      <c r="J973">
        <v>3</v>
      </c>
      <c r="K973" t="s">
        <v>320</v>
      </c>
      <c r="L973" t="s">
        <v>190</v>
      </c>
      <c r="M973" t="s">
        <v>63</v>
      </c>
      <c r="N973" t="s">
        <v>64</v>
      </c>
      <c r="P973" t="s">
        <v>65</v>
      </c>
      <c r="R973">
        <v>1.2267101600000001</v>
      </c>
      <c r="T973">
        <v>0.66053624</v>
      </c>
      <c r="V973">
        <v>2.2411051</v>
      </c>
      <c r="W973" t="s">
        <v>66</v>
      </c>
      <c r="X973" t="s">
        <v>67</v>
      </c>
      <c r="Y973" t="s">
        <v>67</v>
      </c>
      <c r="Z973" t="s">
        <v>68</v>
      </c>
      <c r="AB973">
        <v>4</v>
      </c>
      <c r="AC973" t="s">
        <v>61</v>
      </c>
      <c r="AJ973" t="s">
        <v>69</v>
      </c>
      <c r="AY973" t="s">
        <v>815</v>
      </c>
      <c r="AZ973">
        <v>7257</v>
      </c>
      <c r="BA973" t="s">
        <v>816</v>
      </c>
      <c r="BB973" t="s">
        <v>817</v>
      </c>
      <c r="BC973">
        <v>1993</v>
      </c>
      <c r="BD973" t="s">
        <v>324</v>
      </c>
    </row>
    <row r="974" spans="1:56" x14ac:dyDescent="0.35">
      <c r="A974">
        <v>106401</v>
      </c>
      <c r="B974" t="s">
        <v>951</v>
      </c>
      <c r="D974" t="s">
        <v>57</v>
      </c>
      <c r="E974" t="s">
        <v>128</v>
      </c>
      <c r="F974" t="s">
        <v>58</v>
      </c>
      <c r="G974" t="s">
        <v>59</v>
      </c>
      <c r="H974" t="s">
        <v>60</v>
      </c>
      <c r="I974" t="s">
        <v>129</v>
      </c>
      <c r="J974" t="s">
        <v>86</v>
      </c>
      <c r="K974" t="s">
        <v>61</v>
      </c>
      <c r="L974" t="s">
        <v>74</v>
      </c>
      <c r="M974" t="s">
        <v>63</v>
      </c>
      <c r="N974" t="s">
        <v>64</v>
      </c>
      <c r="P974" t="s">
        <v>65</v>
      </c>
      <c r="R974">
        <v>47.5</v>
      </c>
      <c r="W974" t="s">
        <v>66</v>
      </c>
      <c r="X974" t="s">
        <v>67</v>
      </c>
      <c r="Y974" t="s">
        <v>67</v>
      </c>
      <c r="Z974" t="s">
        <v>68</v>
      </c>
      <c r="AB974">
        <v>4</v>
      </c>
      <c r="AC974" t="s">
        <v>61</v>
      </c>
      <c r="AJ974" t="s">
        <v>69</v>
      </c>
      <c r="AY974" t="s">
        <v>134</v>
      </c>
      <c r="AZ974">
        <v>15031</v>
      </c>
      <c r="BA974" t="s">
        <v>135</v>
      </c>
      <c r="BB974" t="s">
        <v>136</v>
      </c>
      <c r="BC974">
        <v>1995</v>
      </c>
      <c r="BD974" t="s">
        <v>133</v>
      </c>
    </row>
    <row r="975" spans="1:56" x14ac:dyDescent="0.35">
      <c r="A975">
        <v>106401</v>
      </c>
      <c r="B975" t="s">
        <v>951</v>
      </c>
      <c r="D975" t="s">
        <v>57</v>
      </c>
      <c r="E975">
        <v>97</v>
      </c>
      <c r="F975" t="s">
        <v>58</v>
      </c>
      <c r="G975" t="s">
        <v>59</v>
      </c>
      <c r="H975" t="s">
        <v>60</v>
      </c>
      <c r="J975">
        <v>33</v>
      </c>
      <c r="K975" t="s">
        <v>61</v>
      </c>
      <c r="L975" t="s">
        <v>74</v>
      </c>
      <c r="M975" t="s">
        <v>63</v>
      </c>
      <c r="N975" t="s">
        <v>64</v>
      </c>
      <c r="O975">
        <v>6</v>
      </c>
      <c r="P975" t="s">
        <v>65</v>
      </c>
      <c r="R975">
        <v>47.5</v>
      </c>
      <c r="W975" t="s">
        <v>66</v>
      </c>
      <c r="X975" t="s">
        <v>67</v>
      </c>
      <c r="Y975" t="s">
        <v>67</v>
      </c>
      <c r="Z975" t="s">
        <v>68</v>
      </c>
      <c r="AB975">
        <v>4</v>
      </c>
      <c r="AC975" t="s">
        <v>61</v>
      </c>
      <c r="AJ975" t="s">
        <v>69</v>
      </c>
      <c r="AY975" t="s">
        <v>286</v>
      </c>
      <c r="AZ975">
        <v>12448</v>
      </c>
      <c r="BA975" t="s">
        <v>287</v>
      </c>
      <c r="BB975" t="s">
        <v>288</v>
      </c>
      <c r="BC975">
        <v>1984</v>
      </c>
      <c r="BD975" t="s">
        <v>73</v>
      </c>
    </row>
    <row r="976" spans="1:56" x14ac:dyDescent="0.35">
      <c r="A976">
        <v>106423</v>
      </c>
      <c r="B976" t="s">
        <v>952</v>
      </c>
      <c r="D976" t="s">
        <v>57</v>
      </c>
      <c r="E976">
        <v>99</v>
      </c>
      <c r="F976" t="s">
        <v>58</v>
      </c>
      <c r="G976" t="s">
        <v>59</v>
      </c>
      <c r="H976" t="s">
        <v>60</v>
      </c>
      <c r="J976">
        <v>34</v>
      </c>
      <c r="K976" t="s">
        <v>61</v>
      </c>
      <c r="L976" t="s">
        <v>74</v>
      </c>
      <c r="M976" t="s">
        <v>63</v>
      </c>
      <c r="N976" t="s">
        <v>64</v>
      </c>
      <c r="O976">
        <v>6</v>
      </c>
      <c r="P976" t="s">
        <v>65</v>
      </c>
      <c r="R976">
        <v>8.8699999999999992</v>
      </c>
      <c r="T976">
        <v>8.01</v>
      </c>
      <c r="V976">
        <v>9.81</v>
      </c>
      <c r="W976" t="s">
        <v>66</v>
      </c>
      <c r="X976" t="s">
        <v>67</v>
      </c>
      <c r="Y976" t="s">
        <v>67</v>
      </c>
      <c r="Z976" t="s">
        <v>68</v>
      </c>
      <c r="AB976">
        <v>4</v>
      </c>
      <c r="AC976" t="s">
        <v>61</v>
      </c>
      <c r="AJ976" t="s">
        <v>69</v>
      </c>
      <c r="AY976" t="s">
        <v>263</v>
      </c>
      <c r="AZ976">
        <v>12858</v>
      </c>
      <c r="BA976" t="s">
        <v>264</v>
      </c>
      <c r="BB976" t="s">
        <v>265</v>
      </c>
      <c r="BC976">
        <v>1986</v>
      </c>
      <c r="BD976" t="s">
        <v>73</v>
      </c>
    </row>
    <row r="977" spans="1:56" x14ac:dyDescent="0.35">
      <c r="A977">
        <v>106423</v>
      </c>
      <c r="B977" t="s">
        <v>952</v>
      </c>
      <c r="D977" t="s">
        <v>57</v>
      </c>
      <c r="E977">
        <v>99</v>
      </c>
      <c r="F977" t="s">
        <v>58</v>
      </c>
      <c r="G977" t="s">
        <v>59</v>
      </c>
      <c r="H977" t="s">
        <v>60</v>
      </c>
      <c r="J977">
        <v>30</v>
      </c>
      <c r="K977" t="s">
        <v>61</v>
      </c>
      <c r="L977" t="s">
        <v>62</v>
      </c>
      <c r="M977" t="s">
        <v>63</v>
      </c>
      <c r="N977" t="s">
        <v>64</v>
      </c>
      <c r="P977" t="s">
        <v>65</v>
      </c>
      <c r="R977">
        <v>8.4</v>
      </c>
      <c r="T977">
        <v>7.2</v>
      </c>
      <c r="V977">
        <v>9.9</v>
      </c>
      <c r="W977" t="s">
        <v>66</v>
      </c>
      <c r="X977" t="s">
        <v>67</v>
      </c>
      <c r="Y977" t="s">
        <v>67</v>
      </c>
      <c r="Z977" t="s">
        <v>68</v>
      </c>
      <c r="AB977">
        <v>4</v>
      </c>
      <c r="AC977" t="s">
        <v>61</v>
      </c>
      <c r="AJ977" t="s">
        <v>69</v>
      </c>
      <c r="AY977" t="s">
        <v>70</v>
      </c>
      <c r="AZ977">
        <v>14339</v>
      </c>
      <c r="BA977" t="s">
        <v>71</v>
      </c>
      <c r="BB977" t="s">
        <v>72</v>
      </c>
      <c r="BC977">
        <v>1987</v>
      </c>
      <c r="BD977" t="s">
        <v>73</v>
      </c>
    </row>
    <row r="978" spans="1:56" x14ac:dyDescent="0.35">
      <c r="A978">
        <v>106445</v>
      </c>
      <c r="B978" t="s">
        <v>953</v>
      </c>
      <c r="D978" t="s">
        <v>57</v>
      </c>
      <c r="E978" t="s">
        <v>79</v>
      </c>
      <c r="F978" t="s">
        <v>58</v>
      </c>
      <c r="G978" t="s">
        <v>59</v>
      </c>
      <c r="H978" t="s">
        <v>60</v>
      </c>
      <c r="J978">
        <v>28</v>
      </c>
      <c r="K978" t="s">
        <v>61</v>
      </c>
      <c r="L978" t="s">
        <v>74</v>
      </c>
      <c r="M978" t="s">
        <v>63</v>
      </c>
      <c r="N978" t="s">
        <v>64</v>
      </c>
      <c r="P978" t="s">
        <v>65</v>
      </c>
      <c r="R978">
        <v>16.5</v>
      </c>
      <c r="T978">
        <v>15.9</v>
      </c>
      <c r="V978">
        <v>17</v>
      </c>
      <c r="W978" t="s">
        <v>66</v>
      </c>
      <c r="X978" t="s">
        <v>67</v>
      </c>
      <c r="Y978" t="s">
        <v>67</v>
      </c>
      <c r="Z978" t="s">
        <v>68</v>
      </c>
      <c r="AB978">
        <v>4</v>
      </c>
      <c r="AC978" t="s">
        <v>61</v>
      </c>
      <c r="AJ978" t="s">
        <v>69</v>
      </c>
      <c r="AY978" t="s">
        <v>263</v>
      </c>
      <c r="AZ978">
        <v>12858</v>
      </c>
      <c r="BA978" t="s">
        <v>264</v>
      </c>
      <c r="BB978" t="s">
        <v>265</v>
      </c>
      <c r="BC978">
        <v>1986</v>
      </c>
      <c r="BD978" t="s">
        <v>73</v>
      </c>
    </row>
    <row r="979" spans="1:56" x14ac:dyDescent="0.35">
      <c r="A979">
        <v>106445</v>
      </c>
      <c r="B979" t="s">
        <v>953</v>
      </c>
      <c r="D979" t="s">
        <v>85</v>
      </c>
      <c r="E979" t="s">
        <v>86</v>
      </c>
      <c r="F979" t="s">
        <v>58</v>
      </c>
      <c r="G979" t="s">
        <v>59</v>
      </c>
      <c r="H979" t="s">
        <v>60</v>
      </c>
      <c r="I979" t="s">
        <v>129</v>
      </c>
      <c r="J979" t="s">
        <v>86</v>
      </c>
      <c r="K979" t="s">
        <v>196</v>
      </c>
      <c r="L979" t="s">
        <v>62</v>
      </c>
      <c r="M979" t="s">
        <v>63</v>
      </c>
      <c r="N979" t="s">
        <v>64</v>
      </c>
      <c r="P979" t="s">
        <v>100</v>
      </c>
      <c r="R979">
        <v>19</v>
      </c>
      <c r="W979" t="s">
        <v>66</v>
      </c>
      <c r="X979" t="s">
        <v>67</v>
      </c>
      <c r="Y979" t="s">
        <v>67</v>
      </c>
      <c r="Z979" t="s">
        <v>68</v>
      </c>
      <c r="AB979">
        <v>4</v>
      </c>
      <c r="AC979" t="s">
        <v>61</v>
      </c>
      <c r="AJ979" t="s">
        <v>69</v>
      </c>
      <c r="AY979" t="s">
        <v>338</v>
      </c>
      <c r="AZ979">
        <v>719</v>
      </c>
      <c r="BA979" t="s">
        <v>339</v>
      </c>
      <c r="BB979" t="s">
        <v>340</v>
      </c>
      <c r="BC979">
        <v>1976</v>
      </c>
      <c r="BD979" t="s">
        <v>341</v>
      </c>
    </row>
    <row r="980" spans="1:56" x14ac:dyDescent="0.35">
      <c r="A980">
        <v>106445</v>
      </c>
      <c r="B980" t="s">
        <v>953</v>
      </c>
      <c r="D980" t="s">
        <v>57</v>
      </c>
      <c r="E980" t="s">
        <v>86</v>
      </c>
      <c r="F980" t="s">
        <v>58</v>
      </c>
      <c r="G980" t="s">
        <v>59</v>
      </c>
      <c r="H980" t="s">
        <v>60</v>
      </c>
      <c r="J980" t="s">
        <v>86</v>
      </c>
      <c r="L980" t="s">
        <v>74</v>
      </c>
      <c r="M980" t="s">
        <v>63</v>
      </c>
      <c r="N980" t="s">
        <v>64</v>
      </c>
      <c r="P980" t="s">
        <v>65</v>
      </c>
      <c r="R980">
        <v>28.6</v>
      </c>
      <c r="W980" t="s">
        <v>66</v>
      </c>
      <c r="X980" t="s">
        <v>67</v>
      </c>
      <c r="Y980" t="s">
        <v>67</v>
      </c>
      <c r="Z980" t="s">
        <v>68</v>
      </c>
      <c r="AB980">
        <v>4</v>
      </c>
      <c r="AC980" t="s">
        <v>61</v>
      </c>
      <c r="AJ980" t="s">
        <v>69</v>
      </c>
      <c r="AY980" t="s">
        <v>811</v>
      </c>
      <c r="AZ980">
        <v>569</v>
      </c>
      <c r="BA980" t="s">
        <v>812</v>
      </c>
      <c r="BB980" t="s">
        <v>813</v>
      </c>
      <c r="BC980">
        <v>1980</v>
      </c>
      <c r="BD980" t="s">
        <v>90</v>
      </c>
    </row>
    <row r="981" spans="1:56" x14ac:dyDescent="0.35">
      <c r="A981">
        <v>106445</v>
      </c>
      <c r="B981" t="s">
        <v>953</v>
      </c>
      <c r="D981" t="s">
        <v>85</v>
      </c>
      <c r="E981" t="s">
        <v>86</v>
      </c>
      <c r="F981" t="s">
        <v>58</v>
      </c>
      <c r="G981" t="s">
        <v>59</v>
      </c>
      <c r="H981" t="s">
        <v>60</v>
      </c>
      <c r="J981" t="s">
        <v>86</v>
      </c>
      <c r="L981" t="s">
        <v>74</v>
      </c>
      <c r="M981" t="s">
        <v>63</v>
      </c>
      <c r="N981" t="s">
        <v>64</v>
      </c>
      <c r="P981" t="s">
        <v>100</v>
      </c>
      <c r="R981">
        <v>28.6</v>
      </c>
      <c r="W981" t="s">
        <v>66</v>
      </c>
      <c r="X981" t="s">
        <v>67</v>
      </c>
      <c r="Y981" t="s">
        <v>67</v>
      </c>
      <c r="Z981" t="s">
        <v>68</v>
      </c>
      <c r="AB981">
        <v>4</v>
      </c>
      <c r="AC981" t="s">
        <v>61</v>
      </c>
      <c r="AJ981" t="s">
        <v>69</v>
      </c>
      <c r="AY981" t="s">
        <v>745</v>
      </c>
      <c r="AZ981">
        <v>59196</v>
      </c>
      <c r="BA981" t="s">
        <v>746</v>
      </c>
      <c r="BB981" t="s">
        <v>747</v>
      </c>
      <c r="BC981">
        <v>1977</v>
      </c>
      <c r="BD981" t="s">
        <v>90</v>
      </c>
    </row>
    <row r="982" spans="1:56" x14ac:dyDescent="0.35">
      <c r="A982">
        <v>106467</v>
      </c>
      <c r="B982" t="s">
        <v>954</v>
      </c>
      <c r="D982" t="s">
        <v>57</v>
      </c>
      <c r="E982" t="s">
        <v>86</v>
      </c>
      <c r="F982" t="s">
        <v>58</v>
      </c>
      <c r="G982" t="s">
        <v>59</v>
      </c>
      <c r="H982" t="s">
        <v>60</v>
      </c>
      <c r="J982" t="s">
        <v>86</v>
      </c>
      <c r="L982" t="s">
        <v>74</v>
      </c>
      <c r="M982" t="s">
        <v>63</v>
      </c>
      <c r="N982" t="s">
        <v>64</v>
      </c>
      <c r="P982" t="s">
        <v>65</v>
      </c>
      <c r="R982">
        <v>4</v>
      </c>
      <c r="W982" t="s">
        <v>66</v>
      </c>
      <c r="X982" t="s">
        <v>67</v>
      </c>
      <c r="Y982" t="s">
        <v>67</v>
      </c>
      <c r="Z982" t="s">
        <v>68</v>
      </c>
      <c r="AB982">
        <v>4</v>
      </c>
      <c r="AC982" t="s">
        <v>61</v>
      </c>
      <c r="AJ982" t="s">
        <v>69</v>
      </c>
      <c r="AY982" t="s">
        <v>364</v>
      </c>
      <c r="AZ982">
        <v>10183</v>
      </c>
      <c r="BA982" t="s">
        <v>365</v>
      </c>
      <c r="BB982" t="s">
        <v>366</v>
      </c>
      <c r="BC982">
        <v>1983</v>
      </c>
      <c r="BD982" t="s">
        <v>90</v>
      </c>
    </row>
    <row r="983" spans="1:56" x14ac:dyDescent="0.35">
      <c r="A983">
        <v>106467</v>
      </c>
      <c r="B983" t="s">
        <v>954</v>
      </c>
      <c r="C983" t="s">
        <v>195</v>
      </c>
      <c r="E983" t="s">
        <v>86</v>
      </c>
      <c r="F983" t="s">
        <v>58</v>
      </c>
      <c r="G983" t="s">
        <v>59</v>
      </c>
      <c r="H983" t="s">
        <v>60</v>
      </c>
      <c r="I983" t="s">
        <v>177</v>
      </c>
      <c r="J983" t="s">
        <v>86</v>
      </c>
      <c r="K983" t="s">
        <v>61</v>
      </c>
      <c r="L983" t="s">
        <v>62</v>
      </c>
      <c r="M983" t="s">
        <v>63</v>
      </c>
      <c r="N983" t="s">
        <v>64</v>
      </c>
      <c r="O983" t="s">
        <v>955</v>
      </c>
      <c r="P983" t="s">
        <v>65</v>
      </c>
      <c r="R983">
        <v>3.6</v>
      </c>
      <c r="T983">
        <v>3.3</v>
      </c>
      <c r="V983">
        <v>3.7</v>
      </c>
      <c r="W983" t="s">
        <v>66</v>
      </c>
      <c r="X983" t="s">
        <v>67</v>
      </c>
      <c r="Y983" t="s">
        <v>67</v>
      </c>
      <c r="Z983" t="s">
        <v>68</v>
      </c>
      <c r="AB983">
        <v>4</v>
      </c>
      <c r="AC983" t="s">
        <v>61</v>
      </c>
      <c r="AJ983" t="s">
        <v>69</v>
      </c>
      <c r="AY983" t="s">
        <v>382</v>
      </c>
      <c r="AZ983">
        <v>91316</v>
      </c>
      <c r="BA983" t="s">
        <v>956</v>
      </c>
      <c r="BB983" t="s">
        <v>957</v>
      </c>
      <c r="BC983">
        <v>1982</v>
      </c>
      <c r="BD983" t="s">
        <v>385</v>
      </c>
    </row>
    <row r="984" spans="1:56" x14ac:dyDescent="0.35">
      <c r="A984">
        <v>106467</v>
      </c>
      <c r="B984" t="s">
        <v>954</v>
      </c>
      <c r="D984" t="s">
        <v>85</v>
      </c>
      <c r="E984" t="s">
        <v>86</v>
      </c>
      <c r="F984" t="s">
        <v>58</v>
      </c>
      <c r="G984" t="s">
        <v>59</v>
      </c>
      <c r="H984" t="s">
        <v>60</v>
      </c>
      <c r="I984" t="s">
        <v>177</v>
      </c>
      <c r="J984" t="s">
        <v>86</v>
      </c>
      <c r="K984" t="s">
        <v>61</v>
      </c>
      <c r="L984" t="s">
        <v>62</v>
      </c>
      <c r="M984" t="s">
        <v>63</v>
      </c>
      <c r="N984" t="s">
        <v>64</v>
      </c>
      <c r="P984" t="s">
        <v>100</v>
      </c>
      <c r="R984">
        <v>3.6</v>
      </c>
      <c r="T984">
        <v>3.3</v>
      </c>
      <c r="V984">
        <v>3.7</v>
      </c>
      <c r="W984" t="s">
        <v>66</v>
      </c>
      <c r="X984" t="s">
        <v>67</v>
      </c>
      <c r="Y984" t="s">
        <v>67</v>
      </c>
      <c r="Z984" t="s">
        <v>68</v>
      </c>
      <c r="AB984">
        <v>4</v>
      </c>
      <c r="AC984" t="s">
        <v>61</v>
      </c>
      <c r="AJ984" t="s">
        <v>69</v>
      </c>
      <c r="AY984" t="s">
        <v>394</v>
      </c>
      <c r="AZ984">
        <v>10432</v>
      </c>
      <c r="BA984" t="s">
        <v>395</v>
      </c>
      <c r="BB984" t="s">
        <v>396</v>
      </c>
      <c r="BC984">
        <v>1983</v>
      </c>
      <c r="BD984" t="s">
        <v>385</v>
      </c>
    </row>
    <row r="985" spans="1:56" x14ac:dyDescent="0.35">
      <c r="A985">
        <v>106467</v>
      </c>
      <c r="B985" t="s">
        <v>954</v>
      </c>
      <c r="C985" t="s">
        <v>195</v>
      </c>
      <c r="D985" t="s">
        <v>57</v>
      </c>
      <c r="E985" t="s">
        <v>86</v>
      </c>
      <c r="F985" t="s">
        <v>58</v>
      </c>
      <c r="G985" t="s">
        <v>59</v>
      </c>
      <c r="H985" t="s">
        <v>60</v>
      </c>
      <c r="I985" t="s">
        <v>129</v>
      </c>
      <c r="J985" t="s">
        <v>86</v>
      </c>
      <c r="K985" t="s">
        <v>61</v>
      </c>
      <c r="L985" t="s">
        <v>62</v>
      </c>
      <c r="M985" t="s">
        <v>63</v>
      </c>
      <c r="N985" t="s">
        <v>64</v>
      </c>
      <c r="O985" t="s">
        <v>381</v>
      </c>
      <c r="P985" t="s">
        <v>65</v>
      </c>
      <c r="R985">
        <v>14.2</v>
      </c>
      <c r="T985">
        <v>12.1</v>
      </c>
      <c r="V985">
        <v>17.3</v>
      </c>
      <c r="W985" t="s">
        <v>66</v>
      </c>
      <c r="X985" t="s">
        <v>67</v>
      </c>
      <c r="Y985" t="s">
        <v>67</v>
      </c>
      <c r="Z985" t="s">
        <v>68</v>
      </c>
      <c r="AB985">
        <v>4</v>
      </c>
      <c r="AC985" t="s">
        <v>61</v>
      </c>
      <c r="AJ985" t="s">
        <v>69</v>
      </c>
      <c r="AY985" t="s">
        <v>382</v>
      </c>
      <c r="AZ985">
        <v>163462</v>
      </c>
      <c r="BA985" t="s">
        <v>383</v>
      </c>
      <c r="BB985" t="s">
        <v>384</v>
      </c>
      <c r="BC985">
        <v>1987</v>
      </c>
      <c r="BD985" t="s">
        <v>127</v>
      </c>
    </row>
    <row r="986" spans="1:56" x14ac:dyDescent="0.35">
      <c r="A986">
        <v>106467</v>
      </c>
      <c r="B986" t="s">
        <v>954</v>
      </c>
      <c r="D986" t="s">
        <v>57</v>
      </c>
      <c r="E986" t="s">
        <v>86</v>
      </c>
      <c r="F986" t="s">
        <v>58</v>
      </c>
      <c r="G986" t="s">
        <v>59</v>
      </c>
      <c r="H986" t="s">
        <v>60</v>
      </c>
      <c r="J986" t="s">
        <v>86</v>
      </c>
      <c r="L986" t="s">
        <v>62</v>
      </c>
      <c r="M986" t="s">
        <v>63</v>
      </c>
      <c r="N986" t="s">
        <v>64</v>
      </c>
      <c r="O986" t="s">
        <v>267</v>
      </c>
      <c r="P986" t="s">
        <v>65</v>
      </c>
      <c r="R986">
        <v>30</v>
      </c>
      <c r="T986">
        <v>18</v>
      </c>
      <c r="V986">
        <v>50</v>
      </c>
      <c r="W986" t="s">
        <v>66</v>
      </c>
      <c r="X986" t="s">
        <v>67</v>
      </c>
      <c r="Y986" t="s">
        <v>67</v>
      </c>
      <c r="Z986" t="s">
        <v>68</v>
      </c>
      <c r="AB986">
        <v>4</v>
      </c>
      <c r="AC986" t="s">
        <v>61</v>
      </c>
      <c r="AJ986" t="s">
        <v>69</v>
      </c>
      <c r="AY986" t="s">
        <v>268</v>
      </c>
      <c r="AZ986">
        <v>2965</v>
      </c>
      <c r="BA986" t="s">
        <v>269</v>
      </c>
      <c r="BB986" t="s">
        <v>270</v>
      </c>
      <c r="BC986">
        <v>1981</v>
      </c>
      <c r="BD986" t="s">
        <v>90</v>
      </c>
    </row>
    <row r="987" spans="1:56" x14ac:dyDescent="0.35">
      <c r="A987">
        <v>106467</v>
      </c>
      <c r="B987" t="s">
        <v>954</v>
      </c>
      <c r="C987" t="s">
        <v>195</v>
      </c>
      <c r="E987" t="s">
        <v>86</v>
      </c>
      <c r="F987" t="s">
        <v>58</v>
      </c>
      <c r="G987" t="s">
        <v>59</v>
      </c>
      <c r="H987" t="s">
        <v>60</v>
      </c>
      <c r="I987" t="s">
        <v>392</v>
      </c>
      <c r="J987" t="s">
        <v>86</v>
      </c>
      <c r="K987" t="s">
        <v>61</v>
      </c>
      <c r="L987" t="s">
        <v>62</v>
      </c>
      <c r="M987" t="s">
        <v>63</v>
      </c>
      <c r="N987" t="s">
        <v>64</v>
      </c>
      <c r="O987" t="s">
        <v>955</v>
      </c>
      <c r="P987" t="s">
        <v>65</v>
      </c>
      <c r="R987">
        <v>11.7</v>
      </c>
      <c r="T987">
        <v>9.6999999999999993</v>
      </c>
      <c r="V987">
        <v>14.5</v>
      </c>
      <c r="W987" t="s">
        <v>66</v>
      </c>
      <c r="X987" t="s">
        <v>67</v>
      </c>
      <c r="Y987" t="s">
        <v>67</v>
      </c>
      <c r="Z987" t="s">
        <v>68</v>
      </c>
      <c r="AB987">
        <v>4</v>
      </c>
      <c r="AC987" t="s">
        <v>61</v>
      </c>
      <c r="AJ987" t="s">
        <v>69</v>
      </c>
      <c r="AY987" t="s">
        <v>382</v>
      </c>
      <c r="AZ987">
        <v>91316</v>
      </c>
      <c r="BA987" t="s">
        <v>956</v>
      </c>
      <c r="BB987" t="s">
        <v>957</v>
      </c>
      <c r="BC987">
        <v>1982</v>
      </c>
      <c r="BD987" t="s">
        <v>393</v>
      </c>
    </row>
    <row r="988" spans="1:56" x14ac:dyDescent="0.35">
      <c r="A988">
        <v>106467</v>
      </c>
      <c r="B988" t="s">
        <v>954</v>
      </c>
      <c r="C988" t="s">
        <v>195</v>
      </c>
      <c r="D988" t="s">
        <v>57</v>
      </c>
      <c r="E988" t="s">
        <v>86</v>
      </c>
      <c r="F988" t="s">
        <v>58</v>
      </c>
      <c r="G988" t="s">
        <v>59</v>
      </c>
      <c r="H988" t="s">
        <v>60</v>
      </c>
      <c r="I988" t="s">
        <v>392</v>
      </c>
      <c r="J988" t="s">
        <v>86</v>
      </c>
      <c r="K988" t="s">
        <v>61</v>
      </c>
      <c r="L988" t="s">
        <v>62</v>
      </c>
      <c r="M988" t="s">
        <v>63</v>
      </c>
      <c r="N988" t="s">
        <v>64</v>
      </c>
      <c r="O988" t="s">
        <v>381</v>
      </c>
      <c r="P988" t="s">
        <v>65</v>
      </c>
      <c r="R988">
        <v>11.7</v>
      </c>
      <c r="T988">
        <v>9.6999999999999993</v>
      </c>
      <c r="V988">
        <v>14.5</v>
      </c>
      <c r="W988" t="s">
        <v>66</v>
      </c>
      <c r="X988" t="s">
        <v>67</v>
      </c>
      <c r="Y988" t="s">
        <v>67</v>
      </c>
      <c r="Z988" t="s">
        <v>68</v>
      </c>
      <c r="AB988">
        <v>4</v>
      </c>
      <c r="AC988" t="s">
        <v>61</v>
      </c>
      <c r="AJ988" t="s">
        <v>69</v>
      </c>
      <c r="AY988" t="s">
        <v>382</v>
      </c>
      <c r="AZ988">
        <v>163462</v>
      </c>
      <c r="BA988" t="s">
        <v>383</v>
      </c>
      <c r="BB988" t="s">
        <v>384</v>
      </c>
      <c r="BC988">
        <v>1987</v>
      </c>
      <c r="BD988" t="s">
        <v>393</v>
      </c>
    </row>
    <row r="989" spans="1:56" x14ac:dyDescent="0.35">
      <c r="A989">
        <v>106467</v>
      </c>
      <c r="B989" t="s">
        <v>954</v>
      </c>
      <c r="D989" t="s">
        <v>57</v>
      </c>
      <c r="E989">
        <v>95</v>
      </c>
      <c r="F989" t="s">
        <v>58</v>
      </c>
      <c r="G989" t="s">
        <v>59</v>
      </c>
      <c r="H989" t="s">
        <v>60</v>
      </c>
      <c r="J989">
        <v>3</v>
      </c>
      <c r="K989" t="s">
        <v>320</v>
      </c>
      <c r="L989" t="s">
        <v>190</v>
      </c>
      <c r="M989" t="s">
        <v>63</v>
      </c>
      <c r="N989" t="s">
        <v>64</v>
      </c>
      <c r="P989" t="s">
        <v>65</v>
      </c>
      <c r="R989">
        <v>2.8518737199999999</v>
      </c>
      <c r="T989">
        <v>2.33736042</v>
      </c>
      <c r="V989">
        <v>3.48399006</v>
      </c>
      <c r="W989" t="s">
        <v>66</v>
      </c>
      <c r="X989" t="s">
        <v>67</v>
      </c>
      <c r="Y989" t="s">
        <v>67</v>
      </c>
      <c r="Z989" t="s">
        <v>68</v>
      </c>
      <c r="AB989">
        <v>4</v>
      </c>
      <c r="AC989" t="s">
        <v>61</v>
      </c>
      <c r="AJ989" t="s">
        <v>69</v>
      </c>
      <c r="AY989" t="s">
        <v>815</v>
      </c>
      <c r="AZ989">
        <v>7257</v>
      </c>
      <c r="BA989" t="s">
        <v>816</v>
      </c>
      <c r="BB989" t="s">
        <v>817</v>
      </c>
      <c r="BC989">
        <v>1993</v>
      </c>
      <c r="BD989" t="s">
        <v>324</v>
      </c>
    </row>
    <row r="990" spans="1:56" x14ac:dyDescent="0.35">
      <c r="A990">
        <v>106467</v>
      </c>
      <c r="B990" t="s">
        <v>954</v>
      </c>
      <c r="D990" t="s">
        <v>57</v>
      </c>
      <c r="E990" t="s">
        <v>86</v>
      </c>
      <c r="F990" t="s">
        <v>58</v>
      </c>
      <c r="G990" t="s">
        <v>59</v>
      </c>
      <c r="H990" t="s">
        <v>60</v>
      </c>
      <c r="J990" t="s">
        <v>86</v>
      </c>
      <c r="L990" t="s">
        <v>62</v>
      </c>
      <c r="M990" t="s">
        <v>63</v>
      </c>
      <c r="N990" t="s">
        <v>64</v>
      </c>
      <c r="P990" t="s">
        <v>65</v>
      </c>
      <c r="R990">
        <v>33.700000000000003</v>
      </c>
      <c r="T990">
        <v>29</v>
      </c>
      <c r="V990">
        <v>40.4</v>
      </c>
      <c r="W990" t="s">
        <v>66</v>
      </c>
      <c r="X990" t="s">
        <v>67</v>
      </c>
      <c r="Y990" t="s">
        <v>67</v>
      </c>
      <c r="Z990" t="s">
        <v>68</v>
      </c>
      <c r="AB990">
        <v>4</v>
      </c>
      <c r="AC990" t="s">
        <v>61</v>
      </c>
      <c r="AJ990" t="s">
        <v>69</v>
      </c>
      <c r="AY990" t="s">
        <v>818</v>
      </c>
      <c r="AZ990">
        <v>875</v>
      </c>
      <c r="BA990" t="s">
        <v>819</v>
      </c>
      <c r="BB990" t="s">
        <v>820</v>
      </c>
      <c r="BC990">
        <v>1979</v>
      </c>
      <c r="BD990" t="s">
        <v>90</v>
      </c>
    </row>
    <row r="991" spans="1:56" x14ac:dyDescent="0.35">
      <c r="A991">
        <v>106467</v>
      </c>
      <c r="B991" t="s">
        <v>954</v>
      </c>
      <c r="D991" t="s">
        <v>85</v>
      </c>
      <c r="E991" t="s">
        <v>86</v>
      </c>
      <c r="F991" t="s">
        <v>58</v>
      </c>
      <c r="G991" t="s">
        <v>59</v>
      </c>
      <c r="H991" t="s">
        <v>60</v>
      </c>
      <c r="I991" t="s">
        <v>397</v>
      </c>
      <c r="J991" t="s">
        <v>86</v>
      </c>
      <c r="K991" t="s">
        <v>61</v>
      </c>
      <c r="L991" t="s">
        <v>62</v>
      </c>
      <c r="M991" t="s">
        <v>63</v>
      </c>
      <c r="N991" t="s">
        <v>64</v>
      </c>
      <c r="P991" t="s">
        <v>100</v>
      </c>
      <c r="R991">
        <v>11.7</v>
      </c>
      <c r="T991">
        <v>9.6999999999999993</v>
      </c>
      <c r="V991">
        <v>14.5</v>
      </c>
      <c r="W991" t="s">
        <v>66</v>
      </c>
      <c r="X991" t="s">
        <v>67</v>
      </c>
      <c r="Y991" t="s">
        <v>67</v>
      </c>
      <c r="Z991" t="s">
        <v>68</v>
      </c>
      <c r="AB991">
        <v>4</v>
      </c>
      <c r="AC991" t="s">
        <v>61</v>
      </c>
      <c r="AJ991" t="s">
        <v>69</v>
      </c>
      <c r="AY991" t="s">
        <v>394</v>
      </c>
      <c r="AZ991">
        <v>10432</v>
      </c>
      <c r="BA991" t="s">
        <v>395</v>
      </c>
      <c r="BB991" t="s">
        <v>396</v>
      </c>
      <c r="BC991">
        <v>1983</v>
      </c>
      <c r="BD991" t="s">
        <v>398</v>
      </c>
    </row>
    <row r="992" spans="1:56" x14ac:dyDescent="0.35">
      <c r="A992">
        <v>106467</v>
      </c>
      <c r="B992" t="s">
        <v>954</v>
      </c>
      <c r="D992" t="s">
        <v>85</v>
      </c>
      <c r="E992" t="s">
        <v>86</v>
      </c>
      <c r="F992" t="s">
        <v>58</v>
      </c>
      <c r="G992" t="s">
        <v>59</v>
      </c>
      <c r="H992" t="s">
        <v>60</v>
      </c>
      <c r="I992" t="s">
        <v>129</v>
      </c>
      <c r="J992" t="s">
        <v>86</v>
      </c>
      <c r="K992" t="s">
        <v>61</v>
      </c>
      <c r="L992" t="s">
        <v>62</v>
      </c>
      <c r="M992" t="s">
        <v>63</v>
      </c>
      <c r="N992" t="s">
        <v>64</v>
      </c>
      <c r="P992" t="s">
        <v>100</v>
      </c>
      <c r="R992">
        <v>14.2</v>
      </c>
      <c r="T992">
        <v>12.1</v>
      </c>
      <c r="V992">
        <v>17.3</v>
      </c>
      <c r="W992" t="s">
        <v>66</v>
      </c>
      <c r="X992" t="s">
        <v>67</v>
      </c>
      <c r="Y992" t="s">
        <v>67</v>
      </c>
      <c r="Z992" t="s">
        <v>68</v>
      </c>
      <c r="AB992">
        <v>4</v>
      </c>
      <c r="AC992" t="s">
        <v>61</v>
      </c>
      <c r="AJ992" t="s">
        <v>69</v>
      </c>
      <c r="AY992" t="s">
        <v>394</v>
      </c>
      <c r="AZ992">
        <v>10432</v>
      </c>
      <c r="BA992" t="s">
        <v>395</v>
      </c>
      <c r="BB992" t="s">
        <v>396</v>
      </c>
      <c r="BC992">
        <v>1983</v>
      </c>
      <c r="BD992" t="s">
        <v>127</v>
      </c>
    </row>
    <row r="993" spans="1:56" x14ac:dyDescent="0.35">
      <c r="A993">
        <v>106467</v>
      </c>
      <c r="B993" t="s">
        <v>954</v>
      </c>
      <c r="C993" t="s">
        <v>195</v>
      </c>
      <c r="D993" t="s">
        <v>57</v>
      </c>
      <c r="E993" t="s">
        <v>86</v>
      </c>
      <c r="F993" t="s">
        <v>58</v>
      </c>
      <c r="G993" t="s">
        <v>59</v>
      </c>
      <c r="H993" t="s">
        <v>60</v>
      </c>
      <c r="I993" t="s">
        <v>177</v>
      </c>
      <c r="J993" t="s">
        <v>86</v>
      </c>
      <c r="K993" t="s">
        <v>61</v>
      </c>
      <c r="L993" t="s">
        <v>62</v>
      </c>
      <c r="M993" t="s">
        <v>63</v>
      </c>
      <c r="N993" t="s">
        <v>64</v>
      </c>
      <c r="O993" t="s">
        <v>381</v>
      </c>
      <c r="P993" t="s">
        <v>65</v>
      </c>
      <c r="R993">
        <v>3.6</v>
      </c>
      <c r="T993">
        <v>3.3</v>
      </c>
      <c r="V993">
        <v>3.7</v>
      </c>
      <c r="W993" t="s">
        <v>66</v>
      </c>
      <c r="X993" t="s">
        <v>67</v>
      </c>
      <c r="Y993" t="s">
        <v>67</v>
      </c>
      <c r="Z993" t="s">
        <v>68</v>
      </c>
      <c r="AB993">
        <v>4</v>
      </c>
      <c r="AC993" t="s">
        <v>61</v>
      </c>
      <c r="AJ993" t="s">
        <v>69</v>
      </c>
      <c r="AY993" t="s">
        <v>382</v>
      </c>
      <c r="AZ993">
        <v>163462</v>
      </c>
      <c r="BA993" t="s">
        <v>383</v>
      </c>
      <c r="BB993" t="s">
        <v>384</v>
      </c>
      <c r="BC993">
        <v>1987</v>
      </c>
      <c r="BD993" t="s">
        <v>385</v>
      </c>
    </row>
    <row r="994" spans="1:56" x14ac:dyDescent="0.35">
      <c r="A994">
        <v>106467</v>
      </c>
      <c r="B994" t="s">
        <v>954</v>
      </c>
      <c r="C994" t="s">
        <v>195</v>
      </c>
      <c r="E994" t="s">
        <v>86</v>
      </c>
      <c r="F994" t="s">
        <v>58</v>
      </c>
      <c r="G994" t="s">
        <v>59</v>
      </c>
      <c r="H994" t="s">
        <v>60</v>
      </c>
      <c r="I994" t="s">
        <v>129</v>
      </c>
      <c r="J994" t="s">
        <v>86</v>
      </c>
      <c r="K994" t="s">
        <v>61</v>
      </c>
      <c r="L994" t="s">
        <v>62</v>
      </c>
      <c r="M994" t="s">
        <v>63</v>
      </c>
      <c r="N994" t="s">
        <v>64</v>
      </c>
      <c r="O994" t="s">
        <v>955</v>
      </c>
      <c r="P994" t="s">
        <v>65</v>
      </c>
      <c r="R994">
        <v>14.2</v>
      </c>
      <c r="T994">
        <v>12.1</v>
      </c>
      <c r="V994">
        <v>17.3</v>
      </c>
      <c r="W994" t="s">
        <v>66</v>
      </c>
      <c r="X994" t="s">
        <v>67</v>
      </c>
      <c r="Y994" t="s">
        <v>67</v>
      </c>
      <c r="Z994" t="s">
        <v>68</v>
      </c>
      <c r="AB994">
        <v>4</v>
      </c>
      <c r="AC994" t="s">
        <v>61</v>
      </c>
      <c r="AJ994" t="s">
        <v>69</v>
      </c>
      <c r="AY994" t="s">
        <v>382</v>
      </c>
      <c r="AZ994">
        <v>91316</v>
      </c>
      <c r="BA994" t="s">
        <v>956</v>
      </c>
      <c r="BB994" t="s">
        <v>957</v>
      </c>
      <c r="BC994">
        <v>1982</v>
      </c>
      <c r="BD994" t="s">
        <v>127</v>
      </c>
    </row>
    <row r="995" spans="1:56" x14ac:dyDescent="0.35">
      <c r="A995">
        <v>106467</v>
      </c>
      <c r="B995" t="s">
        <v>954</v>
      </c>
      <c r="D995" t="s">
        <v>57</v>
      </c>
      <c r="E995" t="s">
        <v>86</v>
      </c>
      <c r="F995" t="s">
        <v>58</v>
      </c>
      <c r="G995" t="s">
        <v>59</v>
      </c>
      <c r="H995" t="s">
        <v>60</v>
      </c>
      <c r="J995" t="s">
        <v>86</v>
      </c>
      <c r="L995" t="s">
        <v>62</v>
      </c>
      <c r="M995" t="s">
        <v>63</v>
      </c>
      <c r="N995" t="s">
        <v>64</v>
      </c>
      <c r="P995" t="s">
        <v>65</v>
      </c>
      <c r="R995">
        <v>2.4</v>
      </c>
      <c r="W995" t="s">
        <v>66</v>
      </c>
      <c r="X995" t="s">
        <v>67</v>
      </c>
      <c r="Y995" t="s">
        <v>67</v>
      </c>
      <c r="Z995" t="s">
        <v>68</v>
      </c>
      <c r="AB995">
        <v>4</v>
      </c>
      <c r="AC995" t="s">
        <v>61</v>
      </c>
      <c r="AJ995" t="s">
        <v>69</v>
      </c>
      <c r="AY995" t="s">
        <v>818</v>
      </c>
      <c r="AZ995">
        <v>5735</v>
      </c>
      <c r="BA995" t="s">
        <v>821</v>
      </c>
      <c r="BB995" t="s">
        <v>822</v>
      </c>
      <c r="BC995">
        <v>1978</v>
      </c>
      <c r="BD995" t="s">
        <v>90</v>
      </c>
    </row>
    <row r="996" spans="1:56" x14ac:dyDescent="0.35">
      <c r="A996">
        <v>106467</v>
      </c>
      <c r="B996" t="s">
        <v>954</v>
      </c>
      <c r="D996" t="s">
        <v>57</v>
      </c>
      <c r="E996" t="s">
        <v>86</v>
      </c>
      <c r="F996" t="s">
        <v>58</v>
      </c>
      <c r="G996" t="s">
        <v>59</v>
      </c>
      <c r="H996" t="s">
        <v>60</v>
      </c>
      <c r="J996" t="s">
        <v>86</v>
      </c>
      <c r="L996" t="s">
        <v>62</v>
      </c>
      <c r="M996" t="s">
        <v>63</v>
      </c>
      <c r="N996" t="s">
        <v>64</v>
      </c>
      <c r="P996" t="s">
        <v>65</v>
      </c>
      <c r="R996">
        <v>34.5</v>
      </c>
      <c r="T996">
        <v>29.7</v>
      </c>
      <c r="V996">
        <v>40</v>
      </c>
      <c r="W996" t="s">
        <v>66</v>
      </c>
      <c r="X996" t="s">
        <v>67</v>
      </c>
      <c r="Y996" t="s">
        <v>67</v>
      </c>
      <c r="Z996" t="s">
        <v>68</v>
      </c>
      <c r="AB996">
        <v>4</v>
      </c>
      <c r="AC996" t="s">
        <v>61</v>
      </c>
      <c r="AJ996" t="s">
        <v>69</v>
      </c>
      <c r="AY996" t="s">
        <v>818</v>
      </c>
      <c r="AZ996">
        <v>5735</v>
      </c>
      <c r="BA996" t="s">
        <v>821</v>
      </c>
      <c r="BB996" t="s">
        <v>822</v>
      </c>
      <c r="BC996">
        <v>1978</v>
      </c>
      <c r="BD996" t="s">
        <v>90</v>
      </c>
    </row>
    <row r="997" spans="1:56" x14ac:dyDescent="0.35">
      <c r="A997">
        <v>106467</v>
      </c>
      <c r="B997" t="s">
        <v>954</v>
      </c>
      <c r="D997" t="s">
        <v>57</v>
      </c>
      <c r="E997">
        <v>97</v>
      </c>
      <c r="F997" t="s">
        <v>58</v>
      </c>
      <c r="G997" t="s">
        <v>59</v>
      </c>
      <c r="H997" t="s">
        <v>60</v>
      </c>
      <c r="J997">
        <v>30</v>
      </c>
      <c r="K997" t="s">
        <v>61</v>
      </c>
      <c r="L997" t="s">
        <v>74</v>
      </c>
      <c r="M997" t="s">
        <v>63</v>
      </c>
      <c r="N997" t="s">
        <v>64</v>
      </c>
      <c r="O997">
        <v>6</v>
      </c>
      <c r="P997" t="s">
        <v>65</v>
      </c>
      <c r="R997">
        <v>4.2</v>
      </c>
      <c r="W997" t="s">
        <v>66</v>
      </c>
      <c r="X997" t="s">
        <v>67</v>
      </c>
      <c r="Y997" t="s">
        <v>67</v>
      </c>
      <c r="Z997" t="s">
        <v>68</v>
      </c>
      <c r="AB997">
        <v>4</v>
      </c>
      <c r="AC997" t="s">
        <v>61</v>
      </c>
      <c r="AJ997" t="s">
        <v>69</v>
      </c>
      <c r="AY997" t="s">
        <v>958</v>
      </c>
      <c r="AZ997">
        <v>12124</v>
      </c>
      <c r="BA997" t="s">
        <v>959</v>
      </c>
      <c r="BB997" t="s">
        <v>960</v>
      </c>
      <c r="BC997">
        <v>1987</v>
      </c>
      <c r="BD997" t="s">
        <v>73</v>
      </c>
    </row>
    <row r="998" spans="1:56" x14ac:dyDescent="0.35">
      <c r="A998">
        <v>106478</v>
      </c>
      <c r="B998" t="s">
        <v>961</v>
      </c>
      <c r="D998" t="s">
        <v>85</v>
      </c>
      <c r="E998" t="s">
        <v>86</v>
      </c>
      <c r="F998" t="s">
        <v>58</v>
      </c>
      <c r="G998" t="s">
        <v>59</v>
      </c>
      <c r="H998" t="s">
        <v>60</v>
      </c>
      <c r="J998" t="s">
        <v>86</v>
      </c>
      <c r="L998" t="s">
        <v>62</v>
      </c>
      <c r="M998" t="s">
        <v>63</v>
      </c>
      <c r="N998" t="s">
        <v>64</v>
      </c>
      <c r="P998" t="s">
        <v>100</v>
      </c>
      <c r="R998">
        <v>12</v>
      </c>
      <c r="T998">
        <v>7</v>
      </c>
      <c r="V998">
        <v>18</v>
      </c>
      <c r="W998" t="s">
        <v>66</v>
      </c>
      <c r="X998" t="s">
        <v>67</v>
      </c>
      <c r="Y998" t="s">
        <v>67</v>
      </c>
      <c r="Z998" t="s">
        <v>68</v>
      </c>
      <c r="AB998">
        <v>4</v>
      </c>
      <c r="AC998" t="s">
        <v>61</v>
      </c>
      <c r="AJ998" t="s">
        <v>69</v>
      </c>
      <c r="AY998" t="s">
        <v>962</v>
      </c>
      <c r="AZ998">
        <v>939</v>
      </c>
      <c r="BA998" t="s">
        <v>963</v>
      </c>
      <c r="BB998" t="s">
        <v>964</v>
      </c>
      <c r="BC998">
        <v>1978</v>
      </c>
      <c r="BD998" t="s">
        <v>90</v>
      </c>
    </row>
    <row r="999" spans="1:56" x14ac:dyDescent="0.35">
      <c r="A999">
        <v>106478</v>
      </c>
      <c r="B999" t="s">
        <v>961</v>
      </c>
      <c r="D999" t="s">
        <v>57</v>
      </c>
      <c r="E999" t="s">
        <v>128</v>
      </c>
      <c r="F999" t="s">
        <v>58</v>
      </c>
      <c r="G999" t="s">
        <v>59</v>
      </c>
      <c r="H999" t="s">
        <v>60</v>
      </c>
      <c r="I999" t="s">
        <v>129</v>
      </c>
      <c r="J999" t="s">
        <v>86</v>
      </c>
      <c r="K999" t="s">
        <v>61</v>
      </c>
      <c r="L999" t="s">
        <v>74</v>
      </c>
      <c r="M999" t="s">
        <v>63</v>
      </c>
      <c r="N999" t="s">
        <v>64</v>
      </c>
      <c r="P999" t="s">
        <v>65</v>
      </c>
      <c r="R999">
        <v>32.5</v>
      </c>
      <c r="W999" t="s">
        <v>66</v>
      </c>
      <c r="X999" t="s">
        <v>67</v>
      </c>
      <c r="Y999" t="s">
        <v>67</v>
      </c>
      <c r="Z999" t="s">
        <v>68</v>
      </c>
      <c r="AB999">
        <v>4</v>
      </c>
      <c r="AC999" t="s">
        <v>61</v>
      </c>
      <c r="AJ999" t="s">
        <v>69</v>
      </c>
      <c r="AY999" t="s">
        <v>134</v>
      </c>
      <c r="AZ999">
        <v>15031</v>
      </c>
      <c r="BA999" t="s">
        <v>135</v>
      </c>
      <c r="BB999" t="s">
        <v>136</v>
      </c>
      <c r="BC999">
        <v>1995</v>
      </c>
      <c r="BD999" t="s">
        <v>133</v>
      </c>
    </row>
    <row r="1000" spans="1:56" x14ac:dyDescent="0.35">
      <c r="A1000">
        <v>106478</v>
      </c>
      <c r="B1000" t="s">
        <v>961</v>
      </c>
      <c r="D1000" t="s">
        <v>57</v>
      </c>
      <c r="E1000">
        <v>98</v>
      </c>
      <c r="F1000" t="s">
        <v>58</v>
      </c>
      <c r="G1000" t="s">
        <v>59</v>
      </c>
      <c r="H1000" t="s">
        <v>60</v>
      </c>
      <c r="J1000">
        <v>34</v>
      </c>
      <c r="K1000" t="s">
        <v>61</v>
      </c>
      <c r="L1000" t="s">
        <v>74</v>
      </c>
      <c r="M1000" t="s">
        <v>63</v>
      </c>
      <c r="N1000" t="s">
        <v>64</v>
      </c>
      <c r="P1000" t="s">
        <v>65</v>
      </c>
      <c r="R1000">
        <v>30.6</v>
      </c>
      <c r="W1000" t="s">
        <v>66</v>
      </c>
      <c r="X1000" t="s">
        <v>67</v>
      </c>
      <c r="Y1000" t="s">
        <v>67</v>
      </c>
      <c r="Z1000" t="s">
        <v>68</v>
      </c>
      <c r="AB1000">
        <v>4</v>
      </c>
      <c r="AC1000" t="s">
        <v>61</v>
      </c>
      <c r="AJ1000" t="s">
        <v>69</v>
      </c>
      <c r="AY1000" t="s">
        <v>80</v>
      </c>
      <c r="AZ1000">
        <v>12859</v>
      </c>
      <c r="BA1000" t="s">
        <v>81</v>
      </c>
      <c r="BB1000" t="s">
        <v>82</v>
      </c>
      <c r="BC1000">
        <v>1988</v>
      </c>
      <c r="BD1000" t="s">
        <v>73</v>
      </c>
    </row>
    <row r="1001" spans="1:56" x14ac:dyDescent="0.35">
      <c r="A1001">
        <v>106478</v>
      </c>
      <c r="B1001" t="s">
        <v>961</v>
      </c>
      <c r="D1001" t="s">
        <v>57</v>
      </c>
      <c r="E1001" t="s">
        <v>86</v>
      </c>
      <c r="F1001" t="s">
        <v>58</v>
      </c>
      <c r="G1001" t="s">
        <v>59</v>
      </c>
      <c r="H1001" t="s">
        <v>60</v>
      </c>
      <c r="J1001" t="s">
        <v>86</v>
      </c>
      <c r="L1001" t="s">
        <v>74</v>
      </c>
      <c r="M1001" t="s">
        <v>63</v>
      </c>
      <c r="N1001" t="s">
        <v>64</v>
      </c>
      <c r="O1001">
        <v>6</v>
      </c>
      <c r="P1001" t="s">
        <v>65</v>
      </c>
      <c r="R1001">
        <v>39</v>
      </c>
      <c r="T1001">
        <v>32</v>
      </c>
      <c r="V1001">
        <v>48</v>
      </c>
      <c r="W1001" t="s">
        <v>66</v>
      </c>
      <c r="X1001" t="s">
        <v>67</v>
      </c>
      <c r="Y1001" t="s">
        <v>67</v>
      </c>
      <c r="Z1001" t="s">
        <v>68</v>
      </c>
      <c r="AB1001">
        <v>4</v>
      </c>
      <c r="AC1001" t="s">
        <v>61</v>
      </c>
      <c r="AJ1001" t="s">
        <v>69</v>
      </c>
      <c r="AY1001" t="s">
        <v>834</v>
      </c>
      <c r="AZ1001">
        <v>104273</v>
      </c>
      <c r="BA1001" t="s">
        <v>838</v>
      </c>
      <c r="BB1001" t="s">
        <v>839</v>
      </c>
      <c r="BC1001">
        <v>1982</v>
      </c>
      <c r="BD1001" t="s">
        <v>837</v>
      </c>
    </row>
    <row r="1002" spans="1:56" x14ac:dyDescent="0.35">
      <c r="A1002">
        <v>106478</v>
      </c>
      <c r="B1002" t="s">
        <v>961</v>
      </c>
      <c r="D1002" t="s">
        <v>85</v>
      </c>
      <c r="E1002" t="s">
        <v>86</v>
      </c>
      <c r="F1002" t="s">
        <v>58</v>
      </c>
      <c r="G1002" t="s">
        <v>59</v>
      </c>
      <c r="H1002" t="s">
        <v>60</v>
      </c>
      <c r="J1002" t="s">
        <v>86</v>
      </c>
      <c r="L1002" t="s">
        <v>62</v>
      </c>
      <c r="M1002" t="s">
        <v>63</v>
      </c>
      <c r="N1002" t="s">
        <v>64</v>
      </c>
      <c r="O1002">
        <v>6</v>
      </c>
      <c r="P1002" t="s">
        <v>65</v>
      </c>
      <c r="R1002">
        <v>39</v>
      </c>
      <c r="T1002">
        <v>31</v>
      </c>
      <c r="V1002">
        <v>49</v>
      </c>
      <c r="W1002" t="s">
        <v>66</v>
      </c>
      <c r="X1002" t="s">
        <v>67</v>
      </c>
      <c r="Y1002" t="s">
        <v>67</v>
      </c>
      <c r="Z1002" t="s">
        <v>68</v>
      </c>
      <c r="AB1002">
        <v>4</v>
      </c>
      <c r="AC1002" t="s">
        <v>61</v>
      </c>
      <c r="AJ1002" t="s">
        <v>69</v>
      </c>
      <c r="AY1002" t="s">
        <v>834</v>
      </c>
      <c r="AZ1002">
        <v>104273</v>
      </c>
      <c r="BA1002" t="s">
        <v>838</v>
      </c>
      <c r="BB1002" t="s">
        <v>839</v>
      </c>
      <c r="BC1002">
        <v>1982</v>
      </c>
      <c r="BD1002" t="s">
        <v>837</v>
      </c>
    </row>
    <row r="1003" spans="1:56" x14ac:dyDescent="0.35">
      <c r="A1003">
        <v>106489</v>
      </c>
      <c r="B1003" t="s">
        <v>965</v>
      </c>
      <c r="D1003" t="s">
        <v>85</v>
      </c>
      <c r="E1003" t="s">
        <v>86</v>
      </c>
      <c r="F1003" t="s">
        <v>58</v>
      </c>
      <c r="G1003" t="s">
        <v>59</v>
      </c>
      <c r="H1003" t="s">
        <v>60</v>
      </c>
      <c r="I1003" t="s">
        <v>129</v>
      </c>
      <c r="J1003" t="s">
        <v>86</v>
      </c>
      <c r="K1003" t="s">
        <v>61</v>
      </c>
      <c r="L1003" t="s">
        <v>62</v>
      </c>
      <c r="M1003" t="s">
        <v>63</v>
      </c>
      <c r="N1003" t="s">
        <v>64</v>
      </c>
      <c r="P1003" t="s">
        <v>100</v>
      </c>
      <c r="R1003">
        <v>3.8</v>
      </c>
      <c r="T1003">
        <v>3.4</v>
      </c>
      <c r="V1003">
        <v>4.3</v>
      </c>
      <c r="W1003" t="s">
        <v>66</v>
      </c>
      <c r="X1003" t="s">
        <v>67</v>
      </c>
      <c r="Y1003" t="s">
        <v>67</v>
      </c>
      <c r="Z1003" t="s">
        <v>68</v>
      </c>
      <c r="AB1003">
        <v>4</v>
      </c>
      <c r="AC1003" t="s">
        <v>61</v>
      </c>
      <c r="AJ1003" t="s">
        <v>69</v>
      </c>
      <c r="AY1003" t="s">
        <v>394</v>
      </c>
      <c r="AZ1003">
        <v>10432</v>
      </c>
      <c r="BA1003" t="s">
        <v>395</v>
      </c>
      <c r="BB1003" t="s">
        <v>396</v>
      </c>
      <c r="BC1003">
        <v>1983</v>
      </c>
      <c r="BD1003" t="s">
        <v>127</v>
      </c>
    </row>
    <row r="1004" spans="1:56" x14ac:dyDescent="0.35">
      <c r="A1004">
        <v>106489</v>
      </c>
      <c r="B1004" t="s">
        <v>965</v>
      </c>
      <c r="D1004" t="s">
        <v>85</v>
      </c>
      <c r="E1004" t="s">
        <v>86</v>
      </c>
      <c r="F1004" t="s">
        <v>58</v>
      </c>
      <c r="G1004" t="s">
        <v>59</v>
      </c>
      <c r="H1004" t="s">
        <v>60</v>
      </c>
      <c r="I1004" t="s">
        <v>177</v>
      </c>
      <c r="J1004" t="s">
        <v>86</v>
      </c>
      <c r="K1004" t="s">
        <v>61</v>
      </c>
      <c r="L1004" t="s">
        <v>62</v>
      </c>
      <c r="M1004" t="s">
        <v>63</v>
      </c>
      <c r="N1004" t="s">
        <v>64</v>
      </c>
      <c r="P1004" t="s">
        <v>100</v>
      </c>
      <c r="R1004">
        <v>4</v>
      </c>
      <c r="T1004">
        <v>3.5</v>
      </c>
      <c r="V1004">
        <v>4.5999999999999996</v>
      </c>
      <c r="W1004" t="s">
        <v>66</v>
      </c>
      <c r="X1004" t="s">
        <v>67</v>
      </c>
      <c r="Y1004" t="s">
        <v>67</v>
      </c>
      <c r="Z1004" t="s">
        <v>68</v>
      </c>
      <c r="AB1004">
        <v>4</v>
      </c>
      <c r="AC1004" t="s">
        <v>61</v>
      </c>
      <c r="AJ1004" t="s">
        <v>69</v>
      </c>
      <c r="AY1004" t="s">
        <v>394</v>
      </c>
      <c r="AZ1004">
        <v>10432</v>
      </c>
      <c r="BA1004" t="s">
        <v>395</v>
      </c>
      <c r="BB1004" t="s">
        <v>396</v>
      </c>
      <c r="BC1004">
        <v>1983</v>
      </c>
      <c r="BD1004" t="s">
        <v>385</v>
      </c>
    </row>
    <row r="1005" spans="1:56" x14ac:dyDescent="0.35">
      <c r="A1005">
        <v>106489</v>
      </c>
      <c r="B1005" t="s">
        <v>965</v>
      </c>
      <c r="C1005" t="s">
        <v>195</v>
      </c>
      <c r="D1005" t="s">
        <v>57</v>
      </c>
      <c r="E1005" t="s">
        <v>86</v>
      </c>
      <c r="F1005" t="s">
        <v>58</v>
      </c>
      <c r="G1005" t="s">
        <v>59</v>
      </c>
      <c r="H1005" t="s">
        <v>60</v>
      </c>
      <c r="I1005" t="s">
        <v>392</v>
      </c>
      <c r="J1005" t="s">
        <v>86</v>
      </c>
      <c r="K1005" t="s">
        <v>61</v>
      </c>
      <c r="L1005" t="s">
        <v>62</v>
      </c>
      <c r="M1005" t="s">
        <v>63</v>
      </c>
      <c r="N1005" t="s">
        <v>64</v>
      </c>
      <c r="O1005" t="s">
        <v>381</v>
      </c>
      <c r="P1005" t="s">
        <v>65</v>
      </c>
      <c r="R1005">
        <v>5</v>
      </c>
      <c r="T1005">
        <v>4.3</v>
      </c>
      <c r="V1005">
        <v>5.8</v>
      </c>
      <c r="W1005" t="s">
        <v>66</v>
      </c>
      <c r="X1005" t="s">
        <v>67</v>
      </c>
      <c r="Y1005" t="s">
        <v>67</v>
      </c>
      <c r="Z1005" t="s">
        <v>68</v>
      </c>
      <c r="AB1005">
        <v>4</v>
      </c>
      <c r="AC1005" t="s">
        <v>61</v>
      </c>
      <c r="AJ1005" t="s">
        <v>69</v>
      </c>
      <c r="AY1005" t="s">
        <v>382</v>
      </c>
      <c r="AZ1005">
        <v>163462</v>
      </c>
      <c r="BA1005" t="s">
        <v>383</v>
      </c>
      <c r="BB1005" t="s">
        <v>384</v>
      </c>
      <c r="BC1005">
        <v>1987</v>
      </c>
      <c r="BD1005" t="s">
        <v>393</v>
      </c>
    </row>
    <row r="1006" spans="1:56" x14ac:dyDescent="0.35">
      <c r="A1006">
        <v>106489</v>
      </c>
      <c r="B1006" t="s">
        <v>965</v>
      </c>
      <c r="C1006" t="s">
        <v>195</v>
      </c>
      <c r="D1006" t="s">
        <v>57</v>
      </c>
      <c r="E1006" t="s">
        <v>86</v>
      </c>
      <c r="F1006" t="s">
        <v>58</v>
      </c>
      <c r="G1006" t="s">
        <v>59</v>
      </c>
      <c r="H1006" t="s">
        <v>60</v>
      </c>
      <c r="I1006" t="s">
        <v>129</v>
      </c>
      <c r="J1006" t="s">
        <v>86</v>
      </c>
      <c r="K1006" t="s">
        <v>61</v>
      </c>
      <c r="L1006" t="s">
        <v>62</v>
      </c>
      <c r="M1006" t="s">
        <v>63</v>
      </c>
      <c r="N1006" t="s">
        <v>64</v>
      </c>
      <c r="O1006" t="s">
        <v>381</v>
      </c>
      <c r="P1006" t="s">
        <v>65</v>
      </c>
      <c r="R1006">
        <v>3.8</v>
      </c>
      <c r="T1006">
        <v>3.4</v>
      </c>
      <c r="V1006">
        <v>4.3</v>
      </c>
      <c r="W1006" t="s">
        <v>66</v>
      </c>
      <c r="X1006" t="s">
        <v>67</v>
      </c>
      <c r="Y1006" t="s">
        <v>67</v>
      </c>
      <c r="Z1006" t="s">
        <v>68</v>
      </c>
      <c r="AB1006">
        <v>4</v>
      </c>
      <c r="AC1006" t="s">
        <v>61</v>
      </c>
      <c r="AJ1006" t="s">
        <v>69</v>
      </c>
      <c r="AY1006" t="s">
        <v>382</v>
      </c>
      <c r="AZ1006">
        <v>163462</v>
      </c>
      <c r="BA1006" t="s">
        <v>383</v>
      </c>
      <c r="BB1006" t="s">
        <v>384</v>
      </c>
      <c r="BC1006">
        <v>1987</v>
      </c>
      <c r="BD1006" t="s">
        <v>127</v>
      </c>
    </row>
    <row r="1007" spans="1:56" x14ac:dyDescent="0.35">
      <c r="A1007">
        <v>106489</v>
      </c>
      <c r="B1007" t="s">
        <v>965</v>
      </c>
      <c r="D1007" t="s">
        <v>85</v>
      </c>
      <c r="E1007" t="s">
        <v>86</v>
      </c>
      <c r="F1007" t="s">
        <v>58</v>
      </c>
      <c r="G1007" t="s">
        <v>59</v>
      </c>
      <c r="H1007" t="s">
        <v>60</v>
      </c>
      <c r="I1007" t="s">
        <v>397</v>
      </c>
      <c r="J1007" t="s">
        <v>86</v>
      </c>
      <c r="K1007" t="s">
        <v>61</v>
      </c>
      <c r="L1007" t="s">
        <v>62</v>
      </c>
      <c r="M1007" t="s">
        <v>63</v>
      </c>
      <c r="N1007" t="s">
        <v>64</v>
      </c>
      <c r="P1007" t="s">
        <v>100</v>
      </c>
      <c r="R1007">
        <v>5</v>
      </c>
      <c r="T1007">
        <v>4.3</v>
      </c>
      <c r="V1007">
        <v>5.8</v>
      </c>
      <c r="W1007" t="s">
        <v>66</v>
      </c>
      <c r="X1007" t="s">
        <v>67</v>
      </c>
      <c r="Y1007" t="s">
        <v>67</v>
      </c>
      <c r="Z1007" t="s">
        <v>68</v>
      </c>
      <c r="AB1007">
        <v>4</v>
      </c>
      <c r="AC1007" t="s">
        <v>61</v>
      </c>
      <c r="AJ1007" t="s">
        <v>69</v>
      </c>
      <c r="AY1007" t="s">
        <v>394</v>
      </c>
      <c r="AZ1007">
        <v>10432</v>
      </c>
      <c r="BA1007" t="s">
        <v>395</v>
      </c>
      <c r="BB1007" t="s">
        <v>396</v>
      </c>
      <c r="BC1007">
        <v>1983</v>
      </c>
      <c r="BD1007" t="s">
        <v>398</v>
      </c>
    </row>
    <row r="1008" spans="1:56" x14ac:dyDescent="0.35">
      <c r="A1008">
        <v>106489</v>
      </c>
      <c r="B1008" t="s">
        <v>965</v>
      </c>
      <c r="C1008" t="s">
        <v>195</v>
      </c>
      <c r="D1008" t="s">
        <v>57</v>
      </c>
      <c r="E1008" t="s">
        <v>86</v>
      </c>
      <c r="F1008" t="s">
        <v>58</v>
      </c>
      <c r="G1008" t="s">
        <v>59</v>
      </c>
      <c r="H1008" t="s">
        <v>60</v>
      </c>
      <c r="I1008" t="s">
        <v>177</v>
      </c>
      <c r="J1008" t="s">
        <v>86</v>
      </c>
      <c r="K1008" t="s">
        <v>61</v>
      </c>
      <c r="L1008" t="s">
        <v>62</v>
      </c>
      <c r="M1008" t="s">
        <v>63</v>
      </c>
      <c r="N1008" t="s">
        <v>64</v>
      </c>
      <c r="O1008" t="s">
        <v>381</v>
      </c>
      <c r="P1008" t="s">
        <v>65</v>
      </c>
      <c r="R1008">
        <v>4</v>
      </c>
      <c r="T1008">
        <v>3.5</v>
      </c>
      <c r="V1008">
        <v>4.5999999999999996</v>
      </c>
      <c r="W1008" t="s">
        <v>66</v>
      </c>
      <c r="X1008" t="s">
        <v>67</v>
      </c>
      <c r="Y1008" t="s">
        <v>67</v>
      </c>
      <c r="Z1008" t="s">
        <v>68</v>
      </c>
      <c r="AB1008">
        <v>4</v>
      </c>
      <c r="AC1008" t="s">
        <v>61</v>
      </c>
      <c r="AJ1008" t="s">
        <v>69</v>
      </c>
      <c r="AY1008" t="s">
        <v>382</v>
      </c>
      <c r="AZ1008">
        <v>163462</v>
      </c>
      <c r="BA1008" t="s">
        <v>383</v>
      </c>
      <c r="BB1008" t="s">
        <v>384</v>
      </c>
      <c r="BC1008">
        <v>1987</v>
      </c>
      <c r="BD1008" t="s">
        <v>385</v>
      </c>
    </row>
    <row r="1009" spans="1:56" x14ac:dyDescent="0.35">
      <c r="A1009">
        <v>106489</v>
      </c>
      <c r="B1009" t="s">
        <v>965</v>
      </c>
      <c r="D1009" t="s">
        <v>57</v>
      </c>
      <c r="E1009" t="s">
        <v>79</v>
      </c>
      <c r="F1009" t="s">
        <v>58</v>
      </c>
      <c r="G1009" t="s">
        <v>59</v>
      </c>
      <c r="H1009" t="s">
        <v>60</v>
      </c>
      <c r="J1009">
        <v>27</v>
      </c>
      <c r="K1009" t="s">
        <v>61</v>
      </c>
      <c r="L1009" t="s">
        <v>74</v>
      </c>
      <c r="M1009" t="s">
        <v>63</v>
      </c>
      <c r="N1009" t="s">
        <v>64</v>
      </c>
      <c r="P1009" t="s">
        <v>65</v>
      </c>
      <c r="R1009">
        <v>6.11</v>
      </c>
      <c r="T1009">
        <v>5.43</v>
      </c>
      <c r="V1009">
        <v>6.87</v>
      </c>
      <c r="W1009" t="s">
        <v>66</v>
      </c>
      <c r="X1009" t="s">
        <v>67</v>
      </c>
      <c r="Y1009" t="s">
        <v>67</v>
      </c>
      <c r="Z1009" t="s">
        <v>68</v>
      </c>
      <c r="AB1009">
        <v>4</v>
      </c>
      <c r="AC1009" t="s">
        <v>61</v>
      </c>
      <c r="AJ1009" t="s">
        <v>69</v>
      </c>
      <c r="AY1009" t="s">
        <v>75</v>
      </c>
      <c r="AZ1009">
        <v>3217</v>
      </c>
      <c r="BA1009" t="s">
        <v>76</v>
      </c>
      <c r="BB1009" t="s">
        <v>77</v>
      </c>
      <c r="BC1009">
        <v>1990</v>
      </c>
      <c r="BD1009" t="s">
        <v>73</v>
      </c>
    </row>
    <row r="1010" spans="1:56" x14ac:dyDescent="0.35">
      <c r="A1010">
        <v>106490</v>
      </c>
      <c r="B1010" t="s">
        <v>966</v>
      </c>
      <c r="D1010" t="s">
        <v>57</v>
      </c>
      <c r="E1010">
        <v>99</v>
      </c>
      <c r="F1010" t="s">
        <v>58</v>
      </c>
      <c r="G1010" t="s">
        <v>59</v>
      </c>
      <c r="H1010" t="s">
        <v>60</v>
      </c>
      <c r="J1010">
        <v>31</v>
      </c>
      <c r="K1010" t="s">
        <v>61</v>
      </c>
      <c r="L1010" t="s">
        <v>74</v>
      </c>
      <c r="M1010" t="s">
        <v>63</v>
      </c>
      <c r="N1010" t="s">
        <v>64</v>
      </c>
      <c r="P1010" t="s">
        <v>65</v>
      </c>
      <c r="R1010">
        <v>149</v>
      </c>
      <c r="T1010">
        <v>135</v>
      </c>
      <c r="V1010">
        <v>163</v>
      </c>
      <c r="W1010" t="s">
        <v>66</v>
      </c>
      <c r="X1010" t="s">
        <v>67</v>
      </c>
      <c r="Y1010" t="s">
        <v>67</v>
      </c>
      <c r="Z1010" t="s">
        <v>68</v>
      </c>
      <c r="AB1010">
        <v>4</v>
      </c>
      <c r="AC1010" t="s">
        <v>61</v>
      </c>
      <c r="AJ1010" t="s">
        <v>69</v>
      </c>
      <c r="AY1010" t="s">
        <v>263</v>
      </c>
      <c r="AZ1010">
        <v>12858</v>
      </c>
      <c r="BA1010" t="s">
        <v>264</v>
      </c>
      <c r="BB1010" t="s">
        <v>265</v>
      </c>
      <c r="BC1010">
        <v>1986</v>
      </c>
      <c r="BD1010" t="s">
        <v>73</v>
      </c>
    </row>
    <row r="1011" spans="1:56" x14ac:dyDescent="0.35">
      <c r="A1011">
        <v>106490</v>
      </c>
      <c r="B1011" t="s">
        <v>966</v>
      </c>
      <c r="D1011" t="s">
        <v>57</v>
      </c>
      <c r="E1011">
        <v>99</v>
      </c>
      <c r="F1011" t="s">
        <v>58</v>
      </c>
      <c r="G1011" t="s">
        <v>59</v>
      </c>
      <c r="H1011" t="s">
        <v>60</v>
      </c>
      <c r="J1011">
        <v>30</v>
      </c>
      <c r="K1011" t="s">
        <v>61</v>
      </c>
      <c r="L1011" t="s">
        <v>74</v>
      </c>
      <c r="M1011" t="s">
        <v>63</v>
      </c>
      <c r="N1011" t="s">
        <v>64</v>
      </c>
      <c r="P1011" t="s">
        <v>65</v>
      </c>
      <c r="R1011">
        <v>171</v>
      </c>
      <c r="T1011">
        <v>138</v>
      </c>
      <c r="V1011">
        <v>213</v>
      </c>
      <c r="W1011" t="s">
        <v>66</v>
      </c>
      <c r="X1011" t="s">
        <v>67</v>
      </c>
      <c r="Y1011" t="s">
        <v>67</v>
      </c>
      <c r="Z1011" t="s">
        <v>68</v>
      </c>
      <c r="AB1011">
        <v>4</v>
      </c>
      <c r="AC1011" t="s">
        <v>61</v>
      </c>
      <c r="AJ1011" t="s">
        <v>69</v>
      </c>
      <c r="AY1011" t="s">
        <v>75</v>
      </c>
      <c r="AZ1011">
        <v>3217</v>
      </c>
      <c r="BA1011" t="s">
        <v>76</v>
      </c>
      <c r="BB1011" t="s">
        <v>77</v>
      </c>
      <c r="BC1011">
        <v>1990</v>
      </c>
      <c r="BD1011" t="s">
        <v>73</v>
      </c>
    </row>
    <row r="1012" spans="1:56" x14ac:dyDescent="0.35">
      <c r="A1012">
        <v>106514</v>
      </c>
      <c r="B1012" t="s">
        <v>967</v>
      </c>
      <c r="D1012" t="s">
        <v>85</v>
      </c>
      <c r="E1012" t="s">
        <v>86</v>
      </c>
      <c r="F1012" t="s">
        <v>58</v>
      </c>
      <c r="G1012" t="s">
        <v>59</v>
      </c>
      <c r="H1012" t="s">
        <v>60</v>
      </c>
      <c r="J1012" t="s">
        <v>86</v>
      </c>
      <c r="L1012" t="s">
        <v>62</v>
      </c>
      <c r="M1012" t="s">
        <v>63</v>
      </c>
      <c r="N1012" t="s">
        <v>64</v>
      </c>
      <c r="P1012" t="s">
        <v>100</v>
      </c>
      <c r="T1012">
        <v>5.0000000000000001E-3</v>
      </c>
      <c r="V1012">
        <v>0.03</v>
      </c>
      <c r="W1012" t="s">
        <v>66</v>
      </c>
      <c r="X1012" t="s">
        <v>67</v>
      </c>
      <c r="Y1012" t="s">
        <v>67</v>
      </c>
      <c r="Z1012" t="s">
        <v>68</v>
      </c>
      <c r="AB1012">
        <v>4</v>
      </c>
      <c r="AC1012" t="s">
        <v>61</v>
      </c>
      <c r="AJ1012" t="s">
        <v>69</v>
      </c>
      <c r="AY1012" t="s">
        <v>255</v>
      </c>
      <c r="AZ1012">
        <v>8960</v>
      </c>
      <c r="BA1012" t="s">
        <v>256</v>
      </c>
      <c r="BB1012" t="s">
        <v>257</v>
      </c>
      <c r="BC1012">
        <v>1972</v>
      </c>
      <c r="BD1012" t="s">
        <v>90</v>
      </c>
    </row>
    <row r="1013" spans="1:56" x14ac:dyDescent="0.35">
      <c r="A1013">
        <v>106638</v>
      </c>
      <c r="B1013" t="s">
        <v>968</v>
      </c>
      <c r="D1013" t="s">
        <v>57</v>
      </c>
      <c r="E1013" t="s">
        <v>810</v>
      </c>
      <c r="F1013" t="s">
        <v>58</v>
      </c>
      <c r="G1013" t="s">
        <v>59</v>
      </c>
      <c r="H1013" t="s">
        <v>60</v>
      </c>
      <c r="J1013">
        <v>29</v>
      </c>
      <c r="K1013" t="s">
        <v>61</v>
      </c>
      <c r="L1013" t="s">
        <v>74</v>
      </c>
      <c r="M1013" t="s">
        <v>63</v>
      </c>
      <c r="N1013" t="s">
        <v>64</v>
      </c>
      <c r="P1013" t="s">
        <v>65</v>
      </c>
      <c r="R1013">
        <v>2.11</v>
      </c>
      <c r="W1013" t="s">
        <v>66</v>
      </c>
      <c r="X1013" t="s">
        <v>67</v>
      </c>
      <c r="Y1013" t="s">
        <v>67</v>
      </c>
      <c r="Z1013" t="s">
        <v>68</v>
      </c>
      <c r="AB1013">
        <v>4</v>
      </c>
      <c r="AC1013" t="s">
        <v>61</v>
      </c>
      <c r="AJ1013" t="s">
        <v>69</v>
      </c>
      <c r="AY1013" t="s">
        <v>80</v>
      </c>
      <c r="AZ1013">
        <v>12859</v>
      </c>
      <c r="BA1013" t="s">
        <v>81</v>
      </c>
      <c r="BB1013" t="s">
        <v>82</v>
      </c>
      <c r="BC1013">
        <v>1988</v>
      </c>
      <c r="BD1013" t="s">
        <v>73</v>
      </c>
    </row>
    <row r="1014" spans="1:56" x14ac:dyDescent="0.35">
      <c r="A1014">
        <v>106638</v>
      </c>
      <c r="B1014" t="s">
        <v>968</v>
      </c>
      <c r="D1014" t="s">
        <v>57</v>
      </c>
      <c r="E1014" t="s">
        <v>810</v>
      </c>
      <c r="F1014" t="s">
        <v>58</v>
      </c>
      <c r="G1014" t="s">
        <v>59</v>
      </c>
      <c r="H1014" t="s">
        <v>60</v>
      </c>
      <c r="I1014" t="s">
        <v>129</v>
      </c>
      <c r="J1014" t="s">
        <v>86</v>
      </c>
      <c r="K1014" t="s">
        <v>61</v>
      </c>
      <c r="L1014" t="s">
        <v>74</v>
      </c>
      <c r="M1014" t="s">
        <v>63</v>
      </c>
      <c r="N1014" t="s">
        <v>64</v>
      </c>
      <c r="P1014" t="s">
        <v>65</v>
      </c>
      <c r="R1014">
        <v>2.09</v>
      </c>
      <c r="W1014" t="s">
        <v>66</v>
      </c>
      <c r="X1014" t="s">
        <v>67</v>
      </c>
      <c r="Y1014" t="s">
        <v>67</v>
      </c>
      <c r="Z1014" t="s">
        <v>68</v>
      </c>
      <c r="AB1014">
        <v>4</v>
      </c>
      <c r="AC1014" t="s">
        <v>61</v>
      </c>
      <c r="AJ1014" t="s">
        <v>69</v>
      </c>
      <c r="AY1014" t="s">
        <v>847</v>
      </c>
      <c r="AZ1014">
        <v>13120</v>
      </c>
      <c r="BA1014" t="s">
        <v>848</v>
      </c>
      <c r="BB1014" t="s">
        <v>849</v>
      </c>
      <c r="BC1014">
        <v>1988</v>
      </c>
      <c r="BD1014" t="s">
        <v>833</v>
      </c>
    </row>
    <row r="1015" spans="1:56" x14ac:dyDescent="0.35">
      <c r="A1015">
        <v>106638</v>
      </c>
      <c r="B1015" t="s">
        <v>968</v>
      </c>
      <c r="D1015" t="s">
        <v>57</v>
      </c>
      <c r="E1015" t="s">
        <v>810</v>
      </c>
      <c r="F1015" t="s">
        <v>58</v>
      </c>
      <c r="G1015" t="s">
        <v>59</v>
      </c>
      <c r="H1015" t="s">
        <v>60</v>
      </c>
      <c r="J1015">
        <v>29</v>
      </c>
      <c r="K1015" t="s">
        <v>61</v>
      </c>
      <c r="L1015" t="s">
        <v>74</v>
      </c>
      <c r="M1015" t="s">
        <v>63</v>
      </c>
      <c r="N1015" t="s">
        <v>64</v>
      </c>
      <c r="P1015" t="s">
        <v>65</v>
      </c>
      <c r="R1015">
        <v>2.09</v>
      </c>
      <c r="T1015">
        <v>1.92</v>
      </c>
      <c r="V1015">
        <v>2.2799999999999998</v>
      </c>
      <c r="W1015" t="s">
        <v>66</v>
      </c>
      <c r="X1015" t="s">
        <v>67</v>
      </c>
      <c r="Y1015" t="s">
        <v>67</v>
      </c>
      <c r="Z1015" t="s">
        <v>68</v>
      </c>
      <c r="AB1015">
        <v>4</v>
      </c>
      <c r="AC1015" t="s">
        <v>61</v>
      </c>
      <c r="AJ1015" t="s">
        <v>69</v>
      </c>
      <c r="AY1015" t="s">
        <v>263</v>
      </c>
      <c r="AZ1015">
        <v>12858</v>
      </c>
      <c r="BA1015" t="s">
        <v>264</v>
      </c>
      <c r="BB1015" t="s">
        <v>265</v>
      </c>
      <c r="BC1015">
        <v>1986</v>
      </c>
      <c r="BD1015" t="s">
        <v>73</v>
      </c>
    </row>
    <row r="1016" spans="1:56" x14ac:dyDescent="0.35">
      <c r="A1016">
        <v>106638</v>
      </c>
      <c r="B1016" t="s">
        <v>968</v>
      </c>
      <c r="D1016" t="s">
        <v>57</v>
      </c>
      <c r="E1016" t="s">
        <v>810</v>
      </c>
      <c r="F1016" t="s">
        <v>58</v>
      </c>
      <c r="G1016" t="s">
        <v>59</v>
      </c>
      <c r="H1016" t="s">
        <v>60</v>
      </c>
      <c r="I1016" t="s">
        <v>129</v>
      </c>
      <c r="J1016" t="s">
        <v>86</v>
      </c>
      <c r="K1016" t="s">
        <v>61</v>
      </c>
      <c r="L1016" t="s">
        <v>74</v>
      </c>
      <c r="M1016" t="s">
        <v>63</v>
      </c>
      <c r="N1016" t="s">
        <v>64</v>
      </c>
      <c r="P1016" t="s">
        <v>65</v>
      </c>
      <c r="R1016">
        <v>2.11</v>
      </c>
      <c r="W1016" t="s">
        <v>66</v>
      </c>
      <c r="X1016" t="s">
        <v>67</v>
      </c>
      <c r="Y1016" t="s">
        <v>67</v>
      </c>
      <c r="Z1016" t="s">
        <v>68</v>
      </c>
      <c r="AB1016">
        <v>4</v>
      </c>
      <c r="AC1016" t="s">
        <v>61</v>
      </c>
      <c r="AJ1016" t="s">
        <v>69</v>
      </c>
      <c r="AY1016" t="s">
        <v>847</v>
      </c>
      <c r="AZ1016">
        <v>13120</v>
      </c>
      <c r="BA1016" t="s">
        <v>848</v>
      </c>
      <c r="BB1016" t="s">
        <v>849</v>
      </c>
      <c r="BC1016">
        <v>1988</v>
      </c>
      <c r="BD1016" t="s">
        <v>833</v>
      </c>
    </row>
    <row r="1017" spans="1:56" x14ac:dyDescent="0.35">
      <c r="A1017">
        <v>106898</v>
      </c>
      <c r="B1017" t="s">
        <v>969</v>
      </c>
      <c r="C1017" t="s">
        <v>195</v>
      </c>
      <c r="E1017" t="s">
        <v>86</v>
      </c>
      <c r="F1017" t="s">
        <v>58</v>
      </c>
      <c r="G1017" t="s">
        <v>59</v>
      </c>
      <c r="H1017" t="s">
        <v>60</v>
      </c>
      <c r="I1017" t="s">
        <v>177</v>
      </c>
      <c r="J1017" t="s">
        <v>86</v>
      </c>
      <c r="K1017" t="s">
        <v>61</v>
      </c>
      <c r="L1017" t="s">
        <v>62</v>
      </c>
      <c r="M1017" t="s">
        <v>63</v>
      </c>
      <c r="N1017" t="s">
        <v>64</v>
      </c>
      <c r="O1017" t="s">
        <v>955</v>
      </c>
      <c r="P1017" t="s">
        <v>65</v>
      </c>
      <c r="R1017">
        <v>12.7</v>
      </c>
      <c r="T1017">
        <v>11.5</v>
      </c>
      <c r="V1017">
        <v>14.2</v>
      </c>
      <c r="W1017" t="s">
        <v>66</v>
      </c>
      <c r="X1017" t="s">
        <v>67</v>
      </c>
      <c r="Y1017" t="s">
        <v>67</v>
      </c>
      <c r="Z1017" t="s">
        <v>68</v>
      </c>
      <c r="AB1017">
        <v>4</v>
      </c>
      <c r="AC1017" t="s">
        <v>61</v>
      </c>
      <c r="AJ1017" t="s">
        <v>69</v>
      </c>
      <c r="AY1017" t="s">
        <v>382</v>
      </c>
      <c r="AZ1017">
        <v>91316</v>
      </c>
      <c r="BA1017" t="s">
        <v>956</v>
      </c>
      <c r="BB1017" t="s">
        <v>957</v>
      </c>
      <c r="BC1017">
        <v>1982</v>
      </c>
      <c r="BD1017" t="s">
        <v>385</v>
      </c>
    </row>
    <row r="1018" spans="1:56" x14ac:dyDescent="0.35">
      <c r="A1018">
        <v>106898</v>
      </c>
      <c r="B1018" t="s">
        <v>969</v>
      </c>
      <c r="C1018" t="s">
        <v>195</v>
      </c>
      <c r="E1018" t="s">
        <v>86</v>
      </c>
      <c r="F1018" t="s">
        <v>58</v>
      </c>
      <c r="G1018" t="s">
        <v>59</v>
      </c>
      <c r="H1018" t="s">
        <v>60</v>
      </c>
      <c r="I1018" t="s">
        <v>129</v>
      </c>
      <c r="J1018" t="s">
        <v>86</v>
      </c>
      <c r="K1018" t="s">
        <v>61</v>
      </c>
      <c r="L1018" t="s">
        <v>62</v>
      </c>
      <c r="M1018" t="s">
        <v>63</v>
      </c>
      <c r="N1018" t="s">
        <v>64</v>
      </c>
      <c r="O1018" t="s">
        <v>955</v>
      </c>
      <c r="P1018" t="s">
        <v>65</v>
      </c>
      <c r="R1018">
        <v>10.199999999999999</v>
      </c>
      <c r="W1018" t="s">
        <v>66</v>
      </c>
      <c r="X1018" t="s">
        <v>67</v>
      </c>
      <c r="Y1018" t="s">
        <v>67</v>
      </c>
      <c r="Z1018" t="s">
        <v>68</v>
      </c>
      <c r="AB1018">
        <v>4</v>
      </c>
      <c r="AC1018" t="s">
        <v>61</v>
      </c>
      <c r="AJ1018" t="s">
        <v>69</v>
      </c>
      <c r="AY1018" t="s">
        <v>382</v>
      </c>
      <c r="AZ1018">
        <v>91316</v>
      </c>
      <c r="BA1018" t="s">
        <v>956</v>
      </c>
      <c r="BB1018" t="s">
        <v>957</v>
      </c>
      <c r="BC1018">
        <v>1982</v>
      </c>
      <c r="BD1018" t="s">
        <v>127</v>
      </c>
    </row>
    <row r="1019" spans="1:56" x14ac:dyDescent="0.35">
      <c r="A1019">
        <v>106898</v>
      </c>
      <c r="B1019" t="s">
        <v>969</v>
      </c>
      <c r="C1019" t="s">
        <v>195</v>
      </c>
      <c r="E1019" t="s">
        <v>86</v>
      </c>
      <c r="F1019" t="s">
        <v>58</v>
      </c>
      <c r="G1019" t="s">
        <v>59</v>
      </c>
      <c r="H1019" t="s">
        <v>60</v>
      </c>
      <c r="I1019" t="s">
        <v>129</v>
      </c>
      <c r="J1019" t="s">
        <v>86</v>
      </c>
      <c r="K1019" t="s">
        <v>61</v>
      </c>
      <c r="L1019" t="s">
        <v>62</v>
      </c>
      <c r="M1019" t="s">
        <v>63</v>
      </c>
      <c r="N1019" t="s">
        <v>64</v>
      </c>
      <c r="O1019" t="s">
        <v>955</v>
      </c>
      <c r="P1019" t="s">
        <v>65</v>
      </c>
      <c r="R1019">
        <v>10.9</v>
      </c>
      <c r="W1019" t="s">
        <v>66</v>
      </c>
      <c r="X1019" t="s">
        <v>67</v>
      </c>
      <c r="Y1019" t="s">
        <v>67</v>
      </c>
      <c r="Z1019" t="s">
        <v>68</v>
      </c>
      <c r="AB1019">
        <v>4</v>
      </c>
      <c r="AC1019" t="s">
        <v>61</v>
      </c>
      <c r="AJ1019" t="s">
        <v>69</v>
      </c>
      <c r="AY1019" t="s">
        <v>382</v>
      </c>
      <c r="AZ1019">
        <v>91316</v>
      </c>
      <c r="BA1019" t="s">
        <v>956</v>
      </c>
      <c r="BB1019" t="s">
        <v>957</v>
      </c>
      <c r="BC1019">
        <v>1982</v>
      </c>
      <c r="BD1019" t="s">
        <v>127</v>
      </c>
    </row>
    <row r="1020" spans="1:56" x14ac:dyDescent="0.35">
      <c r="A1020">
        <v>106898</v>
      </c>
      <c r="B1020" t="s">
        <v>969</v>
      </c>
      <c r="D1020" t="s">
        <v>85</v>
      </c>
      <c r="E1020" t="s">
        <v>86</v>
      </c>
      <c r="F1020" t="s">
        <v>58</v>
      </c>
      <c r="G1020" t="s">
        <v>59</v>
      </c>
      <c r="H1020" t="s">
        <v>60</v>
      </c>
      <c r="I1020" t="s">
        <v>397</v>
      </c>
      <c r="J1020" t="s">
        <v>86</v>
      </c>
      <c r="K1020" t="s">
        <v>61</v>
      </c>
      <c r="L1020" t="s">
        <v>62</v>
      </c>
      <c r="M1020" t="s">
        <v>63</v>
      </c>
      <c r="N1020" t="s">
        <v>64</v>
      </c>
      <c r="P1020" t="s">
        <v>100</v>
      </c>
      <c r="R1020">
        <v>13.2</v>
      </c>
      <c r="T1020">
        <v>9.6</v>
      </c>
      <c r="V1020">
        <v>18.600000000000001</v>
      </c>
      <c r="W1020" t="s">
        <v>66</v>
      </c>
      <c r="X1020" t="s">
        <v>67</v>
      </c>
      <c r="Y1020" t="s">
        <v>67</v>
      </c>
      <c r="Z1020" t="s">
        <v>68</v>
      </c>
      <c r="AB1020">
        <v>4</v>
      </c>
      <c r="AC1020" t="s">
        <v>61</v>
      </c>
      <c r="AJ1020" t="s">
        <v>69</v>
      </c>
      <c r="AY1020" t="s">
        <v>394</v>
      </c>
      <c r="AZ1020">
        <v>10432</v>
      </c>
      <c r="BA1020" t="s">
        <v>395</v>
      </c>
      <c r="BB1020" t="s">
        <v>396</v>
      </c>
      <c r="BC1020">
        <v>1983</v>
      </c>
      <c r="BD1020" t="s">
        <v>398</v>
      </c>
    </row>
    <row r="1021" spans="1:56" x14ac:dyDescent="0.35">
      <c r="A1021">
        <v>106898</v>
      </c>
      <c r="B1021" t="s">
        <v>969</v>
      </c>
      <c r="C1021" t="s">
        <v>195</v>
      </c>
      <c r="D1021" t="s">
        <v>57</v>
      </c>
      <c r="E1021" t="s">
        <v>86</v>
      </c>
      <c r="F1021" t="s">
        <v>58</v>
      </c>
      <c r="G1021" t="s">
        <v>59</v>
      </c>
      <c r="H1021" t="s">
        <v>60</v>
      </c>
      <c r="I1021" t="s">
        <v>177</v>
      </c>
      <c r="J1021" t="s">
        <v>86</v>
      </c>
      <c r="K1021" t="s">
        <v>61</v>
      </c>
      <c r="L1021" t="s">
        <v>62</v>
      </c>
      <c r="M1021" t="s">
        <v>63</v>
      </c>
      <c r="N1021" t="s">
        <v>64</v>
      </c>
      <c r="O1021" t="s">
        <v>381</v>
      </c>
      <c r="P1021" t="s">
        <v>65</v>
      </c>
      <c r="R1021">
        <v>12.7</v>
      </c>
      <c r="T1021">
        <v>11.5</v>
      </c>
      <c r="V1021">
        <v>14.2</v>
      </c>
      <c r="W1021" t="s">
        <v>66</v>
      </c>
      <c r="X1021" t="s">
        <v>67</v>
      </c>
      <c r="Y1021" t="s">
        <v>67</v>
      </c>
      <c r="Z1021" t="s">
        <v>68</v>
      </c>
      <c r="AB1021">
        <v>4</v>
      </c>
      <c r="AC1021" t="s">
        <v>61</v>
      </c>
      <c r="AJ1021" t="s">
        <v>69</v>
      </c>
      <c r="AY1021" t="s">
        <v>382</v>
      </c>
      <c r="AZ1021">
        <v>163462</v>
      </c>
      <c r="BA1021" t="s">
        <v>383</v>
      </c>
      <c r="BB1021" t="s">
        <v>384</v>
      </c>
      <c r="BC1021">
        <v>1987</v>
      </c>
      <c r="BD1021" t="s">
        <v>385</v>
      </c>
    </row>
    <row r="1022" spans="1:56" x14ac:dyDescent="0.35">
      <c r="A1022">
        <v>106898</v>
      </c>
      <c r="B1022" t="s">
        <v>969</v>
      </c>
      <c r="D1022" t="s">
        <v>85</v>
      </c>
      <c r="E1022" t="s">
        <v>86</v>
      </c>
      <c r="F1022" t="s">
        <v>58</v>
      </c>
      <c r="G1022" t="s">
        <v>59</v>
      </c>
      <c r="H1022" t="s">
        <v>60</v>
      </c>
      <c r="I1022" t="s">
        <v>129</v>
      </c>
      <c r="J1022" t="s">
        <v>86</v>
      </c>
      <c r="K1022" t="s">
        <v>61</v>
      </c>
      <c r="L1022" t="s">
        <v>62</v>
      </c>
      <c r="M1022" t="s">
        <v>63</v>
      </c>
      <c r="N1022" t="s">
        <v>64</v>
      </c>
      <c r="P1022" t="s">
        <v>100</v>
      </c>
      <c r="R1022">
        <v>10.6</v>
      </c>
      <c r="T1022">
        <v>9.1</v>
      </c>
      <c r="V1022">
        <v>12.3</v>
      </c>
      <c r="W1022" t="s">
        <v>66</v>
      </c>
      <c r="X1022" t="s">
        <v>67</v>
      </c>
      <c r="Y1022" t="s">
        <v>67</v>
      </c>
      <c r="Z1022" t="s">
        <v>68</v>
      </c>
      <c r="AB1022">
        <v>4</v>
      </c>
      <c r="AC1022" t="s">
        <v>61</v>
      </c>
      <c r="AJ1022" t="s">
        <v>69</v>
      </c>
      <c r="AY1022" t="s">
        <v>394</v>
      </c>
      <c r="AZ1022">
        <v>10432</v>
      </c>
      <c r="BA1022" t="s">
        <v>395</v>
      </c>
      <c r="BB1022" t="s">
        <v>396</v>
      </c>
      <c r="BC1022">
        <v>1983</v>
      </c>
      <c r="BD1022" t="s">
        <v>127</v>
      </c>
    </row>
    <row r="1023" spans="1:56" x14ac:dyDescent="0.35">
      <c r="A1023">
        <v>106898</v>
      </c>
      <c r="B1023" t="s">
        <v>969</v>
      </c>
      <c r="C1023" t="s">
        <v>195</v>
      </c>
      <c r="E1023" t="s">
        <v>86</v>
      </c>
      <c r="F1023" t="s">
        <v>58</v>
      </c>
      <c r="G1023" t="s">
        <v>59</v>
      </c>
      <c r="H1023" t="s">
        <v>60</v>
      </c>
      <c r="I1023" t="s">
        <v>392</v>
      </c>
      <c r="J1023" t="s">
        <v>86</v>
      </c>
      <c r="K1023" t="s">
        <v>61</v>
      </c>
      <c r="L1023" t="s">
        <v>62</v>
      </c>
      <c r="M1023" t="s">
        <v>63</v>
      </c>
      <c r="N1023" t="s">
        <v>64</v>
      </c>
      <c r="O1023" t="s">
        <v>955</v>
      </c>
      <c r="P1023" t="s">
        <v>65</v>
      </c>
      <c r="R1023">
        <v>10.5</v>
      </c>
      <c r="W1023" t="s">
        <v>66</v>
      </c>
      <c r="X1023" t="s">
        <v>67</v>
      </c>
      <c r="Y1023" t="s">
        <v>67</v>
      </c>
      <c r="Z1023" t="s">
        <v>68</v>
      </c>
      <c r="AB1023">
        <v>4</v>
      </c>
      <c r="AC1023" t="s">
        <v>61</v>
      </c>
      <c r="AJ1023" t="s">
        <v>69</v>
      </c>
      <c r="AY1023" t="s">
        <v>382</v>
      </c>
      <c r="AZ1023">
        <v>91316</v>
      </c>
      <c r="BA1023" t="s">
        <v>956</v>
      </c>
      <c r="BB1023" t="s">
        <v>957</v>
      </c>
      <c r="BC1023">
        <v>1982</v>
      </c>
      <c r="BD1023" t="s">
        <v>393</v>
      </c>
    </row>
    <row r="1024" spans="1:56" x14ac:dyDescent="0.35">
      <c r="A1024">
        <v>106898</v>
      </c>
      <c r="B1024" t="s">
        <v>969</v>
      </c>
      <c r="C1024" t="s">
        <v>195</v>
      </c>
      <c r="D1024" t="s">
        <v>57</v>
      </c>
      <c r="E1024" t="s">
        <v>86</v>
      </c>
      <c r="F1024" t="s">
        <v>58</v>
      </c>
      <c r="G1024" t="s">
        <v>59</v>
      </c>
      <c r="H1024" t="s">
        <v>60</v>
      </c>
      <c r="I1024" t="s">
        <v>392</v>
      </c>
      <c r="J1024" t="s">
        <v>86</v>
      </c>
      <c r="K1024" t="s">
        <v>61</v>
      </c>
      <c r="L1024" t="s">
        <v>62</v>
      </c>
      <c r="M1024" t="s">
        <v>63</v>
      </c>
      <c r="N1024" t="s">
        <v>64</v>
      </c>
      <c r="O1024" t="s">
        <v>381</v>
      </c>
      <c r="P1024" t="s">
        <v>65</v>
      </c>
      <c r="R1024">
        <v>13.2</v>
      </c>
      <c r="T1024">
        <v>9.6</v>
      </c>
      <c r="V1024">
        <v>18.600000000000001</v>
      </c>
      <c r="W1024" t="s">
        <v>66</v>
      </c>
      <c r="X1024" t="s">
        <v>67</v>
      </c>
      <c r="Y1024" t="s">
        <v>67</v>
      </c>
      <c r="Z1024" t="s">
        <v>68</v>
      </c>
      <c r="AB1024">
        <v>4</v>
      </c>
      <c r="AC1024" t="s">
        <v>61</v>
      </c>
      <c r="AJ1024" t="s">
        <v>69</v>
      </c>
      <c r="AY1024" t="s">
        <v>382</v>
      </c>
      <c r="AZ1024">
        <v>163462</v>
      </c>
      <c r="BA1024" t="s">
        <v>383</v>
      </c>
      <c r="BB1024" t="s">
        <v>384</v>
      </c>
      <c r="BC1024">
        <v>1987</v>
      </c>
      <c r="BD1024" t="s">
        <v>393</v>
      </c>
    </row>
    <row r="1025" spans="1:56" x14ac:dyDescent="0.35">
      <c r="A1025">
        <v>106898</v>
      </c>
      <c r="B1025" t="s">
        <v>969</v>
      </c>
      <c r="C1025" t="s">
        <v>195</v>
      </c>
      <c r="D1025" t="s">
        <v>57</v>
      </c>
      <c r="E1025" t="s">
        <v>86</v>
      </c>
      <c r="F1025" t="s">
        <v>58</v>
      </c>
      <c r="G1025" t="s">
        <v>59</v>
      </c>
      <c r="H1025" t="s">
        <v>60</v>
      </c>
      <c r="I1025" t="s">
        <v>129</v>
      </c>
      <c r="J1025" t="s">
        <v>86</v>
      </c>
      <c r="K1025" t="s">
        <v>61</v>
      </c>
      <c r="L1025" t="s">
        <v>62</v>
      </c>
      <c r="M1025" t="s">
        <v>63</v>
      </c>
      <c r="N1025" t="s">
        <v>64</v>
      </c>
      <c r="O1025" t="s">
        <v>381</v>
      </c>
      <c r="P1025" t="s">
        <v>65</v>
      </c>
      <c r="R1025">
        <v>10.6</v>
      </c>
      <c r="T1025">
        <v>9.1</v>
      </c>
      <c r="V1025">
        <v>12.3</v>
      </c>
      <c r="W1025" t="s">
        <v>66</v>
      </c>
      <c r="X1025" t="s">
        <v>67</v>
      </c>
      <c r="Y1025" t="s">
        <v>67</v>
      </c>
      <c r="Z1025" t="s">
        <v>68</v>
      </c>
      <c r="AB1025">
        <v>4</v>
      </c>
      <c r="AC1025" t="s">
        <v>61</v>
      </c>
      <c r="AJ1025" t="s">
        <v>69</v>
      </c>
      <c r="AY1025" t="s">
        <v>382</v>
      </c>
      <c r="AZ1025">
        <v>163462</v>
      </c>
      <c r="BA1025" t="s">
        <v>383</v>
      </c>
      <c r="BB1025" t="s">
        <v>384</v>
      </c>
      <c r="BC1025">
        <v>1987</v>
      </c>
      <c r="BD1025" t="s">
        <v>127</v>
      </c>
    </row>
    <row r="1026" spans="1:56" x14ac:dyDescent="0.35">
      <c r="A1026">
        <v>106898</v>
      </c>
      <c r="B1026" t="s">
        <v>969</v>
      </c>
      <c r="D1026" t="s">
        <v>85</v>
      </c>
      <c r="E1026" t="s">
        <v>86</v>
      </c>
      <c r="F1026" t="s">
        <v>58</v>
      </c>
      <c r="G1026" t="s">
        <v>59</v>
      </c>
      <c r="H1026" t="s">
        <v>60</v>
      </c>
      <c r="I1026" t="s">
        <v>177</v>
      </c>
      <c r="J1026" t="s">
        <v>86</v>
      </c>
      <c r="K1026" t="s">
        <v>61</v>
      </c>
      <c r="L1026" t="s">
        <v>62</v>
      </c>
      <c r="M1026" t="s">
        <v>63</v>
      </c>
      <c r="N1026" t="s">
        <v>64</v>
      </c>
      <c r="P1026" t="s">
        <v>100</v>
      </c>
      <c r="R1026">
        <v>12.7</v>
      </c>
      <c r="T1026">
        <v>11.5</v>
      </c>
      <c r="V1026">
        <v>14.2</v>
      </c>
      <c r="W1026" t="s">
        <v>66</v>
      </c>
      <c r="X1026" t="s">
        <v>67</v>
      </c>
      <c r="Y1026" t="s">
        <v>67</v>
      </c>
      <c r="Z1026" t="s">
        <v>68</v>
      </c>
      <c r="AB1026">
        <v>4</v>
      </c>
      <c r="AC1026" t="s">
        <v>61</v>
      </c>
      <c r="AJ1026" t="s">
        <v>69</v>
      </c>
      <c r="AY1026" t="s">
        <v>394</v>
      </c>
      <c r="AZ1026">
        <v>10432</v>
      </c>
      <c r="BA1026" t="s">
        <v>395</v>
      </c>
      <c r="BB1026" t="s">
        <v>396</v>
      </c>
      <c r="BC1026">
        <v>1983</v>
      </c>
      <c r="BD1026" t="s">
        <v>385</v>
      </c>
    </row>
    <row r="1027" spans="1:56" x14ac:dyDescent="0.35">
      <c r="A1027">
        <v>106898</v>
      </c>
      <c r="B1027" t="s">
        <v>969</v>
      </c>
      <c r="C1027" t="s">
        <v>195</v>
      </c>
      <c r="E1027" t="s">
        <v>86</v>
      </c>
      <c r="F1027" t="s">
        <v>58</v>
      </c>
      <c r="G1027" t="s">
        <v>59</v>
      </c>
      <c r="H1027" t="s">
        <v>60</v>
      </c>
      <c r="I1027" t="s">
        <v>392</v>
      </c>
      <c r="J1027" t="s">
        <v>86</v>
      </c>
      <c r="K1027" t="s">
        <v>61</v>
      </c>
      <c r="L1027" t="s">
        <v>62</v>
      </c>
      <c r="M1027" t="s">
        <v>63</v>
      </c>
      <c r="N1027" t="s">
        <v>64</v>
      </c>
      <c r="O1027" t="s">
        <v>955</v>
      </c>
      <c r="P1027" t="s">
        <v>65</v>
      </c>
      <c r="R1027">
        <v>16.600000000000001</v>
      </c>
      <c r="W1027" t="s">
        <v>66</v>
      </c>
      <c r="X1027" t="s">
        <v>67</v>
      </c>
      <c r="Y1027" t="s">
        <v>67</v>
      </c>
      <c r="Z1027" t="s">
        <v>68</v>
      </c>
      <c r="AB1027">
        <v>4</v>
      </c>
      <c r="AC1027" t="s">
        <v>61</v>
      </c>
      <c r="AJ1027" t="s">
        <v>69</v>
      </c>
      <c r="AY1027" t="s">
        <v>382</v>
      </c>
      <c r="AZ1027">
        <v>91316</v>
      </c>
      <c r="BA1027" t="s">
        <v>956</v>
      </c>
      <c r="BB1027" t="s">
        <v>957</v>
      </c>
      <c r="BC1027">
        <v>1982</v>
      </c>
      <c r="BD1027" t="s">
        <v>393</v>
      </c>
    </row>
    <row r="1028" spans="1:56" x14ac:dyDescent="0.35">
      <c r="A1028">
        <v>106934</v>
      </c>
      <c r="B1028" t="s">
        <v>970</v>
      </c>
      <c r="D1028" t="s">
        <v>971</v>
      </c>
      <c r="E1028" t="s">
        <v>86</v>
      </c>
      <c r="F1028" t="s">
        <v>58</v>
      </c>
      <c r="G1028" t="s">
        <v>59</v>
      </c>
      <c r="H1028" t="s">
        <v>60</v>
      </c>
      <c r="J1028">
        <v>5</v>
      </c>
      <c r="K1028" t="s">
        <v>61</v>
      </c>
      <c r="L1028" t="s">
        <v>190</v>
      </c>
      <c r="M1028" t="s">
        <v>63</v>
      </c>
      <c r="N1028" t="s">
        <v>64</v>
      </c>
      <c r="O1028">
        <v>5</v>
      </c>
      <c r="P1028" t="s">
        <v>65</v>
      </c>
      <c r="R1028">
        <v>4.3</v>
      </c>
      <c r="T1028">
        <v>4.01</v>
      </c>
      <c r="V1028">
        <v>4.62</v>
      </c>
      <c r="W1028" t="s">
        <v>66</v>
      </c>
      <c r="X1028" t="s">
        <v>67</v>
      </c>
      <c r="Y1028" t="s">
        <v>67</v>
      </c>
      <c r="Z1028" t="s">
        <v>68</v>
      </c>
      <c r="AB1028">
        <v>4</v>
      </c>
      <c r="AC1028" t="s">
        <v>61</v>
      </c>
      <c r="AJ1028" t="s">
        <v>69</v>
      </c>
      <c r="AY1028" t="s">
        <v>972</v>
      </c>
      <c r="AZ1028">
        <v>71675</v>
      </c>
      <c r="BA1028" t="s">
        <v>973</v>
      </c>
      <c r="BB1028" t="s">
        <v>974</v>
      </c>
      <c r="BC1028">
        <v>2003</v>
      </c>
      <c r="BD1028" t="s">
        <v>73</v>
      </c>
    </row>
    <row r="1029" spans="1:56" x14ac:dyDescent="0.35">
      <c r="A1029">
        <v>106945</v>
      </c>
      <c r="B1029" t="s">
        <v>975</v>
      </c>
      <c r="D1029" t="s">
        <v>57</v>
      </c>
      <c r="E1029">
        <v>99</v>
      </c>
      <c r="F1029" t="s">
        <v>58</v>
      </c>
      <c r="G1029" t="s">
        <v>59</v>
      </c>
      <c r="H1029" t="s">
        <v>60</v>
      </c>
      <c r="J1029">
        <v>30</v>
      </c>
      <c r="K1029" t="s">
        <v>61</v>
      </c>
      <c r="L1029" t="s">
        <v>74</v>
      </c>
      <c r="M1029" t="s">
        <v>63</v>
      </c>
      <c r="N1029" t="s">
        <v>64</v>
      </c>
      <c r="P1029" t="s">
        <v>65</v>
      </c>
      <c r="R1029">
        <v>67.3</v>
      </c>
      <c r="W1029" t="s">
        <v>66</v>
      </c>
      <c r="X1029" t="s">
        <v>67</v>
      </c>
      <c r="Y1029" t="s">
        <v>67</v>
      </c>
      <c r="Z1029" t="s">
        <v>68</v>
      </c>
      <c r="AB1029">
        <v>4</v>
      </c>
      <c r="AC1029" t="s">
        <v>61</v>
      </c>
      <c r="AJ1029" t="s">
        <v>69</v>
      </c>
      <c r="AY1029" t="s">
        <v>80</v>
      </c>
      <c r="AZ1029">
        <v>12859</v>
      </c>
      <c r="BA1029" t="s">
        <v>81</v>
      </c>
      <c r="BB1029" t="s">
        <v>82</v>
      </c>
      <c r="BC1029">
        <v>1988</v>
      </c>
      <c r="BD1029" t="s">
        <v>73</v>
      </c>
    </row>
    <row r="1030" spans="1:56" x14ac:dyDescent="0.35">
      <c r="A1030">
        <v>107028</v>
      </c>
      <c r="B1030" t="s">
        <v>976</v>
      </c>
      <c r="D1030" t="s">
        <v>57</v>
      </c>
      <c r="E1030" t="s">
        <v>86</v>
      </c>
      <c r="F1030" t="s">
        <v>58</v>
      </c>
      <c r="G1030" t="s">
        <v>59</v>
      </c>
      <c r="H1030" t="s">
        <v>60</v>
      </c>
      <c r="J1030" t="s">
        <v>86</v>
      </c>
      <c r="L1030" t="s">
        <v>74</v>
      </c>
      <c r="M1030" t="s">
        <v>63</v>
      </c>
      <c r="N1030" t="s">
        <v>64</v>
      </c>
      <c r="P1030" t="s">
        <v>65</v>
      </c>
      <c r="R1030">
        <v>1.4E-2</v>
      </c>
      <c r="T1030">
        <v>8.0000000000000002E-3</v>
      </c>
      <c r="V1030">
        <v>2.5000000000000001E-2</v>
      </c>
      <c r="W1030" t="s">
        <v>66</v>
      </c>
      <c r="X1030" t="s">
        <v>67</v>
      </c>
      <c r="Y1030" t="s">
        <v>67</v>
      </c>
      <c r="Z1030" t="s">
        <v>68</v>
      </c>
      <c r="AB1030">
        <v>4</v>
      </c>
      <c r="AC1030" t="s">
        <v>61</v>
      </c>
      <c r="AJ1030" t="s">
        <v>69</v>
      </c>
      <c r="AY1030" t="s">
        <v>144</v>
      </c>
      <c r="AZ1030">
        <v>12665</v>
      </c>
      <c r="BA1030" t="s">
        <v>145</v>
      </c>
      <c r="BB1030" t="s">
        <v>146</v>
      </c>
      <c r="BC1030">
        <v>1987</v>
      </c>
      <c r="BD1030" t="s">
        <v>90</v>
      </c>
    </row>
    <row r="1031" spans="1:56" x14ac:dyDescent="0.35">
      <c r="A1031">
        <v>107028</v>
      </c>
      <c r="B1031" t="s">
        <v>976</v>
      </c>
      <c r="D1031" t="s">
        <v>57</v>
      </c>
      <c r="E1031">
        <v>97</v>
      </c>
      <c r="F1031" t="s">
        <v>58</v>
      </c>
      <c r="G1031" t="s">
        <v>59</v>
      </c>
      <c r="H1031" t="s">
        <v>60</v>
      </c>
      <c r="J1031" t="s">
        <v>86</v>
      </c>
      <c r="K1031" t="s">
        <v>61</v>
      </c>
      <c r="L1031" t="s">
        <v>74</v>
      </c>
      <c r="M1031" t="s">
        <v>63</v>
      </c>
      <c r="N1031" t="s">
        <v>64</v>
      </c>
      <c r="P1031" t="s">
        <v>65</v>
      </c>
      <c r="R1031">
        <v>1.4E-2</v>
      </c>
      <c r="W1031" t="s">
        <v>66</v>
      </c>
      <c r="X1031" t="s">
        <v>67</v>
      </c>
      <c r="Y1031" t="s">
        <v>67</v>
      </c>
      <c r="Z1031" t="s">
        <v>68</v>
      </c>
      <c r="AB1031">
        <v>4</v>
      </c>
      <c r="AC1031" t="s">
        <v>61</v>
      </c>
      <c r="AJ1031" t="s">
        <v>69</v>
      </c>
      <c r="AY1031" t="s">
        <v>75</v>
      </c>
      <c r="AZ1031">
        <v>3217</v>
      </c>
      <c r="BA1031" t="s">
        <v>76</v>
      </c>
      <c r="BB1031" t="s">
        <v>77</v>
      </c>
      <c r="BC1031">
        <v>1990</v>
      </c>
      <c r="BD1031" t="s">
        <v>302</v>
      </c>
    </row>
    <row r="1032" spans="1:56" x14ac:dyDescent="0.35">
      <c r="A1032">
        <v>107028</v>
      </c>
      <c r="B1032" t="s">
        <v>976</v>
      </c>
      <c r="D1032" t="s">
        <v>57</v>
      </c>
      <c r="E1032">
        <v>97</v>
      </c>
      <c r="F1032" t="s">
        <v>58</v>
      </c>
      <c r="G1032" t="s">
        <v>59</v>
      </c>
      <c r="H1032" t="s">
        <v>60</v>
      </c>
      <c r="J1032">
        <v>30</v>
      </c>
      <c r="K1032" t="s">
        <v>61</v>
      </c>
      <c r="L1032" t="s">
        <v>74</v>
      </c>
      <c r="M1032" t="s">
        <v>63</v>
      </c>
      <c r="N1032" t="s">
        <v>64</v>
      </c>
      <c r="P1032" t="s">
        <v>65</v>
      </c>
      <c r="R1032">
        <v>2.7E-2</v>
      </c>
      <c r="T1032">
        <v>2.4E-2</v>
      </c>
      <c r="V1032">
        <v>0.03</v>
      </c>
      <c r="W1032" t="s">
        <v>66</v>
      </c>
      <c r="X1032" t="s">
        <v>67</v>
      </c>
      <c r="Y1032" t="s">
        <v>67</v>
      </c>
      <c r="Z1032" t="s">
        <v>68</v>
      </c>
      <c r="AB1032">
        <v>4</v>
      </c>
      <c r="AC1032" t="s">
        <v>61</v>
      </c>
      <c r="AJ1032" t="s">
        <v>69</v>
      </c>
      <c r="AY1032" t="s">
        <v>843</v>
      </c>
      <c r="AZ1032">
        <v>14754</v>
      </c>
      <c r="BA1032" t="s">
        <v>977</v>
      </c>
      <c r="BB1032" t="s">
        <v>978</v>
      </c>
      <c r="BC1032">
        <v>1989</v>
      </c>
      <c r="BD1032" t="s">
        <v>73</v>
      </c>
    </row>
    <row r="1033" spans="1:56" x14ac:dyDescent="0.35">
      <c r="A1033">
        <v>107028</v>
      </c>
      <c r="B1033" t="s">
        <v>976</v>
      </c>
      <c r="D1033" t="s">
        <v>57</v>
      </c>
      <c r="E1033" t="s">
        <v>86</v>
      </c>
      <c r="F1033" t="s">
        <v>58</v>
      </c>
      <c r="G1033" t="s">
        <v>59</v>
      </c>
      <c r="H1033" t="s">
        <v>60</v>
      </c>
      <c r="J1033">
        <v>1</v>
      </c>
      <c r="K1033" t="s">
        <v>387</v>
      </c>
      <c r="L1033" t="s">
        <v>62</v>
      </c>
      <c r="M1033" t="s">
        <v>63</v>
      </c>
      <c r="N1033" t="s">
        <v>64</v>
      </c>
      <c r="P1033" t="s">
        <v>65</v>
      </c>
      <c r="R1033">
        <v>4.4999999999999998E-2</v>
      </c>
      <c r="W1033" t="s">
        <v>66</v>
      </c>
      <c r="X1033" t="s">
        <v>67</v>
      </c>
      <c r="Y1033" t="s">
        <v>67</v>
      </c>
      <c r="Z1033" t="s">
        <v>68</v>
      </c>
      <c r="AB1033">
        <v>4</v>
      </c>
      <c r="AC1033" t="s">
        <v>61</v>
      </c>
      <c r="AJ1033" t="s">
        <v>69</v>
      </c>
      <c r="AY1033" t="s">
        <v>388</v>
      </c>
      <c r="AZ1033">
        <v>45758</v>
      </c>
      <c r="BA1033" t="s">
        <v>389</v>
      </c>
      <c r="BB1033" t="s">
        <v>390</v>
      </c>
      <c r="BC1033">
        <v>1982</v>
      </c>
      <c r="BD1033" t="s">
        <v>391</v>
      </c>
    </row>
    <row r="1034" spans="1:56" x14ac:dyDescent="0.35">
      <c r="A1034">
        <v>107028</v>
      </c>
      <c r="B1034" t="s">
        <v>976</v>
      </c>
      <c r="D1034" t="s">
        <v>57</v>
      </c>
      <c r="E1034" t="s">
        <v>79</v>
      </c>
      <c r="F1034" t="s">
        <v>58</v>
      </c>
      <c r="G1034" t="s">
        <v>59</v>
      </c>
      <c r="H1034" t="s">
        <v>60</v>
      </c>
      <c r="J1034">
        <v>32</v>
      </c>
      <c r="K1034" t="s">
        <v>61</v>
      </c>
      <c r="L1034" t="s">
        <v>74</v>
      </c>
      <c r="M1034" t="s">
        <v>63</v>
      </c>
      <c r="N1034" t="s">
        <v>64</v>
      </c>
      <c r="P1034" t="s">
        <v>65</v>
      </c>
      <c r="R1034">
        <v>1.95E-2</v>
      </c>
      <c r="T1034">
        <v>1.7299999999999999E-2</v>
      </c>
      <c r="V1034">
        <v>2.1999999999999999E-2</v>
      </c>
      <c r="W1034" t="s">
        <v>66</v>
      </c>
      <c r="X1034" t="s">
        <v>67</v>
      </c>
      <c r="Y1034" t="s">
        <v>67</v>
      </c>
      <c r="Z1034" t="s">
        <v>68</v>
      </c>
      <c r="AB1034">
        <v>4</v>
      </c>
      <c r="AC1034" t="s">
        <v>61</v>
      </c>
      <c r="AJ1034" t="s">
        <v>69</v>
      </c>
      <c r="AY1034" t="s">
        <v>80</v>
      </c>
      <c r="AZ1034">
        <v>12859</v>
      </c>
      <c r="BA1034" t="s">
        <v>81</v>
      </c>
      <c r="BB1034" t="s">
        <v>82</v>
      </c>
      <c r="BC1034">
        <v>1988</v>
      </c>
      <c r="BD1034" t="s">
        <v>73</v>
      </c>
    </row>
    <row r="1035" spans="1:56" x14ac:dyDescent="0.35">
      <c r="A1035">
        <v>107028</v>
      </c>
      <c r="B1035" t="s">
        <v>976</v>
      </c>
      <c r="D1035" t="s">
        <v>57</v>
      </c>
      <c r="E1035" t="s">
        <v>86</v>
      </c>
      <c r="F1035" t="s">
        <v>58</v>
      </c>
      <c r="G1035" t="s">
        <v>59</v>
      </c>
      <c r="H1035" t="s">
        <v>60</v>
      </c>
      <c r="J1035">
        <v>1</v>
      </c>
      <c r="K1035" t="s">
        <v>387</v>
      </c>
      <c r="L1035" t="s">
        <v>74</v>
      </c>
      <c r="M1035" t="s">
        <v>63</v>
      </c>
      <c r="N1035" t="s">
        <v>64</v>
      </c>
      <c r="P1035" t="s">
        <v>65</v>
      </c>
      <c r="R1035">
        <v>6.0999999999999999E-2</v>
      </c>
      <c r="W1035" t="s">
        <v>66</v>
      </c>
      <c r="X1035" t="s">
        <v>67</v>
      </c>
      <c r="Y1035" t="s">
        <v>67</v>
      </c>
      <c r="Z1035" t="s">
        <v>68</v>
      </c>
      <c r="AB1035">
        <v>4</v>
      </c>
      <c r="AC1035" t="s">
        <v>61</v>
      </c>
      <c r="AJ1035" t="s">
        <v>69</v>
      </c>
      <c r="AY1035" t="s">
        <v>388</v>
      </c>
      <c r="AZ1035">
        <v>45758</v>
      </c>
      <c r="BA1035" t="s">
        <v>389</v>
      </c>
      <c r="BB1035" t="s">
        <v>390</v>
      </c>
      <c r="BC1035">
        <v>1982</v>
      </c>
      <c r="BD1035" t="s">
        <v>391</v>
      </c>
    </row>
    <row r="1036" spans="1:56" x14ac:dyDescent="0.35">
      <c r="A1036">
        <v>107028</v>
      </c>
      <c r="B1036" t="s">
        <v>976</v>
      </c>
      <c r="D1036" t="s">
        <v>57</v>
      </c>
      <c r="E1036">
        <v>97</v>
      </c>
      <c r="F1036" t="s">
        <v>58</v>
      </c>
      <c r="G1036" t="s">
        <v>59</v>
      </c>
      <c r="H1036" t="s">
        <v>60</v>
      </c>
      <c r="J1036">
        <v>1</v>
      </c>
      <c r="K1036" t="s">
        <v>61</v>
      </c>
      <c r="L1036" t="s">
        <v>74</v>
      </c>
      <c r="M1036" t="s">
        <v>63</v>
      </c>
      <c r="N1036" t="s">
        <v>64</v>
      </c>
      <c r="P1036" t="s">
        <v>65</v>
      </c>
      <c r="R1036">
        <v>2.7E-2</v>
      </c>
      <c r="T1036">
        <v>2.4E-2</v>
      </c>
      <c r="V1036">
        <v>0.03</v>
      </c>
      <c r="W1036" t="s">
        <v>66</v>
      </c>
      <c r="X1036" t="s">
        <v>67</v>
      </c>
      <c r="Y1036" t="s">
        <v>67</v>
      </c>
      <c r="Z1036" t="s">
        <v>68</v>
      </c>
      <c r="AB1036">
        <v>4</v>
      </c>
      <c r="AC1036" t="s">
        <v>61</v>
      </c>
      <c r="AJ1036" t="s">
        <v>69</v>
      </c>
      <c r="AY1036" t="s">
        <v>843</v>
      </c>
      <c r="AZ1036">
        <v>14754</v>
      </c>
      <c r="BA1036" t="s">
        <v>977</v>
      </c>
      <c r="BB1036" t="s">
        <v>978</v>
      </c>
      <c r="BC1036">
        <v>1989</v>
      </c>
      <c r="BD1036" t="s">
        <v>73</v>
      </c>
    </row>
    <row r="1037" spans="1:56" x14ac:dyDescent="0.35">
      <c r="A1037">
        <v>107028</v>
      </c>
      <c r="B1037" t="s">
        <v>976</v>
      </c>
      <c r="D1037" t="s">
        <v>85</v>
      </c>
      <c r="E1037" t="s">
        <v>86</v>
      </c>
      <c r="F1037" t="s">
        <v>58</v>
      </c>
      <c r="G1037" t="s">
        <v>59</v>
      </c>
      <c r="H1037" t="s">
        <v>60</v>
      </c>
      <c r="J1037" t="s">
        <v>86</v>
      </c>
      <c r="L1037" t="s">
        <v>74</v>
      </c>
      <c r="M1037" t="s">
        <v>63</v>
      </c>
      <c r="N1037" t="s">
        <v>64</v>
      </c>
      <c r="P1037" t="s">
        <v>100</v>
      </c>
      <c r="R1037">
        <v>2.9700000000000001E-2</v>
      </c>
      <c r="T1037">
        <v>1.66E-2</v>
      </c>
      <c r="V1037">
        <v>4.0800000000000003E-2</v>
      </c>
      <c r="W1037" t="s">
        <v>66</v>
      </c>
      <c r="X1037" t="s">
        <v>67</v>
      </c>
      <c r="Y1037" t="s">
        <v>67</v>
      </c>
      <c r="Z1037" t="s">
        <v>68</v>
      </c>
      <c r="AB1037">
        <v>4</v>
      </c>
      <c r="AC1037" t="s">
        <v>61</v>
      </c>
      <c r="AJ1037" t="s">
        <v>69</v>
      </c>
      <c r="AY1037" t="s">
        <v>979</v>
      </c>
      <c r="AZ1037">
        <v>14314</v>
      </c>
      <c r="BA1037" t="s">
        <v>980</v>
      </c>
      <c r="BB1037" t="s">
        <v>981</v>
      </c>
      <c r="BC1037">
        <v>1986</v>
      </c>
      <c r="BD1037" t="s">
        <v>90</v>
      </c>
    </row>
    <row r="1038" spans="1:56" x14ac:dyDescent="0.35">
      <c r="A1038">
        <v>107028</v>
      </c>
      <c r="B1038" t="s">
        <v>976</v>
      </c>
      <c r="D1038" t="s">
        <v>85</v>
      </c>
      <c r="E1038">
        <v>97</v>
      </c>
      <c r="F1038" t="s">
        <v>58</v>
      </c>
      <c r="G1038" t="s">
        <v>59</v>
      </c>
      <c r="H1038" t="s">
        <v>60</v>
      </c>
      <c r="J1038" t="s">
        <v>86</v>
      </c>
      <c r="L1038" t="s">
        <v>62</v>
      </c>
      <c r="M1038" t="s">
        <v>63</v>
      </c>
      <c r="N1038" t="s">
        <v>64</v>
      </c>
      <c r="O1038">
        <v>6</v>
      </c>
      <c r="P1038" t="s">
        <v>65</v>
      </c>
      <c r="R1038">
        <v>0.15</v>
      </c>
      <c r="T1038">
        <v>0.12</v>
      </c>
      <c r="V1038">
        <v>0.2</v>
      </c>
      <c r="W1038" t="s">
        <v>66</v>
      </c>
      <c r="X1038" t="s">
        <v>67</v>
      </c>
      <c r="Y1038" t="s">
        <v>67</v>
      </c>
      <c r="Z1038" t="s">
        <v>68</v>
      </c>
      <c r="AB1038">
        <v>4</v>
      </c>
      <c r="AC1038" t="s">
        <v>61</v>
      </c>
      <c r="AJ1038" t="s">
        <v>69</v>
      </c>
      <c r="AY1038" t="s">
        <v>351</v>
      </c>
      <c r="AZ1038">
        <v>9994</v>
      </c>
      <c r="BA1038" t="s">
        <v>352</v>
      </c>
      <c r="BB1038" t="s">
        <v>353</v>
      </c>
      <c r="BC1038">
        <v>1982</v>
      </c>
      <c r="BD1038" t="s">
        <v>90</v>
      </c>
    </row>
    <row r="1039" spans="1:56" x14ac:dyDescent="0.35">
      <c r="A1039">
        <v>107051</v>
      </c>
      <c r="B1039" t="s">
        <v>982</v>
      </c>
      <c r="D1039" t="s">
        <v>85</v>
      </c>
      <c r="E1039" t="s">
        <v>86</v>
      </c>
      <c r="F1039" t="s">
        <v>58</v>
      </c>
      <c r="G1039" t="s">
        <v>59</v>
      </c>
      <c r="H1039" t="s">
        <v>60</v>
      </c>
      <c r="J1039" t="s">
        <v>86</v>
      </c>
      <c r="L1039" t="s">
        <v>62</v>
      </c>
      <c r="M1039" t="s">
        <v>63</v>
      </c>
      <c r="N1039" t="s">
        <v>64</v>
      </c>
      <c r="P1039" t="s">
        <v>100</v>
      </c>
      <c r="R1039">
        <v>24</v>
      </c>
      <c r="T1039">
        <v>18.88</v>
      </c>
      <c r="V1039">
        <v>30.51</v>
      </c>
      <c r="W1039" t="s">
        <v>66</v>
      </c>
      <c r="X1039" t="s">
        <v>67</v>
      </c>
      <c r="Y1039" t="s">
        <v>67</v>
      </c>
      <c r="Z1039" t="s">
        <v>68</v>
      </c>
      <c r="AB1039">
        <v>4</v>
      </c>
      <c r="AC1039" t="s">
        <v>61</v>
      </c>
      <c r="AJ1039" t="s">
        <v>69</v>
      </c>
      <c r="AY1039" t="s">
        <v>168</v>
      </c>
      <c r="AZ1039">
        <v>728</v>
      </c>
      <c r="BA1039" t="s">
        <v>426</v>
      </c>
      <c r="BB1039" t="s">
        <v>427</v>
      </c>
      <c r="BC1039">
        <v>1966</v>
      </c>
      <c r="BD1039" t="s">
        <v>90</v>
      </c>
    </row>
    <row r="1040" spans="1:56" x14ac:dyDescent="0.35">
      <c r="A1040">
        <v>107051</v>
      </c>
      <c r="B1040" t="s">
        <v>982</v>
      </c>
      <c r="D1040" t="s">
        <v>85</v>
      </c>
      <c r="E1040" t="s">
        <v>86</v>
      </c>
      <c r="F1040" t="s">
        <v>58</v>
      </c>
      <c r="G1040" t="s">
        <v>59</v>
      </c>
      <c r="H1040" t="s">
        <v>60</v>
      </c>
      <c r="J1040" t="s">
        <v>86</v>
      </c>
      <c r="L1040" t="s">
        <v>62</v>
      </c>
      <c r="M1040" t="s">
        <v>63</v>
      </c>
      <c r="N1040" t="s">
        <v>64</v>
      </c>
      <c r="P1040" t="s">
        <v>100</v>
      </c>
      <c r="R1040">
        <v>19.78</v>
      </c>
      <c r="T1040">
        <v>14.97</v>
      </c>
      <c r="V1040">
        <v>24.78</v>
      </c>
      <c r="W1040" t="s">
        <v>66</v>
      </c>
      <c r="X1040" t="s">
        <v>67</v>
      </c>
      <c r="Y1040" t="s">
        <v>67</v>
      </c>
      <c r="Z1040" t="s">
        <v>68</v>
      </c>
      <c r="AB1040">
        <v>4</v>
      </c>
      <c r="AC1040" t="s">
        <v>61</v>
      </c>
      <c r="AJ1040" t="s">
        <v>69</v>
      </c>
      <c r="AY1040" t="s">
        <v>168</v>
      </c>
      <c r="AZ1040">
        <v>728</v>
      </c>
      <c r="BA1040" t="s">
        <v>426</v>
      </c>
      <c r="BB1040" t="s">
        <v>427</v>
      </c>
      <c r="BC1040">
        <v>1966</v>
      </c>
      <c r="BD1040" t="s">
        <v>90</v>
      </c>
    </row>
    <row r="1041" spans="1:56" x14ac:dyDescent="0.35">
      <c r="A1041">
        <v>107062</v>
      </c>
      <c r="B1041" t="s">
        <v>983</v>
      </c>
      <c r="D1041" t="s">
        <v>57</v>
      </c>
      <c r="E1041" t="s">
        <v>86</v>
      </c>
      <c r="F1041" t="s">
        <v>58</v>
      </c>
      <c r="G1041" t="s">
        <v>59</v>
      </c>
      <c r="H1041" t="s">
        <v>60</v>
      </c>
      <c r="J1041" t="s">
        <v>86</v>
      </c>
      <c r="K1041" t="s">
        <v>61</v>
      </c>
      <c r="L1041" t="s">
        <v>74</v>
      </c>
      <c r="M1041" t="s">
        <v>63</v>
      </c>
      <c r="N1041" t="s">
        <v>64</v>
      </c>
      <c r="P1041" t="s">
        <v>65</v>
      </c>
      <c r="R1041">
        <v>116</v>
      </c>
      <c r="T1041">
        <v>110</v>
      </c>
      <c r="V1041">
        <v>123</v>
      </c>
      <c r="W1041" t="s">
        <v>66</v>
      </c>
      <c r="X1041" t="s">
        <v>67</v>
      </c>
      <c r="Y1041" t="s">
        <v>67</v>
      </c>
      <c r="Z1041" t="s">
        <v>68</v>
      </c>
      <c r="AB1041">
        <v>4</v>
      </c>
      <c r="AC1041" t="s">
        <v>61</v>
      </c>
      <c r="AJ1041" t="s">
        <v>69</v>
      </c>
      <c r="AY1041" t="s">
        <v>404</v>
      </c>
      <c r="AZ1041">
        <v>11227</v>
      </c>
      <c r="BA1041" t="s">
        <v>405</v>
      </c>
      <c r="BB1041" t="s">
        <v>406</v>
      </c>
      <c r="BC1041">
        <v>1983</v>
      </c>
      <c r="BD1041" t="s">
        <v>127</v>
      </c>
    </row>
    <row r="1042" spans="1:56" x14ac:dyDescent="0.35">
      <c r="A1042">
        <v>107062</v>
      </c>
      <c r="B1042" t="s">
        <v>983</v>
      </c>
      <c r="D1042" t="s">
        <v>57</v>
      </c>
      <c r="E1042">
        <v>99</v>
      </c>
      <c r="F1042" t="s">
        <v>58</v>
      </c>
      <c r="G1042" t="s">
        <v>59</v>
      </c>
      <c r="H1042" t="s">
        <v>60</v>
      </c>
      <c r="J1042">
        <v>31</v>
      </c>
      <c r="K1042" t="s">
        <v>61</v>
      </c>
      <c r="L1042" t="s">
        <v>74</v>
      </c>
      <c r="M1042" t="s">
        <v>63</v>
      </c>
      <c r="N1042" t="s">
        <v>64</v>
      </c>
      <c r="O1042">
        <v>6</v>
      </c>
      <c r="P1042" t="s">
        <v>65</v>
      </c>
      <c r="R1042">
        <v>136</v>
      </c>
      <c r="T1042">
        <v>129</v>
      </c>
      <c r="V1042">
        <v>144</v>
      </c>
      <c r="W1042" t="s">
        <v>66</v>
      </c>
      <c r="X1042" t="s">
        <v>67</v>
      </c>
      <c r="Y1042" t="s">
        <v>67</v>
      </c>
      <c r="Z1042" t="s">
        <v>68</v>
      </c>
      <c r="AB1042">
        <v>4</v>
      </c>
      <c r="AC1042" t="s">
        <v>61</v>
      </c>
      <c r="AJ1042" t="s">
        <v>69</v>
      </c>
      <c r="AY1042" t="s">
        <v>141</v>
      </c>
      <c r="AZ1042">
        <v>12447</v>
      </c>
      <c r="BA1042" t="s">
        <v>142</v>
      </c>
      <c r="BB1042" t="s">
        <v>143</v>
      </c>
      <c r="BC1042">
        <v>1985</v>
      </c>
      <c r="BD1042" t="s">
        <v>73</v>
      </c>
    </row>
    <row r="1043" spans="1:56" x14ac:dyDescent="0.35">
      <c r="A1043">
        <v>107073</v>
      </c>
      <c r="B1043" t="s">
        <v>984</v>
      </c>
      <c r="D1043" t="s">
        <v>57</v>
      </c>
      <c r="E1043">
        <v>99</v>
      </c>
      <c r="F1043" t="s">
        <v>58</v>
      </c>
      <c r="G1043" t="s">
        <v>59</v>
      </c>
      <c r="H1043" t="s">
        <v>60</v>
      </c>
      <c r="J1043">
        <v>32</v>
      </c>
      <c r="K1043" t="s">
        <v>61</v>
      </c>
      <c r="L1043" t="s">
        <v>74</v>
      </c>
      <c r="M1043" t="s">
        <v>63</v>
      </c>
      <c r="N1043" t="s">
        <v>64</v>
      </c>
      <c r="P1043" t="s">
        <v>65</v>
      </c>
      <c r="R1043">
        <v>37</v>
      </c>
      <c r="T1043">
        <v>35</v>
      </c>
      <c r="V1043">
        <v>40</v>
      </c>
      <c r="W1043" t="s">
        <v>66</v>
      </c>
      <c r="X1043" t="s">
        <v>67</v>
      </c>
      <c r="Y1043" t="s">
        <v>67</v>
      </c>
      <c r="Z1043" t="s">
        <v>68</v>
      </c>
      <c r="AB1043">
        <v>4</v>
      </c>
      <c r="AC1043" t="s">
        <v>61</v>
      </c>
      <c r="AJ1043" t="s">
        <v>69</v>
      </c>
      <c r="AY1043" t="s">
        <v>286</v>
      </c>
      <c r="AZ1043">
        <v>12448</v>
      </c>
      <c r="BA1043" t="s">
        <v>287</v>
      </c>
      <c r="BB1043" t="s">
        <v>288</v>
      </c>
      <c r="BC1043">
        <v>1984</v>
      </c>
      <c r="BD1043" t="s">
        <v>73</v>
      </c>
    </row>
    <row r="1044" spans="1:56" x14ac:dyDescent="0.35">
      <c r="A1044">
        <v>107073</v>
      </c>
      <c r="B1044" t="s">
        <v>984</v>
      </c>
      <c r="D1044" t="s">
        <v>57</v>
      </c>
      <c r="E1044">
        <v>99</v>
      </c>
      <c r="F1044" t="s">
        <v>58</v>
      </c>
      <c r="G1044" t="s">
        <v>59</v>
      </c>
      <c r="H1044" t="s">
        <v>60</v>
      </c>
      <c r="J1044">
        <v>30</v>
      </c>
      <c r="K1044" t="s">
        <v>61</v>
      </c>
      <c r="L1044" t="s">
        <v>74</v>
      </c>
      <c r="M1044" t="s">
        <v>63</v>
      </c>
      <c r="N1044" t="s">
        <v>64</v>
      </c>
      <c r="P1044" t="s">
        <v>65</v>
      </c>
      <c r="R1044">
        <v>73.099999999999994</v>
      </c>
      <c r="T1044">
        <v>64.900000000000006</v>
      </c>
      <c r="V1044">
        <v>82.3</v>
      </c>
      <c r="W1044" t="s">
        <v>66</v>
      </c>
      <c r="X1044" t="s">
        <v>67</v>
      </c>
      <c r="Y1044" t="s">
        <v>67</v>
      </c>
      <c r="Z1044" t="s">
        <v>68</v>
      </c>
      <c r="AB1044">
        <v>4</v>
      </c>
      <c r="AC1044" t="s">
        <v>61</v>
      </c>
      <c r="AJ1044" t="s">
        <v>69</v>
      </c>
      <c r="AY1044" t="s">
        <v>286</v>
      </c>
      <c r="AZ1044">
        <v>12448</v>
      </c>
      <c r="BA1044" t="s">
        <v>287</v>
      </c>
      <c r="BB1044" t="s">
        <v>288</v>
      </c>
      <c r="BC1044">
        <v>1984</v>
      </c>
      <c r="BD1044" t="s">
        <v>73</v>
      </c>
    </row>
    <row r="1045" spans="1:56" x14ac:dyDescent="0.35">
      <c r="A1045">
        <v>107073</v>
      </c>
      <c r="B1045" t="s">
        <v>984</v>
      </c>
      <c r="D1045" t="s">
        <v>85</v>
      </c>
      <c r="E1045" t="s">
        <v>86</v>
      </c>
      <c r="F1045" t="s">
        <v>58</v>
      </c>
      <c r="G1045" t="s">
        <v>59</v>
      </c>
      <c r="H1045" t="s">
        <v>60</v>
      </c>
      <c r="J1045" t="s">
        <v>86</v>
      </c>
      <c r="L1045" t="s">
        <v>62</v>
      </c>
      <c r="M1045" t="s">
        <v>63</v>
      </c>
      <c r="N1045" t="s">
        <v>64</v>
      </c>
      <c r="P1045" t="s">
        <v>100</v>
      </c>
      <c r="R1045">
        <v>112</v>
      </c>
      <c r="T1045">
        <v>90</v>
      </c>
      <c r="V1045">
        <v>131</v>
      </c>
      <c r="W1045" t="s">
        <v>66</v>
      </c>
      <c r="X1045" t="s">
        <v>67</v>
      </c>
      <c r="Y1045" t="s">
        <v>67</v>
      </c>
      <c r="Z1045" t="s">
        <v>68</v>
      </c>
      <c r="AB1045">
        <v>4</v>
      </c>
      <c r="AC1045" t="s">
        <v>61</v>
      </c>
      <c r="AJ1045" t="s">
        <v>69</v>
      </c>
      <c r="AY1045" t="s">
        <v>481</v>
      </c>
      <c r="AZ1045">
        <v>10117</v>
      </c>
      <c r="BA1045" t="s">
        <v>482</v>
      </c>
      <c r="BB1045" t="s">
        <v>483</v>
      </c>
      <c r="BC1045">
        <v>1983</v>
      </c>
      <c r="BD1045" t="s">
        <v>90</v>
      </c>
    </row>
    <row r="1046" spans="1:56" x14ac:dyDescent="0.35">
      <c r="A1046">
        <v>107073</v>
      </c>
      <c r="B1046" t="s">
        <v>984</v>
      </c>
      <c r="E1046" t="s">
        <v>407</v>
      </c>
      <c r="F1046" t="s">
        <v>58</v>
      </c>
      <c r="G1046" t="s">
        <v>59</v>
      </c>
      <c r="H1046" t="s">
        <v>60</v>
      </c>
      <c r="J1046" t="s">
        <v>86</v>
      </c>
      <c r="L1046" t="s">
        <v>74</v>
      </c>
      <c r="M1046" t="s">
        <v>63</v>
      </c>
      <c r="P1046" t="s">
        <v>65</v>
      </c>
      <c r="R1046">
        <v>38.646768000000002</v>
      </c>
      <c r="W1046" t="s">
        <v>66</v>
      </c>
      <c r="X1046" t="s">
        <v>67</v>
      </c>
      <c r="Y1046" t="s">
        <v>67</v>
      </c>
      <c r="Z1046" t="s">
        <v>68</v>
      </c>
      <c r="AB1046">
        <v>4</v>
      </c>
      <c r="AC1046" t="s">
        <v>61</v>
      </c>
      <c r="AJ1046" t="s">
        <v>69</v>
      </c>
      <c r="AY1046" t="s">
        <v>408</v>
      </c>
      <c r="AZ1046">
        <v>5876</v>
      </c>
      <c r="BA1046" t="s">
        <v>409</v>
      </c>
      <c r="BB1046" t="s">
        <v>410</v>
      </c>
      <c r="BC1046">
        <v>1988</v>
      </c>
      <c r="BD1046" t="s">
        <v>90</v>
      </c>
    </row>
    <row r="1047" spans="1:56" x14ac:dyDescent="0.35">
      <c r="A1047">
        <v>107073</v>
      </c>
      <c r="B1047" t="s">
        <v>984</v>
      </c>
      <c r="D1047" t="s">
        <v>85</v>
      </c>
      <c r="E1047" t="s">
        <v>86</v>
      </c>
      <c r="F1047" t="s">
        <v>58</v>
      </c>
      <c r="G1047" t="s">
        <v>59</v>
      </c>
      <c r="H1047" t="s">
        <v>60</v>
      </c>
      <c r="J1047" t="s">
        <v>86</v>
      </c>
      <c r="L1047" t="s">
        <v>62</v>
      </c>
      <c r="M1047" t="s">
        <v>63</v>
      </c>
      <c r="N1047" t="s">
        <v>64</v>
      </c>
      <c r="P1047" t="s">
        <v>100</v>
      </c>
      <c r="R1047">
        <v>67</v>
      </c>
      <c r="T1047">
        <v>49</v>
      </c>
      <c r="V1047">
        <v>84</v>
      </c>
      <c r="W1047" t="s">
        <v>66</v>
      </c>
      <c r="X1047" t="s">
        <v>67</v>
      </c>
      <c r="Y1047" t="s">
        <v>67</v>
      </c>
      <c r="Z1047" t="s">
        <v>68</v>
      </c>
      <c r="AB1047">
        <v>4</v>
      </c>
      <c r="AC1047" t="s">
        <v>61</v>
      </c>
      <c r="AJ1047" t="s">
        <v>69</v>
      </c>
      <c r="AY1047" t="s">
        <v>481</v>
      </c>
      <c r="AZ1047">
        <v>10117</v>
      </c>
      <c r="BA1047" t="s">
        <v>482</v>
      </c>
      <c r="BB1047" t="s">
        <v>483</v>
      </c>
      <c r="BC1047">
        <v>1983</v>
      </c>
      <c r="BD1047" t="s">
        <v>90</v>
      </c>
    </row>
    <row r="1048" spans="1:56" x14ac:dyDescent="0.35">
      <c r="A1048">
        <v>107073</v>
      </c>
      <c r="B1048" t="s">
        <v>984</v>
      </c>
      <c r="D1048" t="s">
        <v>57</v>
      </c>
      <c r="E1048" t="s">
        <v>128</v>
      </c>
      <c r="F1048" t="s">
        <v>58</v>
      </c>
      <c r="G1048" t="s">
        <v>59</v>
      </c>
      <c r="H1048" t="s">
        <v>60</v>
      </c>
      <c r="I1048" t="s">
        <v>129</v>
      </c>
      <c r="J1048" t="s">
        <v>86</v>
      </c>
      <c r="K1048" t="s">
        <v>61</v>
      </c>
      <c r="L1048" t="s">
        <v>74</v>
      </c>
      <c r="M1048" t="s">
        <v>63</v>
      </c>
      <c r="N1048" t="s">
        <v>64</v>
      </c>
      <c r="P1048" t="s">
        <v>65</v>
      </c>
      <c r="R1048">
        <v>74.2</v>
      </c>
      <c r="W1048" t="s">
        <v>66</v>
      </c>
      <c r="X1048" t="s">
        <v>67</v>
      </c>
      <c r="Y1048" t="s">
        <v>67</v>
      </c>
      <c r="Z1048" t="s">
        <v>68</v>
      </c>
      <c r="AB1048">
        <v>4</v>
      </c>
      <c r="AC1048" t="s">
        <v>61</v>
      </c>
      <c r="AJ1048" t="s">
        <v>69</v>
      </c>
      <c r="AY1048" t="s">
        <v>134</v>
      </c>
      <c r="AZ1048">
        <v>15031</v>
      </c>
      <c r="BA1048" t="s">
        <v>135</v>
      </c>
      <c r="BB1048" t="s">
        <v>136</v>
      </c>
      <c r="BC1048">
        <v>1995</v>
      </c>
      <c r="BD1048" t="s">
        <v>133</v>
      </c>
    </row>
    <row r="1049" spans="1:56" x14ac:dyDescent="0.35">
      <c r="A1049">
        <v>107073</v>
      </c>
      <c r="B1049" t="s">
        <v>984</v>
      </c>
      <c r="D1049" t="s">
        <v>57</v>
      </c>
      <c r="E1049">
        <v>99</v>
      </c>
      <c r="F1049" t="s">
        <v>58</v>
      </c>
      <c r="G1049" t="s">
        <v>59</v>
      </c>
      <c r="H1049" t="s">
        <v>60</v>
      </c>
      <c r="J1049">
        <v>44</v>
      </c>
      <c r="K1049" t="s">
        <v>61</v>
      </c>
      <c r="L1049" t="s">
        <v>74</v>
      </c>
      <c r="M1049" t="s">
        <v>63</v>
      </c>
      <c r="N1049" t="s">
        <v>64</v>
      </c>
      <c r="P1049" t="s">
        <v>65</v>
      </c>
      <c r="R1049">
        <v>39.200000000000003</v>
      </c>
      <c r="T1049">
        <v>35.1</v>
      </c>
      <c r="V1049">
        <v>43.8</v>
      </c>
      <c r="W1049" t="s">
        <v>66</v>
      </c>
      <c r="X1049" t="s">
        <v>67</v>
      </c>
      <c r="Y1049" t="s">
        <v>67</v>
      </c>
      <c r="Z1049" t="s">
        <v>68</v>
      </c>
      <c r="AB1049">
        <v>4</v>
      </c>
      <c r="AC1049" t="s">
        <v>61</v>
      </c>
      <c r="AJ1049" t="s">
        <v>69</v>
      </c>
      <c r="AY1049" t="s">
        <v>141</v>
      </c>
      <c r="AZ1049">
        <v>12447</v>
      </c>
      <c r="BA1049" t="s">
        <v>142</v>
      </c>
      <c r="BB1049" t="s">
        <v>143</v>
      </c>
      <c r="BC1049">
        <v>1985</v>
      </c>
      <c r="BD1049" t="s">
        <v>73</v>
      </c>
    </row>
    <row r="1050" spans="1:56" x14ac:dyDescent="0.35">
      <c r="A1050">
        <v>107073</v>
      </c>
      <c r="B1050" t="s">
        <v>984</v>
      </c>
      <c r="D1050" t="s">
        <v>57</v>
      </c>
      <c r="E1050">
        <v>99</v>
      </c>
      <c r="F1050" t="s">
        <v>58</v>
      </c>
      <c r="G1050" t="s">
        <v>59</v>
      </c>
      <c r="H1050" t="s">
        <v>60</v>
      </c>
      <c r="J1050">
        <v>28</v>
      </c>
      <c r="K1050" t="s">
        <v>61</v>
      </c>
      <c r="L1050" t="s">
        <v>74</v>
      </c>
      <c r="M1050" t="s">
        <v>63</v>
      </c>
      <c r="N1050" t="s">
        <v>64</v>
      </c>
      <c r="P1050" t="s">
        <v>65</v>
      </c>
      <c r="R1050">
        <v>83.7</v>
      </c>
      <c r="T1050">
        <v>75</v>
      </c>
      <c r="V1050">
        <v>93.4</v>
      </c>
      <c r="W1050" t="s">
        <v>66</v>
      </c>
      <c r="X1050" t="s">
        <v>67</v>
      </c>
      <c r="Y1050" t="s">
        <v>67</v>
      </c>
      <c r="Z1050" t="s">
        <v>68</v>
      </c>
      <c r="AB1050">
        <v>4</v>
      </c>
      <c r="AC1050" t="s">
        <v>61</v>
      </c>
      <c r="AJ1050" t="s">
        <v>69</v>
      </c>
      <c r="AY1050" t="s">
        <v>263</v>
      </c>
      <c r="AZ1050">
        <v>12858</v>
      </c>
      <c r="BA1050" t="s">
        <v>264</v>
      </c>
      <c r="BB1050" t="s">
        <v>265</v>
      </c>
      <c r="BC1050">
        <v>1986</v>
      </c>
      <c r="BD1050" t="s">
        <v>73</v>
      </c>
    </row>
    <row r="1051" spans="1:56" x14ac:dyDescent="0.35">
      <c r="A1051">
        <v>107073</v>
      </c>
      <c r="B1051" t="s">
        <v>984</v>
      </c>
      <c r="D1051" t="s">
        <v>57</v>
      </c>
      <c r="E1051">
        <v>99</v>
      </c>
      <c r="F1051" t="s">
        <v>58</v>
      </c>
      <c r="G1051" t="s">
        <v>59</v>
      </c>
      <c r="H1051" t="s">
        <v>60</v>
      </c>
      <c r="J1051">
        <v>30</v>
      </c>
      <c r="K1051" t="s">
        <v>61</v>
      </c>
      <c r="L1051" t="s">
        <v>74</v>
      </c>
      <c r="M1051" t="s">
        <v>63</v>
      </c>
      <c r="N1051" t="s">
        <v>64</v>
      </c>
      <c r="P1051" t="s">
        <v>65</v>
      </c>
      <c r="R1051">
        <v>50.5</v>
      </c>
      <c r="T1051">
        <v>43.5</v>
      </c>
      <c r="V1051">
        <v>58.7</v>
      </c>
      <c r="W1051" t="s">
        <v>66</v>
      </c>
      <c r="X1051" t="s">
        <v>67</v>
      </c>
      <c r="Y1051" t="s">
        <v>67</v>
      </c>
      <c r="Z1051" t="s">
        <v>68</v>
      </c>
      <c r="AB1051">
        <v>4</v>
      </c>
      <c r="AC1051" t="s">
        <v>61</v>
      </c>
      <c r="AJ1051" t="s">
        <v>69</v>
      </c>
      <c r="AY1051" t="s">
        <v>263</v>
      </c>
      <c r="AZ1051">
        <v>12858</v>
      </c>
      <c r="BA1051" t="s">
        <v>264</v>
      </c>
      <c r="BB1051" t="s">
        <v>265</v>
      </c>
      <c r="BC1051">
        <v>1986</v>
      </c>
      <c r="BD1051" t="s">
        <v>73</v>
      </c>
    </row>
    <row r="1052" spans="1:56" x14ac:dyDescent="0.35">
      <c r="A1052">
        <v>107073</v>
      </c>
      <c r="B1052" t="s">
        <v>984</v>
      </c>
      <c r="D1052" t="s">
        <v>57</v>
      </c>
      <c r="E1052">
        <v>98</v>
      </c>
      <c r="F1052" t="s">
        <v>58</v>
      </c>
      <c r="G1052" t="s">
        <v>59</v>
      </c>
      <c r="H1052" t="s">
        <v>60</v>
      </c>
      <c r="J1052" t="s">
        <v>86</v>
      </c>
      <c r="L1052" t="s">
        <v>74</v>
      </c>
      <c r="M1052" t="s">
        <v>63</v>
      </c>
      <c r="N1052" t="s">
        <v>64</v>
      </c>
      <c r="P1052" t="s">
        <v>65</v>
      </c>
      <c r="R1052">
        <v>38.4</v>
      </c>
      <c r="T1052">
        <v>32.799999999999997</v>
      </c>
      <c r="V1052">
        <v>44.9</v>
      </c>
      <c r="W1052" t="s">
        <v>66</v>
      </c>
      <c r="X1052" t="s">
        <v>67</v>
      </c>
      <c r="Y1052" t="s">
        <v>67</v>
      </c>
      <c r="Z1052" t="s">
        <v>68</v>
      </c>
      <c r="AB1052">
        <v>4</v>
      </c>
      <c r="AC1052" t="s">
        <v>61</v>
      </c>
      <c r="AJ1052" t="s">
        <v>69</v>
      </c>
      <c r="AY1052" t="s">
        <v>401</v>
      </c>
      <c r="AZ1052">
        <v>12004</v>
      </c>
      <c r="BA1052" t="s">
        <v>402</v>
      </c>
      <c r="BB1052" t="s">
        <v>403</v>
      </c>
      <c r="BC1052">
        <v>1985</v>
      </c>
      <c r="BD1052" t="s">
        <v>90</v>
      </c>
    </row>
    <row r="1053" spans="1:56" x14ac:dyDescent="0.35">
      <c r="A1053">
        <v>107073</v>
      </c>
      <c r="B1053" t="s">
        <v>984</v>
      </c>
      <c r="D1053" t="s">
        <v>57</v>
      </c>
      <c r="E1053">
        <v>98</v>
      </c>
      <c r="F1053" t="s">
        <v>58</v>
      </c>
      <c r="G1053" t="s">
        <v>59</v>
      </c>
      <c r="H1053" t="s">
        <v>60</v>
      </c>
      <c r="J1053" t="s">
        <v>86</v>
      </c>
      <c r="L1053" t="s">
        <v>74</v>
      </c>
      <c r="M1053" t="s">
        <v>63</v>
      </c>
      <c r="N1053" t="s">
        <v>64</v>
      </c>
      <c r="P1053" t="s">
        <v>65</v>
      </c>
      <c r="R1053">
        <v>38.9</v>
      </c>
      <c r="T1053">
        <v>33.200000000000003</v>
      </c>
      <c r="V1053">
        <v>45.6</v>
      </c>
      <c r="W1053" t="s">
        <v>66</v>
      </c>
      <c r="X1053" t="s">
        <v>67</v>
      </c>
      <c r="Y1053" t="s">
        <v>67</v>
      </c>
      <c r="Z1053" t="s">
        <v>68</v>
      </c>
      <c r="AB1053">
        <v>4</v>
      </c>
      <c r="AC1053" t="s">
        <v>61</v>
      </c>
      <c r="AJ1053" t="s">
        <v>69</v>
      </c>
      <c r="AY1053" t="s">
        <v>401</v>
      </c>
      <c r="AZ1053">
        <v>12004</v>
      </c>
      <c r="BA1053" t="s">
        <v>402</v>
      </c>
      <c r="BB1053" t="s">
        <v>403</v>
      </c>
      <c r="BC1053">
        <v>1985</v>
      </c>
      <c r="BD1053" t="s">
        <v>90</v>
      </c>
    </row>
    <row r="1054" spans="1:56" x14ac:dyDescent="0.35">
      <c r="A1054">
        <v>107073</v>
      </c>
      <c r="B1054" t="s">
        <v>984</v>
      </c>
      <c r="D1054" t="s">
        <v>57</v>
      </c>
      <c r="E1054" t="s">
        <v>128</v>
      </c>
      <c r="F1054" t="s">
        <v>58</v>
      </c>
      <c r="G1054" t="s">
        <v>59</v>
      </c>
      <c r="H1054" t="s">
        <v>60</v>
      </c>
      <c r="I1054" t="s">
        <v>129</v>
      </c>
      <c r="J1054" t="s">
        <v>86</v>
      </c>
      <c r="K1054" t="s">
        <v>61</v>
      </c>
      <c r="L1054" t="s">
        <v>74</v>
      </c>
      <c r="M1054" t="s">
        <v>63</v>
      </c>
      <c r="N1054" t="s">
        <v>64</v>
      </c>
      <c r="P1054" t="s">
        <v>65</v>
      </c>
      <c r="R1054">
        <v>79.2</v>
      </c>
      <c r="W1054" t="s">
        <v>66</v>
      </c>
      <c r="X1054" t="s">
        <v>67</v>
      </c>
      <c r="Y1054" t="s">
        <v>67</v>
      </c>
      <c r="Z1054" t="s">
        <v>68</v>
      </c>
      <c r="AB1054">
        <v>4</v>
      </c>
      <c r="AC1054" t="s">
        <v>61</v>
      </c>
      <c r="AJ1054" t="s">
        <v>69</v>
      </c>
      <c r="AY1054" t="s">
        <v>134</v>
      </c>
      <c r="AZ1054">
        <v>15031</v>
      </c>
      <c r="BA1054" t="s">
        <v>135</v>
      </c>
      <c r="BB1054" t="s">
        <v>136</v>
      </c>
      <c r="BC1054">
        <v>1995</v>
      </c>
      <c r="BD1054" t="s">
        <v>133</v>
      </c>
    </row>
    <row r="1055" spans="1:56" x14ac:dyDescent="0.35">
      <c r="A1055">
        <v>107073</v>
      </c>
      <c r="B1055" t="s">
        <v>984</v>
      </c>
      <c r="D1055" t="s">
        <v>57</v>
      </c>
      <c r="E1055" t="s">
        <v>86</v>
      </c>
      <c r="F1055" t="s">
        <v>58</v>
      </c>
      <c r="G1055" t="s">
        <v>59</v>
      </c>
      <c r="H1055" t="s">
        <v>60</v>
      </c>
      <c r="J1055" t="s">
        <v>86</v>
      </c>
      <c r="L1055" t="s">
        <v>74</v>
      </c>
      <c r="M1055" t="s">
        <v>63</v>
      </c>
      <c r="N1055" t="s">
        <v>64</v>
      </c>
      <c r="P1055" t="s">
        <v>65</v>
      </c>
      <c r="R1055">
        <v>39.5</v>
      </c>
      <c r="T1055">
        <v>35.299999999999997</v>
      </c>
      <c r="V1055">
        <v>44.2</v>
      </c>
      <c r="W1055" t="s">
        <v>66</v>
      </c>
      <c r="X1055" t="s">
        <v>67</v>
      </c>
      <c r="Y1055" t="s">
        <v>67</v>
      </c>
      <c r="Z1055" t="s">
        <v>68</v>
      </c>
      <c r="AB1055">
        <v>4</v>
      </c>
      <c r="AC1055" t="s">
        <v>61</v>
      </c>
      <c r="AJ1055" t="s">
        <v>69</v>
      </c>
      <c r="AY1055" t="s">
        <v>325</v>
      </c>
      <c r="AZ1055">
        <v>10775</v>
      </c>
      <c r="BA1055" t="s">
        <v>326</v>
      </c>
      <c r="BB1055" t="s">
        <v>327</v>
      </c>
      <c r="BC1055">
        <v>1985</v>
      </c>
      <c r="BD1055" t="s">
        <v>90</v>
      </c>
    </row>
    <row r="1056" spans="1:56" x14ac:dyDescent="0.35">
      <c r="A1056">
        <v>107108</v>
      </c>
      <c r="B1056" t="s">
        <v>985</v>
      </c>
      <c r="D1056" t="s">
        <v>57</v>
      </c>
      <c r="E1056">
        <v>98</v>
      </c>
      <c r="F1056" t="s">
        <v>58</v>
      </c>
      <c r="G1056" t="s">
        <v>59</v>
      </c>
      <c r="H1056" t="s">
        <v>60</v>
      </c>
      <c r="J1056">
        <v>31</v>
      </c>
      <c r="K1056" t="s">
        <v>61</v>
      </c>
      <c r="L1056" t="s">
        <v>74</v>
      </c>
      <c r="M1056" t="s">
        <v>63</v>
      </c>
      <c r="N1056" t="s">
        <v>64</v>
      </c>
      <c r="P1056" t="s">
        <v>65</v>
      </c>
      <c r="R1056">
        <v>308</v>
      </c>
      <c r="T1056">
        <v>296</v>
      </c>
      <c r="V1056">
        <v>320</v>
      </c>
      <c r="W1056" t="s">
        <v>66</v>
      </c>
      <c r="X1056" t="s">
        <v>67</v>
      </c>
      <c r="Y1056" t="s">
        <v>67</v>
      </c>
      <c r="Z1056" t="s">
        <v>68</v>
      </c>
      <c r="AB1056">
        <v>4</v>
      </c>
      <c r="AC1056" t="s">
        <v>61</v>
      </c>
      <c r="AJ1056" t="s">
        <v>69</v>
      </c>
      <c r="AY1056" t="s">
        <v>286</v>
      </c>
      <c r="AZ1056">
        <v>12448</v>
      </c>
      <c r="BA1056" t="s">
        <v>287</v>
      </c>
      <c r="BB1056" t="s">
        <v>288</v>
      </c>
      <c r="BC1056">
        <v>1984</v>
      </c>
      <c r="BD1056" t="s">
        <v>73</v>
      </c>
    </row>
    <row r="1057" spans="1:56" x14ac:dyDescent="0.35">
      <c r="A1057">
        <v>107120</v>
      </c>
      <c r="B1057" t="s">
        <v>986</v>
      </c>
      <c r="D1057" t="s">
        <v>57</v>
      </c>
      <c r="E1057">
        <v>99</v>
      </c>
      <c r="F1057" t="s">
        <v>58</v>
      </c>
      <c r="G1057" t="s">
        <v>59</v>
      </c>
      <c r="H1057" t="s">
        <v>60</v>
      </c>
      <c r="J1057">
        <v>32</v>
      </c>
      <c r="K1057" t="s">
        <v>61</v>
      </c>
      <c r="L1057" t="s">
        <v>74</v>
      </c>
      <c r="M1057" t="s">
        <v>63</v>
      </c>
      <c r="N1057" t="s">
        <v>64</v>
      </c>
      <c r="P1057" t="s">
        <v>65</v>
      </c>
      <c r="R1057">
        <v>1520</v>
      </c>
      <c r="T1057">
        <v>1450</v>
      </c>
      <c r="V1057">
        <v>1580</v>
      </c>
      <c r="W1057" t="s">
        <v>66</v>
      </c>
      <c r="X1057" t="s">
        <v>67</v>
      </c>
      <c r="Y1057" t="s">
        <v>67</v>
      </c>
      <c r="Z1057" t="s">
        <v>68</v>
      </c>
      <c r="AB1057">
        <v>4</v>
      </c>
      <c r="AC1057" t="s">
        <v>61</v>
      </c>
      <c r="AJ1057" t="s">
        <v>69</v>
      </c>
      <c r="AY1057" t="s">
        <v>75</v>
      </c>
      <c r="AZ1057">
        <v>3217</v>
      </c>
      <c r="BA1057" t="s">
        <v>76</v>
      </c>
      <c r="BB1057" t="s">
        <v>77</v>
      </c>
      <c r="BC1057">
        <v>1990</v>
      </c>
      <c r="BD1057" t="s">
        <v>73</v>
      </c>
    </row>
    <row r="1058" spans="1:56" x14ac:dyDescent="0.35">
      <c r="A1058">
        <v>107131</v>
      </c>
      <c r="B1058" t="s">
        <v>987</v>
      </c>
      <c r="C1058" t="s">
        <v>464</v>
      </c>
      <c r="D1058" t="s">
        <v>85</v>
      </c>
      <c r="E1058" t="s">
        <v>86</v>
      </c>
      <c r="F1058" t="s">
        <v>58</v>
      </c>
      <c r="G1058" t="s">
        <v>59</v>
      </c>
      <c r="H1058" t="s">
        <v>60</v>
      </c>
      <c r="J1058" t="s">
        <v>86</v>
      </c>
      <c r="L1058" t="s">
        <v>74</v>
      </c>
      <c r="M1058" t="s">
        <v>63</v>
      </c>
      <c r="N1058" t="s">
        <v>64</v>
      </c>
      <c r="P1058" t="s">
        <v>65</v>
      </c>
      <c r="R1058">
        <v>10.1</v>
      </c>
      <c r="W1058" t="s">
        <v>66</v>
      </c>
      <c r="X1058" t="s">
        <v>67</v>
      </c>
      <c r="Y1058" t="s">
        <v>67</v>
      </c>
      <c r="Z1058" t="s">
        <v>68</v>
      </c>
      <c r="AB1058">
        <v>4</v>
      </c>
      <c r="AC1058" t="s">
        <v>61</v>
      </c>
      <c r="AJ1058" t="s">
        <v>69</v>
      </c>
      <c r="AY1058" t="s">
        <v>465</v>
      </c>
      <c r="AZ1058">
        <v>923</v>
      </c>
      <c r="BA1058" t="s">
        <v>466</v>
      </c>
      <c r="BB1058" t="s">
        <v>467</v>
      </c>
      <c r="BC1058">
        <v>1961</v>
      </c>
      <c r="BD1058" t="s">
        <v>468</v>
      </c>
    </row>
    <row r="1059" spans="1:56" x14ac:dyDescent="0.35">
      <c r="A1059">
        <v>107131</v>
      </c>
      <c r="B1059" t="s">
        <v>987</v>
      </c>
      <c r="C1059" t="s">
        <v>464</v>
      </c>
      <c r="D1059" t="s">
        <v>85</v>
      </c>
      <c r="E1059" t="s">
        <v>86</v>
      </c>
      <c r="F1059" t="s">
        <v>58</v>
      </c>
      <c r="G1059" t="s">
        <v>59</v>
      </c>
      <c r="H1059" t="s">
        <v>60</v>
      </c>
      <c r="J1059" t="s">
        <v>86</v>
      </c>
      <c r="L1059" t="s">
        <v>62</v>
      </c>
      <c r="M1059" t="s">
        <v>63</v>
      </c>
      <c r="N1059" t="s">
        <v>64</v>
      </c>
      <c r="P1059" t="s">
        <v>65</v>
      </c>
      <c r="R1059">
        <v>18.100000000000001</v>
      </c>
      <c r="W1059" t="s">
        <v>66</v>
      </c>
      <c r="X1059" t="s">
        <v>67</v>
      </c>
      <c r="Y1059" t="s">
        <v>67</v>
      </c>
      <c r="Z1059" t="s">
        <v>68</v>
      </c>
      <c r="AB1059">
        <v>4</v>
      </c>
      <c r="AC1059" t="s">
        <v>61</v>
      </c>
      <c r="AJ1059" t="s">
        <v>69</v>
      </c>
      <c r="AY1059" t="s">
        <v>465</v>
      </c>
      <c r="AZ1059">
        <v>923</v>
      </c>
      <c r="BA1059" t="s">
        <v>466</v>
      </c>
      <c r="BB1059" t="s">
        <v>467</v>
      </c>
      <c r="BC1059">
        <v>1961</v>
      </c>
      <c r="BD1059" t="s">
        <v>468</v>
      </c>
    </row>
    <row r="1060" spans="1:56" x14ac:dyDescent="0.35">
      <c r="A1060">
        <v>107131</v>
      </c>
      <c r="B1060" t="s">
        <v>987</v>
      </c>
      <c r="D1060" t="s">
        <v>57</v>
      </c>
      <c r="E1060" t="s">
        <v>428</v>
      </c>
      <c r="F1060" t="s">
        <v>58</v>
      </c>
      <c r="G1060" t="s">
        <v>59</v>
      </c>
      <c r="H1060" t="s">
        <v>60</v>
      </c>
      <c r="I1060" t="s">
        <v>129</v>
      </c>
      <c r="J1060" t="s">
        <v>86</v>
      </c>
      <c r="K1060" t="s">
        <v>320</v>
      </c>
      <c r="L1060" t="s">
        <v>62</v>
      </c>
      <c r="M1060" t="s">
        <v>63</v>
      </c>
      <c r="N1060" t="s">
        <v>64</v>
      </c>
      <c r="O1060">
        <v>6</v>
      </c>
      <c r="P1060" t="s">
        <v>65</v>
      </c>
      <c r="R1060">
        <v>34</v>
      </c>
      <c r="T1060">
        <v>28</v>
      </c>
      <c r="V1060">
        <v>39</v>
      </c>
      <c r="W1060" t="s">
        <v>66</v>
      </c>
      <c r="X1060" t="s">
        <v>67</v>
      </c>
      <c r="Y1060" t="s">
        <v>67</v>
      </c>
      <c r="Z1060" t="s">
        <v>68</v>
      </c>
      <c r="AB1060">
        <v>4</v>
      </c>
      <c r="AC1060" t="s">
        <v>61</v>
      </c>
      <c r="AJ1060" t="s">
        <v>69</v>
      </c>
      <c r="AY1060" t="s">
        <v>979</v>
      </c>
      <c r="AZ1060">
        <v>17132</v>
      </c>
      <c r="BA1060" t="s">
        <v>988</v>
      </c>
      <c r="BB1060" t="s">
        <v>989</v>
      </c>
      <c r="BC1060">
        <v>1987</v>
      </c>
      <c r="BD1060" t="s">
        <v>990</v>
      </c>
    </row>
    <row r="1061" spans="1:56" x14ac:dyDescent="0.35">
      <c r="A1061">
        <v>107131</v>
      </c>
      <c r="B1061" t="s">
        <v>987</v>
      </c>
      <c r="D1061" t="s">
        <v>57</v>
      </c>
      <c r="E1061" t="s">
        <v>428</v>
      </c>
      <c r="F1061" t="s">
        <v>58</v>
      </c>
      <c r="G1061" t="s">
        <v>59</v>
      </c>
      <c r="H1061" t="s">
        <v>60</v>
      </c>
      <c r="I1061" t="s">
        <v>129</v>
      </c>
      <c r="J1061" t="s">
        <v>86</v>
      </c>
      <c r="K1061" t="s">
        <v>320</v>
      </c>
      <c r="L1061" t="s">
        <v>62</v>
      </c>
      <c r="M1061" t="s">
        <v>63</v>
      </c>
      <c r="N1061" t="s">
        <v>64</v>
      </c>
      <c r="O1061">
        <v>6</v>
      </c>
      <c r="P1061" t="s">
        <v>65</v>
      </c>
      <c r="R1061">
        <v>14</v>
      </c>
      <c r="T1061">
        <v>12</v>
      </c>
      <c r="V1061">
        <v>15</v>
      </c>
      <c r="W1061" t="s">
        <v>66</v>
      </c>
      <c r="X1061" t="s">
        <v>67</v>
      </c>
      <c r="Y1061" t="s">
        <v>67</v>
      </c>
      <c r="Z1061" t="s">
        <v>68</v>
      </c>
      <c r="AB1061">
        <v>4</v>
      </c>
      <c r="AC1061" t="s">
        <v>61</v>
      </c>
      <c r="AJ1061" t="s">
        <v>69</v>
      </c>
      <c r="AY1061" t="s">
        <v>979</v>
      </c>
      <c r="AZ1061">
        <v>17132</v>
      </c>
      <c r="BA1061" t="s">
        <v>988</v>
      </c>
      <c r="BB1061" t="s">
        <v>989</v>
      </c>
      <c r="BC1061">
        <v>1987</v>
      </c>
      <c r="BD1061" t="s">
        <v>990</v>
      </c>
    </row>
    <row r="1062" spans="1:56" x14ac:dyDescent="0.35">
      <c r="A1062">
        <v>107131</v>
      </c>
      <c r="B1062" t="s">
        <v>987</v>
      </c>
      <c r="C1062" t="s">
        <v>464</v>
      </c>
      <c r="D1062" t="s">
        <v>85</v>
      </c>
      <c r="E1062" t="s">
        <v>86</v>
      </c>
      <c r="F1062" t="s">
        <v>58</v>
      </c>
      <c r="G1062" t="s">
        <v>59</v>
      </c>
      <c r="H1062" t="s">
        <v>60</v>
      </c>
      <c r="J1062" t="s">
        <v>86</v>
      </c>
      <c r="L1062" t="s">
        <v>62</v>
      </c>
      <c r="M1062" t="s">
        <v>63</v>
      </c>
      <c r="N1062" t="s">
        <v>64</v>
      </c>
      <c r="P1062" t="s">
        <v>65</v>
      </c>
      <c r="R1062">
        <v>14.3</v>
      </c>
      <c r="W1062" t="s">
        <v>66</v>
      </c>
      <c r="X1062" t="s">
        <v>67</v>
      </c>
      <c r="Y1062" t="s">
        <v>67</v>
      </c>
      <c r="Z1062" t="s">
        <v>68</v>
      </c>
      <c r="AB1062">
        <v>4</v>
      </c>
      <c r="AC1062" t="s">
        <v>61</v>
      </c>
      <c r="AJ1062" t="s">
        <v>69</v>
      </c>
      <c r="AY1062" t="s">
        <v>465</v>
      </c>
      <c r="AZ1062">
        <v>923</v>
      </c>
      <c r="BA1062" t="s">
        <v>466</v>
      </c>
      <c r="BB1062" t="s">
        <v>467</v>
      </c>
      <c r="BC1062">
        <v>1961</v>
      </c>
      <c r="BD1062" t="s">
        <v>468</v>
      </c>
    </row>
    <row r="1063" spans="1:56" x14ac:dyDescent="0.35">
      <c r="A1063">
        <v>107131</v>
      </c>
      <c r="B1063" t="s">
        <v>987</v>
      </c>
      <c r="D1063" t="s">
        <v>57</v>
      </c>
      <c r="E1063" t="s">
        <v>428</v>
      </c>
      <c r="F1063" t="s">
        <v>58</v>
      </c>
      <c r="G1063" t="s">
        <v>59</v>
      </c>
      <c r="H1063" t="s">
        <v>60</v>
      </c>
      <c r="I1063" t="s">
        <v>129</v>
      </c>
      <c r="J1063" t="s">
        <v>86</v>
      </c>
      <c r="K1063" t="s">
        <v>320</v>
      </c>
      <c r="L1063" t="s">
        <v>74</v>
      </c>
      <c r="M1063" t="s">
        <v>63</v>
      </c>
      <c r="N1063" t="s">
        <v>64</v>
      </c>
      <c r="O1063">
        <v>6</v>
      </c>
      <c r="P1063" t="s">
        <v>65</v>
      </c>
      <c r="R1063">
        <v>8.3999999999999995E-3</v>
      </c>
      <c r="T1063">
        <v>6.7000000000000002E-3</v>
      </c>
      <c r="V1063">
        <v>1.4999999999999999E-2</v>
      </c>
      <c r="W1063" t="s">
        <v>66</v>
      </c>
      <c r="X1063" t="s">
        <v>67</v>
      </c>
      <c r="Y1063" t="s">
        <v>67</v>
      </c>
      <c r="Z1063" t="s">
        <v>68</v>
      </c>
      <c r="AB1063">
        <v>4</v>
      </c>
      <c r="AC1063" t="s">
        <v>61</v>
      </c>
      <c r="AJ1063" t="s">
        <v>69</v>
      </c>
      <c r="AY1063" t="s">
        <v>979</v>
      </c>
      <c r="AZ1063">
        <v>17132</v>
      </c>
      <c r="BA1063" t="s">
        <v>988</v>
      </c>
      <c r="BB1063" t="s">
        <v>989</v>
      </c>
      <c r="BC1063">
        <v>1987</v>
      </c>
      <c r="BD1063" t="s">
        <v>990</v>
      </c>
    </row>
    <row r="1064" spans="1:56" x14ac:dyDescent="0.35">
      <c r="A1064">
        <v>107142</v>
      </c>
      <c r="B1064" t="s">
        <v>991</v>
      </c>
      <c r="D1064" t="s">
        <v>85</v>
      </c>
      <c r="E1064" t="s">
        <v>407</v>
      </c>
      <c r="F1064" t="s">
        <v>58</v>
      </c>
      <c r="G1064" t="s">
        <v>59</v>
      </c>
      <c r="H1064" t="s">
        <v>60</v>
      </c>
      <c r="J1064">
        <v>32</v>
      </c>
      <c r="K1064" t="s">
        <v>61</v>
      </c>
      <c r="L1064" t="s">
        <v>74</v>
      </c>
      <c r="M1064" t="s">
        <v>63</v>
      </c>
      <c r="N1064" t="s">
        <v>64</v>
      </c>
      <c r="P1064" t="s">
        <v>65</v>
      </c>
      <c r="R1064">
        <v>1.35</v>
      </c>
      <c r="T1064">
        <v>1.1499999999999999</v>
      </c>
      <c r="V1064">
        <v>1.58</v>
      </c>
      <c r="W1064" t="s">
        <v>66</v>
      </c>
      <c r="X1064" t="s">
        <v>67</v>
      </c>
      <c r="Y1064" t="s">
        <v>67</v>
      </c>
      <c r="Z1064" t="s">
        <v>68</v>
      </c>
      <c r="AB1064">
        <v>4</v>
      </c>
      <c r="AC1064" t="s">
        <v>61</v>
      </c>
      <c r="AJ1064" t="s">
        <v>69</v>
      </c>
      <c r="AY1064" t="s">
        <v>286</v>
      </c>
      <c r="AZ1064">
        <v>12448</v>
      </c>
      <c r="BA1064" t="s">
        <v>287</v>
      </c>
      <c r="BB1064" t="s">
        <v>288</v>
      </c>
      <c r="BC1064">
        <v>1984</v>
      </c>
      <c r="BD1064" t="s">
        <v>73</v>
      </c>
    </row>
    <row r="1065" spans="1:56" x14ac:dyDescent="0.35">
      <c r="A1065">
        <v>107153</v>
      </c>
      <c r="B1065" t="s">
        <v>992</v>
      </c>
      <c r="D1065" t="s">
        <v>85</v>
      </c>
      <c r="E1065" t="s">
        <v>86</v>
      </c>
      <c r="F1065" t="s">
        <v>58</v>
      </c>
      <c r="G1065" t="s">
        <v>59</v>
      </c>
      <c r="H1065" t="s">
        <v>60</v>
      </c>
      <c r="J1065" t="s">
        <v>86</v>
      </c>
      <c r="L1065" t="s">
        <v>62</v>
      </c>
      <c r="M1065" t="s">
        <v>63</v>
      </c>
      <c r="N1065" t="s">
        <v>64</v>
      </c>
      <c r="O1065">
        <v>4</v>
      </c>
      <c r="P1065" t="s">
        <v>100</v>
      </c>
      <c r="Q1065" t="s">
        <v>153</v>
      </c>
      <c r="R1065">
        <v>1000</v>
      </c>
      <c r="W1065" t="s">
        <v>66</v>
      </c>
      <c r="X1065" t="s">
        <v>67</v>
      </c>
      <c r="Y1065" t="s">
        <v>67</v>
      </c>
      <c r="Z1065" t="s">
        <v>68</v>
      </c>
      <c r="AB1065">
        <v>4</v>
      </c>
      <c r="AC1065" t="s">
        <v>61</v>
      </c>
      <c r="AJ1065" t="s">
        <v>69</v>
      </c>
      <c r="AY1065" t="s">
        <v>173</v>
      </c>
      <c r="AZ1065">
        <v>167113</v>
      </c>
      <c r="BA1065" t="s">
        <v>174</v>
      </c>
      <c r="BB1065" t="s">
        <v>175</v>
      </c>
      <c r="BC1065">
        <v>1974</v>
      </c>
      <c r="BD1065" t="s">
        <v>90</v>
      </c>
    </row>
    <row r="1066" spans="1:56" x14ac:dyDescent="0.35">
      <c r="A1066">
        <v>107153</v>
      </c>
      <c r="B1066" t="s">
        <v>992</v>
      </c>
      <c r="D1066" t="s">
        <v>57</v>
      </c>
      <c r="E1066" t="s">
        <v>86</v>
      </c>
      <c r="F1066" t="s">
        <v>58</v>
      </c>
      <c r="G1066" t="s">
        <v>59</v>
      </c>
      <c r="H1066" t="s">
        <v>60</v>
      </c>
      <c r="J1066" t="s">
        <v>86</v>
      </c>
      <c r="L1066" t="s">
        <v>62</v>
      </c>
      <c r="M1066" t="s">
        <v>63</v>
      </c>
      <c r="N1066" t="s">
        <v>64</v>
      </c>
      <c r="O1066" t="s">
        <v>267</v>
      </c>
      <c r="P1066" t="s">
        <v>65</v>
      </c>
      <c r="R1066">
        <v>115.7</v>
      </c>
      <c r="T1066">
        <v>98.6</v>
      </c>
      <c r="V1066">
        <v>131.6</v>
      </c>
      <c r="W1066" t="s">
        <v>66</v>
      </c>
      <c r="X1066" t="s">
        <v>67</v>
      </c>
      <c r="Y1066" t="s">
        <v>67</v>
      </c>
      <c r="Z1066" t="s">
        <v>68</v>
      </c>
      <c r="AB1066">
        <v>4</v>
      </c>
      <c r="AC1066" t="s">
        <v>61</v>
      </c>
      <c r="AJ1066" t="s">
        <v>69</v>
      </c>
      <c r="AY1066" t="s">
        <v>268</v>
      </c>
      <c r="AZ1066">
        <v>2965</v>
      </c>
      <c r="BA1066" t="s">
        <v>269</v>
      </c>
      <c r="BB1066" t="s">
        <v>270</v>
      </c>
      <c r="BC1066">
        <v>1981</v>
      </c>
      <c r="BD1066" t="s">
        <v>90</v>
      </c>
    </row>
    <row r="1067" spans="1:56" x14ac:dyDescent="0.35">
      <c r="A1067">
        <v>107153</v>
      </c>
      <c r="B1067" t="s">
        <v>992</v>
      </c>
      <c r="D1067" t="s">
        <v>85</v>
      </c>
      <c r="E1067" t="s">
        <v>86</v>
      </c>
      <c r="F1067" t="s">
        <v>58</v>
      </c>
      <c r="G1067" t="s">
        <v>59</v>
      </c>
      <c r="H1067" t="s">
        <v>60</v>
      </c>
      <c r="J1067" t="s">
        <v>86</v>
      </c>
      <c r="L1067" t="s">
        <v>62</v>
      </c>
      <c r="M1067" t="s">
        <v>63</v>
      </c>
      <c r="N1067" t="s">
        <v>64</v>
      </c>
      <c r="O1067">
        <v>6</v>
      </c>
      <c r="P1067" t="s">
        <v>100</v>
      </c>
      <c r="Q1067" t="s">
        <v>153</v>
      </c>
      <c r="R1067">
        <v>11.5</v>
      </c>
      <c r="W1067" t="s">
        <v>66</v>
      </c>
      <c r="X1067" t="s">
        <v>67</v>
      </c>
      <c r="Y1067" t="s">
        <v>67</v>
      </c>
      <c r="Z1067" t="s">
        <v>68</v>
      </c>
      <c r="AB1067">
        <v>4</v>
      </c>
      <c r="AC1067" t="s">
        <v>61</v>
      </c>
      <c r="AJ1067" t="s">
        <v>69</v>
      </c>
      <c r="AY1067" t="s">
        <v>173</v>
      </c>
      <c r="AZ1067">
        <v>167113</v>
      </c>
      <c r="BA1067" t="s">
        <v>174</v>
      </c>
      <c r="BB1067" t="s">
        <v>175</v>
      </c>
      <c r="BC1067">
        <v>1974</v>
      </c>
      <c r="BD1067" t="s">
        <v>90</v>
      </c>
    </row>
    <row r="1068" spans="1:56" x14ac:dyDescent="0.35">
      <c r="A1068">
        <v>107153</v>
      </c>
      <c r="B1068" t="s">
        <v>992</v>
      </c>
      <c r="D1068" t="s">
        <v>57</v>
      </c>
      <c r="E1068">
        <v>99</v>
      </c>
      <c r="F1068" t="s">
        <v>58</v>
      </c>
      <c r="G1068" t="s">
        <v>59</v>
      </c>
      <c r="H1068" t="s">
        <v>60</v>
      </c>
      <c r="J1068">
        <v>31</v>
      </c>
      <c r="K1068" t="s">
        <v>61</v>
      </c>
      <c r="L1068" t="s">
        <v>74</v>
      </c>
      <c r="M1068" t="s">
        <v>63</v>
      </c>
      <c r="N1068" t="s">
        <v>64</v>
      </c>
      <c r="P1068" t="s">
        <v>65</v>
      </c>
      <c r="R1068">
        <v>220</v>
      </c>
      <c r="T1068">
        <v>191</v>
      </c>
      <c r="V1068">
        <v>254</v>
      </c>
      <c r="W1068" t="s">
        <v>66</v>
      </c>
      <c r="X1068" t="s">
        <v>67</v>
      </c>
      <c r="Y1068" t="s">
        <v>67</v>
      </c>
      <c r="Z1068" t="s">
        <v>68</v>
      </c>
      <c r="AB1068">
        <v>4</v>
      </c>
      <c r="AC1068" t="s">
        <v>61</v>
      </c>
      <c r="AJ1068" t="s">
        <v>69</v>
      </c>
      <c r="AY1068" t="s">
        <v>75</v>
      </c>
      <c r="AZ1068">
        <v>3217</v>
      </c>
      <c r="BA1068" t="s">
        <v>76</v>
      </c>
      <c r="BB1068" t="s">
        <v>77</v>
      </c>
      <c r="BC1068">
        <v>1990</v>
      </c>
      <c r="BD1068" t="s">
        <v>73</v>
      </c>
    </row>
    <row r="1069" spans="1:56" x14ac:dyDescent="0.35">
      <c r="A1069">
        <v>107186</v>
      </c>
      <c r="B1069" t="s">
        <v>993</v>
      </c>
      <c r="C1069" t="s">
        <v>195</v>
      </c>
      <c r="D1069" t="s">
        <v>85</v>
      </c>
      <c r="E1069" t="s">
        <v>86</v>
      </c>
      <c r="F1069" t="s">
        <v>58</v>
      </c>
      <c r="G1069" t="s">
        <v>59</v>
      </c>
      <c r="H1069" t="s">
        <v>60</v>
      </c>
      <c r="I1069" t="s">
        <v>129</v>
      </c>
      <c r="J1069" t="s">
        <v>86</v>
      </c>
      <c r="L1069" t="s">
        <v>62</v>
      </c>
      <c r="M1069" t="s">
        <v>63</v>
      </c>
      <c r="N1069" t="s">
        <v>64</v>
      </c>
      <c r="O1069">
        <v>5</v>
      </c>
      <c r="P1069" t="s">
        <v>65</v>
      </c>
      <c r="R1069">
        <v>0.32</v>
      </c>
      <c r="W1069" t="s">
        <v>66</v>
      </c>
      <c r="X1069" t="s">
        <v>67</v>
      </c>
      <c r="Y1069" t="s">
        <v>67</v>
      </c>
      <c r="Z1069" t="s">
        <v>68</v>
      </c>
      <c r="AB1069">
        <v>4</v>
      </c>
      <c r="AC1069" t="s">
        <v>61</v>
      </c>
      <c r="AJ1069" t="s">
        <v>69</v>
      </c>
      <c r="AY1069" t="s">
        <v>298</v>
      </c>
      <c r="AZ1069">
        <v>11951</v>
      </c>
      <c r="BA1069" t="s">
        <v>299</v>
      </c>
      <c r="BB1069" t="s">
        <v>300</v>
      </c>
      <c r="BC1069">
        <v>1986</v>
      </c>
      <c r="BD1069" t="s">
        <v>90</v>
      </c>
    </row>
    <row r="1070" spans="1:56" x14ac:dyDescent="0.35">
      <c r="A1070">
        <v>107186</v>
      </c>
      <c r="B1070" t="s">
        <v>993</v>
      </c>
      <c r="C1070" t="s">
        <v>195</v>
      </c>
      <c r="D1070" t="s">
        <v>85</v>
      </c>
      <c r="E1070" t="s">
        <v>86</v>
      </c>
      <c r="F1070" t="s">
        <v>58</v>
      </c>
      <c r="G1070" t="s">
        <v>59</v>
      </c>
      <c r="H1070" t="s">
        <v>60</v>
      </c>
      <c r="I1070" t="s">
        <v>129</v>
      </c>
      <c r="J1070" t="s">
        <v>86</v>
      </c>
      <c r="L1070" t="s">
        <v>62</v>
      </c>
      <c r="M1070" t="s">
        <v>63</v>
      </c>
      <c r="N1070" t="s">
        <v>64</v>
      </c>
      <c r="O1070">
        <v>5</v>
      </c>
      <c r="P1070" t="s">
        <v>65</v>
      </c>
      <c r="R1070">
        <v>0.32</v>
      </c>
      <c r="W1070" t="s">
        <v>66</v>
      </c>
      <c r="X1070" t="s">
        <v>67</v>
      </c>
      <c r="Y1070" t="s">
        <v>67</v>
      </c>
      <c r="Z1070" t="s">
        <v>68</v>
      </c>
      <c r="AB1070">
        <v>4</v>
      </c>
      <c r="AC1070" t="s">
        <v>61</v>
      </c>
      <c r="AJ1070" t="s">
        <v>69</v>
      </c>
      <c r="AY1070" t="s">
        <v>298</v>
      </c>
      <c r="AZ1070">
        <v>11951</v>
      </c>
      <c r="BA1070" t="s">
        <v>299</v>
      </c>
      <c r="BB1070" t="s">
        <v>300</v>
      </c>
      <c r="BC1070">
        <v>1986</v>
      </c>
      <c r="BD1070" t="s">
        <v>90</v>
      </c>
    </row>
    <row r="1071" spans="1:56" x14ac:dyDescent="0.35">
      <c r="A1071">
        <v>107186</v>
      </c>
      <c r="B1071" t="s">
        <v>993</v>
      </c>
      <c r="D1071" t="s">
        <v>57</v>
      </c>
      <c r="E1071" t="s">
        <v>79</v>
      </c>
      <c r="F1071" t="s">
        <v>58</v>
      </c>
      <c r="G1071" t="s">
        <v>59</v>
      </c>
      <c r="H1071" t="s">
        <v>60</v>
      </c>
      <c r="J1071">
        <v>28</v>
      </c>
      <c r="K1071" t="s">
        <v>61</v>
      </c>
      <c r="L1071" t="s">
        <v>74</v>
      </c>
      <c r="M1071" t="s">
        <v>63</v>
      </c>
      <c r="N1071" t="s">
        <v>64</v>
      </c>
      <c r="P1071" t="s">
        <v>65</v>
      </c>
      <c r="R1071">
        <v>0.32</v>
      </c>
      <c r="T1071">
        <v>0.28000000000000003</v>
      </c>
      <c r="V1071">
        <v>0.37</v>
      </c>
      <c r="W1071" t="s">
        <v>66</v>
      </c>
      <c r="X1071" t="s">
        <v>67</v>
      </c>
      <c r="Y1071" t="s">
        <v>67</v>
      </c>
      <c r="Z1071" t="s">
        <v>68</v>
      </c>
      <c r="AB1071">
        <v>4</v>
      </c>
      <c r="AC1071" t="s">
        <v>61</v>
      </c>
      <c r="AJ1071" t="s">
        <v>69</v>
      </c>
      <c r="AY1071" t="s">
        <v>75</v>
      </c>
      <c r="AZ1071">
        <v>3217</v>
      </c>
      <c r="BA1071" t="s">
        <v>76</v>
      </c>
      <c r="BB1071" t="s">
        <v>77</v>
      </c>
      <c r="BC1071">
        <v>1990</v>
      </c>
      <c r="BD1071" t="s">
        <v>73</v>
      </c>
    </row>
    <row r="1072" spans="1:56" x14ac:dyDescent="0.35">
      <c r="A1072">
        <v>107197</v>
      </c>
      <c r="B1072" t="s">
        <v>994</v>
      </c>
      <c r="D1072" t="s">
        <v>57</v>
      </c>
      <c r="E1072">
        <v>97</v>
      </c>
      <c r="F1072" t="s">
        <v>58</v>
      </c>
      <c r="G1072" t="s">
        <v>59</v>
      </c>
      <c r="H1072" t="s">
        <v>60</v>
      </c>
      <c r="J1072">
        <v>32</v>
      </c>
      <c r="K1072" t="s">
        <v>61</v>
      </c>
      <c r="L1072" t="s">
        <v>74</v>
      </c>
      <c r="M1072" t="s">
        <v>63</v>
      </c>
      <c r="N1072" t="s">
        <v>64</v>
      </c>
      <c r="P1072" t="s">
        <v>65</v>
      </c>
      <c r="R1072">
        <v>1.53</v>
      </c>
      <c r="T1072">
        <v>1.49</v>
      </c>
      <c r="V1072">
        <v>1.56</v>
      </c>
      <c r="W1072" t="s">
        <v>66</v>
      </c>
      <c r="X1072" t="s">
        <v>67</v>
      </c>
      <c r="Y1072" t="s">
        <v>67</v>
      </c>
      <c r="Z1072" t="s">
        <v>68</v>
      </c>
      <c r="AB1072">
        <v>4</v>
      </c>
      <c r="AC1072" t="s">
        <v>61</v>
      </c>
      <c r="AJ1072" t="s">
        <v>69</v>
      </c>
      <c r="AY1072" t="s">
        <v>263</v>
      </c>
      <c r="AZ1072">
        <v>12858</v>
      </c>
      <c r="BA1072" t="s">
        <v>264</v>
      </c>
      <c r="BB1072" t="s">
        <v>265</v>
      </c>
      <c r="BC1072">
        <v>1986</v>
      </c>
      <c r="BD1072" t="s">
        <v>73</v>
      </c>
    </row>
    <row r="1073" spans="1:56" x14ac:dyDescent="0.35">
      <c r="A1073">
        <v>107197</v>
      </c>
      <c r="B1073" t="s">
        <v>994</v>
      </c>
      <c r="D1073" t="s">
        <v>57</v>
      </c>
      <c r="E1073" t="s">
        <v>128</v>
      </c>
      <c r="F1073" t="s">
        <v>58</v>
      </c>
      <c r="G1073" t="s">
        <v>59</v>
      </c>
      <c r="H1073" t="s">
        <v>60</v>
      </c>
      <c r="I1073" t="s">
        <v>129</v>
      </c>
      <c r="J1073" t="s">
        <v>86</v>
      </c>
      <c r="K1073" t="s">
        <v>61</v>
      </c>
      <c r="L1073" t="s">
        <v>74</v>
      </c>
      <c r="M1073" t="s">
        <v>63</v>
      </c>
      <c r="N1073" t="s">
        <v>64</v>
      </c>
      <c r="P1073" t="s">
        <v>65</v>
      </c>
      <c r="R1073">
        <v>1.53</v>
      </c>
      <c r="T1073">
        <v>1.49</v>
      </c>
      <c r="V1073">
        <v>1.56</v>
      </c>
      <c r="W1073" t="s">
        <v>66</v>
      </c>
      <c r="X1073" t="s">
        <v>67</v>
      </c>
      <c r="Y1073" t="s">
        <v>67</v>
      </c>
      <c r="Z1073" t="s">
        <v>68</v>
      </c>
      <c r="AB1073">
        <v>4</v>
      </c>
      <c r="AC1073" t="s">
        <v>61</v>
      </c>
      <c r="AJ1073" t="s">
        <v>69</v>
      </c>
      <c r="AY1073" t="s">
        <v>541</v>
      </c>
      <c r="AZ1073">
        <v>2721</v>
      </c>
      <c r="BA1073" t="s">
        <v>542</v>
      </c>
      <c r="BB1073" t="s">
        <v>543</v>
      </c>
      <c r="BC1073">
        <v>1989</v>
      </c>
      <c r="BD1073" t="s">
        <v>544</v>
      </c>
    </row>
    <row r="1074" spans="1:56" x14ac:dyDescent="0.35">
      <c r="A1074">
        <v>107197</v>
      </c>
      <c r="B1074" t="s">
        <v>994</v>
      </c>
      <c r="D1074" t="s">
        <v>57</v>
      </c>
      <c r="E1074">
        <v>97</v>
      </c>
      <c r="F1074" t="s">
        <v>58</v>
      </c>
      <c r="G1074" t="s">
        <v>59</v>
      </c>
      <c r="H1074" t="s">
        <v>60</v>
      </c>
      <c r="J1074">
        <v>32</v>
      </c>
      <c r="K1074" t="s">
        <v>61</v>
      </c>
      <c r="L1074" t="s">
        <v>74</v>
      </c>
      <c r="M1074" t="s">
        <v>63</v>
      </c>
      <c r="N1074" t="s">
        <v>64</v>
      </c>
      <c r="O1074">
        <v>6</v>
      </c>
      <c r="P1074" t="s">
        <v>65</v>
      </c>
      <c r="R1074">
        <v>1.44</v>
      </c>
      <c r="T1074">
        <v>1.25</v>
      </c>
      <c r="V1074">
        <v>1.67</v>
      </c>
      <c r="W1074" t="s">
        <v>66</v>
      </c>
      <c r="X1074" t="s">
        <v>67</v>
      </c>
      <c r="Y1074" t="s">
        <v>67</v>
      </c>
      <c r="Z1074" t="s">
        <v>68</v>
      </c>
      <c r="AB1074">
        <v>4</v>
      </c>
      <c r="AC1074" t="s">
        <v>61</v>
      </c>
      <c r="AJ1074" t="s">
        <v>69</v>
      </c>
      <c r="AY1074" t="s">
        <v>80</v>
      </c>
      <c r="AZ1074">
        <v>12859</v>
      </c>
      <c r="BA1074" t="s">
        <v>81</v>
      </c>
      <c r="BB1074" t="s">
        <v>82</v>
      </c>
      <c r="BC1074">
        <v>1988</v>
      </c>
      <c r="BD1074" t="s">
        <v>73</v>
      </c>
    </row>
    <row r="1075" spans="1:56" x14ac:dyDescent="0.35">
      <c r="A1075">
        <v>107211</v>
      </c>
      <c r="B1075" t="s">
        <v>995</v>
      </c>
      <c r="C1075" t="s">
        <v>195</v>
      </c>
      <c r="D1075" t="s">
        <v>57</v>
      </c>
      <c r="E1075" t="s">
        <v>86</v>
      </c>
      <c r="F1075" t="s">
        <v>58</v>
      </c>
      <c r="G1075" t="s">
        <v>59</v>
      </c>
      <c r="H1075" t="s">
        <v>60</v>
      </c>
      <c r="I1075" t="s">
        <v>177</v>
      </c>
      <c r="J1075" t="s">
        <v>86</v>
      </c>
      <c r="K1075" t="s">
        <v>61</v>
      </c>
      <c r="L1075" t="s">
        <v>62</v>
      </c>
      <c r="M1075" t="s">
        <v>63</v>
      </c>
      <c r="N1075" t="s">
        <v>64</v>
      </c>
      <c r="O1075" t="s">
        <v>381</v>
      </c>
      <c r="P1075" t="s">
        <v>65</v>
      </c>
      <c r="R1075">
        <v>52500</v>
      </c>
      <c r="T1075">
        <v>49500</v>
      </c>
      <c r="V1075">
        <v>55900</v>
      </c>
      <c r="W1075" t="s">
        <v>66</v>
      </c>
      <c r="X1075" t="s">
        <v>67</v>
      </c>
      <c r="Y1075" t="s">
        <v>67</v>
      </c>
      <c r="Z1075" t="s">
        <v>68</v>
      </c>
      <c r="AB1075">
        <v>4</v>
      </c>
      <c r="AC1075" t="s">
        <v>61</v>
      </c>
      <c r="AJ1075" t="s">
        <v>69</v>
      </c>
      <c r="AY1075" t="s">
        <v>382</v>
      </c>
      <c r="AZ1075">
        <v>163462</v>
      </c>
      <c r="BA1075" t="s">
        <v>383</v>
      </c>
      <c r="BB1075" t="s">
        <v>384</v>
      </c>
      <c r="BC1075">
        <v>1987</v>
      </c>
      <c r="BD1075" t="s">
        <v>385</v>
      </c>
    </row>
    <row r="1076" spans="1:56" x14ac:dyDescent="0.35">
      <c r="A1076">
        <v>107211</v>
      </c>
      <c r="B1076" t="s">
        <v>995</v>
      </c>
      <c r="D1076" t="s">
        <v>85</v>
      </c>
      <c r="E1076">
        <v>99</v>
      </c>
      <c r="F1076" t="s">
        <v>58</v>
      </c>
      <c r="G1076" t="s">
        <v>59</v>
      </c>
      <c r="H1076" t="s">
        <v>60</v>
      </c>
      <c r="I1076" t="s">
        <v>177</v>
      </c>
      <c r="J1076" t="s">
        <v>86</v>
      </c>
      <c r="K1076" t="s">
        <v>61</v>
      </c>
      <c r="L1076" t="s">
        <v>190</v>
      </c>
      <c r="M1076" t="s">
        <v>63</v>
      </c>
      <c r="N1076" t="s">
        <v>64</v>
      </c>
      <c r="P1076" t="s">
        <v>65</v>
      </c>
      <c r="R1076">
        <v>69516.607999999993</v>
      </c>
      <c r="T1076">
        <v>65792.504000000001</v>
      </c>
      <c r="V1076">
        <v>72620.028000000006</v>
      </c>
      <c r="W1076" t="s">
        <v>66</v>
      </c>
      <c r="X1076" t="s">
        <v>67</v>
      </c>
      <c r="Y1076" t="s">
        <v>67</v>
      </c>
      <c r="Z1076" t="s">
        <v>68</v>
      </c>
      <c r="AB1076">
        <v>4</v>
      </c>
      <c r="AC1076" t="s">
        <v>61</v>
      </c>
      <c r="AJ1076" t="s">
        <v>69</v>
      </c>
      <c r="AY1076" t="s">
        <v>996</v>
      </c>
      <c r="AZ1076">
        <v>18390</v>
      </c>
      <c r="BA1076" t="s">
        <v>997</v>
      </c>
      <c r="BB1076" t="s">
        <v>998</v>
      </c>
      <c r="BC1076">
        <v>1997</v>
      </c>
      <c r="BD1076" t="s">
        <v>999</v>
      </c>
    </row>
    <row r="1077" spans="1:56" x14ac:dyDescent="0.35">
      <c r="A1077">
        <v>107211</v>
      </c>
      <c r="B1077" t="s">
        <v>995</v>
      </c>
      <c r="D1077" t="s">
        <v>85</v>
      </c>
      <c r="E1077" t="s">
        <v>86</v>
      </c>
      <c r="F1077" t="s">
        <v>58</v>
      </c>
      <c r="G1077" t="s">
        <v>59</v>
      </c>
      <c r="H1077" t="s">
        <v>60</v>
      </c>
      <c r="J1077" t="s">
        <v>230</v>
      </c>
      <c r="K1077" t="s">
        <v>61</v>
      </c>
      <c r="M1077" t="s">
        <v>63</v>
      </c>
      <c r="N1077" t="s">
        <v>64</v>
      </c>
      <c r="P1077" t="s">
        <v>100</v>
      </c>
      <c r="R1077">
        <v>8050</v>
      </c>
      <c r="W1077" t="s">
        <v>66</v>
      </c>
      <c r="X1077" t="s">
        <v>67</v>
      </c>
      <c r="Y1077" t="s">
        <v>67</v>
      </c>
      <c r="Z1077" t="s">
        <v>68</v>
      </c>
      <c r="AB1077">
        <v>4</v>
      </c>
      <c r="AC1077" t="s">
        <v>61</v>
      </c>
      <c r="AJ1077" t="s">
        <v>69</v>
      </c>
      <c r="AY1077" t="s">
        <v>234</v>
      </c>
      <c r="AZ1077">
        <v>13727</v>
      </c>
      <c r="BA1077" t="s">
        <v>235</v>
      </c>
      <c r="BB1077" t="s">
        <v>236</v>
      </c>
      <c r="BC1077">
        <v>1995</v>
      </c>
      <c r="BD1077" t="s">
        <v>73</v>
      </c>
    </row>
    <row r="1078" spans="1:56" x14ac:dyDescent="0.35">
      <c r="A1078">
        <v>107211</v>
      </c>
      <c r="B1078" t="s">
        <v>995</v>
      </c>
      <c r="D1078" t="s">
        <v>85</v>
      </c>
      <c r="E1078">
        <v>99</v>
      </c>
      <c r="F1078" t="s">
        <v>58</v>
      </c>
      <c r="G1078" t="s">
        <v>59</v>
      </c>
      <c r="H1078" t="s">
        <v>60</v>
      </c>
      <c r="I1078" t="s">
        <v>177</v>
      </c>
      <c r="J1078" t="s">
        <v>86</v>
      </c>
      <c r="K1078" t="s">
        <v>61</v>
      </c>
      <c r="L1078" t="s">
        <v>190</v>
      </c>
      <c r="M1078" t="s">
        <v>63</v>
      </c>
      <c r="N1078" t="s">
        <v>64</v>
      </c>
      <c r="P1078" t="s">
        <v>65</v>
      </c>
      <c r="R1078">
        <v>68275.240000000005</v>
      </c>
      <c r="T1078">
        <v>59585.663999999997</v>
      </c>
      <c r="V1078">
        <v>73240.712</v>
      </c>
      <c r="W1078" t="s">
        <v>66</v>
      </c>
      <c r="X1078" t="s">
        <v>67</v>
      </c>
      <c r="Y1078" t="s">
        <v>67</v>
      </c>
      <c r="Z1078" t="s">
        <v>68</v>
      </c>
      <c r="AB1078">
        <v>4</v>
      </c>
      <c r="AC1078" t="s">
        <v>61</v>
      </c>
      <c r="AJ1078" t="s">
        <v>69</v>
      </c>
      <c r="AY1078" t="s">
        <v>996</v>
      </c>
      <c r="AZ1078">
        <v>18390</v>
      </c>
      <c r="BA1078" t="s">
        <v>997</v>
      </c>
      <c r="BB1078" t="s">
        <v>998</v>
      </c>
      <c r="BC1078">
        <v>1997</v>
      </c>
      <c r="BD1078" t="s">
        <v>999</v>
      </c>
    </row>
    <row r="1079" spans="1:56" x14ac:dyDescent="0.35">
      <c r="A1079">
        <v>107211</v>
      </c>
      <c r="B1079" t="s">
        <v>995</v>
      </c>
      <c r="D1079" t="s">
        <v>85</v>
      </c>
      <c r="E1079" t="s">
        <v>86</v>
      </c>
      <c r="F1079" t="s">
        <v>58</v>
      </c>
      <c r="G1079" t="s">
        <v>59</v>
      </c>
      <c r="H1079" t="s">
        <v>60</v>
      </c>
      <c r="I1079" t="s">
        <v>129</v>
      </c>
      <c r="J1079" t="s">
        <v>86</v>
      </c>
      <c r="K1079" t="s">
        <v>61</v>
      </c>
      <c r="L1079" t="s">
        <v>62</v>
      </c>
      <c r="M1079" t="s">
        <v>63</v>
      </c>
      <c r="N1079" t="s">
        <v>64</v>
      </c>
      <c r="P1079" t="s">
        <v>100</v>
      </c>
      <c r="R1079">
        <v>49000</v>
      </c>
      <c r="T1079">
        <v>40000</v>
      </c>
      <c r="V1079">
        <v>60000</v>
      </c>
      <c r="W1079" t="s">
        <v>66</v>
      </c>
      <c r="X1079" t="s">
        <v>67</v>
      </c>
      <c r="Y1079" t="s">
        <v>67</v>
      </c>
      <c r="Z1079" t="s">
        <v>68</v>
      </c>
      <c r="AB1079">
        <v>4</v>
      </c>
      <c r="AC1079" t="s">
        <v>61</v>
      </c>
      <c r="AJ1079" t="s">
        <v>69</v>
      </c>
      <c r="AY1079" t="s">
        <v>394</v>
      </c>
      <c r="AZ1079">
        <v>10432</v>
      </c>
      <c r="BA1079" t="s">
        <v>395</v>
      </c>
      <c r="BB1079" t="s">
        <v>396</v>
      </c>
      <c r="BC1079">
        <v>1983</v>
      </c>
      <c r="BD1079" t="s">
        <v>127</v>
      </c>
    </row>
    <row r="1080" spans="1:56" x14ac:dyDescent="0.35">
      <c r="A1080">
        <v>107211</v>
      </c>
      <c r="B1080" t="s">
        <v>995</v>
      </c>
      <c r="C1080" t="s">
        <v>195</v>
      </c>
      <c r="D1080" t="s">
        <v>57</v>
      </c>
      <c r="E1080" t="s">
        <v>86</v>
      </c>
      <c r="F1080" t="s">
        <v>58</v>
      </c>
      <c r="G1080" t="s">
        <v>59</v>
      </c>
      <c r="H1080" t="s">
        <v>60</v>
      </c>
      <c r="I1080" t="s">
        <v>129</v>
      </c>
      <c r="J1080" t="s">
        <v>86</v>
      </c>
      <c r="K1080" t="s">
        <v>61</v>
      </c>
      <c r="L1080" t="s">
        <v>62</v>
      </c>
      <c r="M1080" t="s">
        <v>63</v>
      </c>
      <c r="N1080" t="s">
        <v>64</v>
      </c>
      <c r="O1080" t="s">
        <v>381</v>
      </c>
      <c r="P1080" t="s">
        <v>65</v>
      </c>
      <c r="R1080">
        <v>43900</v>
      </c>
      <c r="T1080">
        <v>40400</v>
      </c>
      <c r="V1080">
        <v>48300</v>
      </c>
      <c r="W1080" t="s">
        <v>66</v>
      </c>
      <c r="X1080" t="s">
        <v>67</v>
      </c>
      <c r="Y1080" t="s">
        <v>67</v>
      </c>
      <c r="Z1080" t="s">
        <v>68</v>
      </c>
      <c r="AB1080">
        <v>4</v>
      </c>
      <c r="AC1080" t="s">
        <v>61</v>
      </c>
      <c r="AJ1080" t="s">
        <v>69</v>
      </c>
      <c r="AY1080" t="s">
        <v>382</v>
      </c>
      <c r="AZ1080">
        <v>163462</v>
      </c>
      <c r="BA1080" t="s">
        <v>383</v>
      </c>
      <c r="BB1080" t="s">
        <v>384</v>
      </c>
      <c r="BC1080">
        <v>1987</v>
      </c>
      <c r="BD1080" t="s">
        <v>127</v>
      </c>
    </row>
    <row r="1081" spans="1:56" x14ac:dyDescent="0.35">
      <c r="A1081">
        <v>107211</v>
      </c>
      <c r="B1081" t="s">
        <v>995</v>
      </c>
      <c r="D1081" t="s">
        <v>85</v>
      </c>
      <c r="E1081" t="s">
        <v>86</v>
      </c>
      <c r="F1081" t="s">
        <v>58</v>
      </c>
      <c r="G1081" t="s">
        <v>59</v>
      </c>
      <c r="H1081" t="s">
        <v>60</v>
      </c>
      <c r="I1081" t="s">
        <v>177</v>
      </c>
      <c r="J1081" t="s">
        <v>86</v>
      </c>
      <c r="K1081" t="s">
        <v>61</v>
      </c>
      <c r="L1081" t="s">
        <v>62</v>
      </c>
      <c r="M1081" t="s">
        <v>63</v>
      </c>
      <c r="N1081" t="s">
        <v>64</v>
      </c>
      <c r="P1081" t="s">
        <v>100</v>
      </c>
      <c r="R1081">
        <v>53000</v>
      </c>
      <c r="T1081">
        <v>50000</v>
      </c>
      <c r="V1081">
        <v>56000</v>
      </c>
      <c r="W1081" t="s">
        <v>66</v>
      </c>
      <c r="X1081" t="s">
        <v>67</v>
      </c>
      <c r="Y1081" t="s">
        <v>67</v>
      </c>
      <c r="Z1081" t="s">
        <v>68</v>
      </c>
      <c r="AB1081">
        <v>4</v>
      </c>
      <c r="AC1081" t="s">
        <v>61</v>
      </c>
      <c r="AJ1081" t="s">
        <v>69</v>
      </c>
      <c r="AY1081" t="s">
        <v>394</v>
      </c>
      <c r="AZ1081">
        <v>10432</v>
      </c>
      <c r="BA1081" t="s">
        <v>395</v>
      </c>
      <c r="BB1081" t="s">
        <v>396</v>
      </c>
      <c r="BC1081">
        <v>1983</v>
      </c>
      <c r="BD1081" t="s">
        <v>385</v>
      </c>
    </row>
    <row r="1082" spans="1:56" x14ac:dyDescent="0.35">
      <c r="A1082">
        <v>107211</v>
      </c>
      <c r="B1082" t="s">
        <v>995</v>
      </c>
      <c r="D1082" t="s">
        <v>85</v>
      </c>
      <c r="E1082" t="s">
        <v>86</v>
      </c>
      <c r="F1082" t="s">
        <v>58</v>
      </c>
      <c r="G1082" t="s">
        <v>59</v>
      </c>
      <c r="H1082" t="s">
        <v>60</v>
      </c>
      <c r="J1082" t="s">
        <v>86</v>
      </c>
      <c r="L1082" t="s">
        <v>62</v>
      </c>
      <c r="M1082" t="s">
        <v>63</v>
      </c>
      <c r="N1082" t="s">
        <v>64</v>
      </c>
      <c r="P1082" t="s">
        <v>100</v>
      </c>
      <c r="Q1082" t="s">
        <v>153</v>
      </c>
      <c r="R1082">
        <v>10000</v>
      </c>
      <c r="W1082" t="s">
        <v>66</v>
      </c>
      <c r="X1082" t="s">
        <v>67</v>
      </c>
      <c r="Y1082" t="s">
        <v>67</v>
      </c>
      <c r="Z1082" t="s">
        <v>68</v>
      </c>
      <c r="AB1082">
        <v>4</v>
      </c>
      <c r="AC1082" t="s">
        <v>61</v>
      </c>
      <c r="AJ1082" t="s">
        <v>69</v>
      </c>
      <c r="AY1082" t="s">
        <v>481</v>
      </c>
      <c r="AZ1082">
        <v>10117</v>
      </c>
      <c r="BA1082" t="s">
        <v>482</v>
      </c>
      <c r="BB1082" t="s">
        <v>483</v>
      </c>
      <c r="BC1082">
        <v>1983</v>
      </c>
      <c r="BD1082" t="s">
        <v>90</v>
      </c>
    </row>
    <row r="1083" spans="1:56" x14ac:dyDescent="0.35">
      <c r="A1083">
        <v>107211</v>
      </c>
      <c r="B1083" t="s">
        <v>995</v>
      </c>
      <c r="D1083" t="s">
        <v>85</v>
      </c>
      <c r="E1083" t="s">
        <v>86</v>
      </c>
      <c r="F1083" t="s">
        <v>58</v>
      </c>
      <c r="G1083" t="s">
        <v>59</v>
      </c>
      <c r="H1083" t="s">
        <v>60</v>
      </c>
      <c r="I1083" t="s">
        <v>397</v>
      </c>
      <c r="J1083" t="s">
        <v>86</v>
      </c>
      <c r="K1083" t="s">
        <v>61</v>
      </c>
      <c r="L1083" t="s">
        <v>62</v>
      </c>
      <c r="M1083" t="s">
        <v>63</v>
      </c>
      <c r="N1083" t="s">
        <v>64</v>
      </c>
      <c r="P1083" t="s">
        <v>100</v>
      </c>
      <c r="R1083">
        <v>57000</v>
      </c>
      <c r="T1083">
        <v>52000</v>
      </c>
      <c r="V1083">
        <v>63000</v>
      </c>
      <c r="W1083" t="s">
        <v>66</v>
      </c>
      <c r="X1083" t="s">
        <v>67</v>
      </c>
      <c r="Y1083" t="s">
        <v>67</v>
      </c>
      <c r="Z1083" t="s">
        <v>68</v>
      </c>
      <c r="AB1083">
        <v>4</v>
      </c>
      <c r="AC1083" t="s">
        <v>61</v>
      </c>
      <c r="AJ1083" t="s">
        <v>69</v>
      </c>
      <c r="AY1083" t="s">
        <v>394</v>
      </c>
      <c r="AZ1083">
        <v>10432</v>
      </c>
      <c r="BA1083" t="s">
        <v>395</v>
      </c>
      <c r="BB1083" t="s">
        <v>396</v>
      </c>
      <c r="BC1083">
        <v>1983</v>
      </c>
      <c r="BD1083" t="s">
        <v>398</v>
      </c>
    </row>
    <row r="1084" spans="1:56" x14ac:dyDescent="0.35">
      <c r="A1084">
        <v>107211</v>
      </c>
      <c r="B1084" t="s">
        <v>995</v>
      </c>
      <c r="C1084" t="s">
        <v>195</v>
      </c>
      <c r="D1084" t="s">
        <v>57</v>
      </c>
      <c r="E1084" t="s">
        <v>86</v>
      </c>
      <c r="F1084" t="s">
        <v>58</v>
      </c>
      <c r="G1084" t="s">
        <v>59</v>
      </c>
      <c r="H1084" t="s">
        <v>60</v>
      </c>
      <c r="I1084" t="s">
        <v>392</v>
      </c>
      <c r="J1084" t="s">
        <v>86</v>
      </c>
      <c r="K1084" t="s">
        <v>61</v>
      </c>
      <c r="L1084" t="s">
        <v>62</v>
      </c>
      <c r="M1084" t="s">
        <v>63</v>
      </c>
      <c r="N1084" t="s">
        <v>64</v>
      </c>
      <c r="O1084" t="s">
        <v>381</v>
      </c>
      <c r="P1084" t="s">
        <v>65</v>
      </c>
      <c r="R1084">
        <v>57300</v>
      </c>
      <c r="T1084">
        <v>52400</v>
      </c>
      <c r="V1084">
        <v>62900</v>
      </c>
      <c r="W1084" t="s">
        <v>66</v>
      </c>
      <c r="X1084" t="s">
        <v>67</v>
      </c>
      <c r="Y1084" t="s">
        <v>67</v>
      </c>
      <c r="Z1084" t="s">
        <v>68</v>
      </c>
      <c r="AB1084">
        <v>4</v>
      </c>
      <c r="AC1084" t="s">
        <v>61</v>
      </c>
      <c r="AJ1084" t="s">
        <v>69</v>
      </c>
      <c r="AY1084" t="s">
        <v>382</v>
      </c>
      <c r="AZ1084">
        <v>163462</v>
      </c>
      <c r="BA1084" t="s">
        <v>383</v>
      </c>
      <c r="BB1084" t="s">
        <v>384</v>
      </c>
      <c r="BC1084">
        <v>1987</v>
      </c>
      <c r="BD1084" t="s">
        <v>393</v>
      </c>
    </row>
    <row r="1085" spans="1:56" x14ac:dyDescent="0.35">
      <c r="A1085">
        <v>107211</v>
      </c>
      <c r="B1085" t="s">
        <v>995</v>
      </c>
      <c r="D1085" t="s">
        <v>85</v>
      </c>
      <c r="E1085" t="s">
        <v>86</v>
      </c>
      <c r="F1085" t="s">
        <v>58</v>
      </c>
      <c r="G1085" t="s">
        <v>59</v>
      </c>
      <c r="H1085" t="s">
        <v>60</v>
      </c>
      <c r="J1085" t="s">
        <v>230</v>
      </c>
      <c r="K1085" t="s">
        <v>61</v>
      </c>
      <c r="M1085" t="s">
        <v>63</v>
      </c>
      <c r="N1085" t="s">
        <v>64</v>
      </c>
      <c r="P1085" t="s">
        <v>100</v>
      </c>
      <c r="R1085">
        <v>72860</v>
      </c>
      <c r="W1085" t="s">
        <v>66</v>
      </c>
      <c r="X1085" t="s">
        <v>67</v>
      </c>
      <c r="Y1085" t="s">
        <v>67</v>
      </c>
      <c r="Z1085" t="s">
        <v>68</v>
      </c>
      <c r="AB1085">
        <v>4</v>
      </c>
      <c r="AC1085" t="s">
        <v>61</v>
      </c>
      <c r="AJ1085" t="s">
        <v>69</v>
      </c>
      <c r="AY1085" t="s">
        <v>234</v>
      </c>
      <c r="AZ1085">
        <v>13727</v>
      </c>
      <c r="BA1085" t="s">
        <v>235</v>
      </c>
      <c r="BB1085" t="s">
        <v>236</v>
      </c>
      <c r="BC1085">
        <v>1995</v>
      </c>
      <c r="BD1085" t="s">
        <v>73</v>
      </c>
    </row>
    <row r="1086" spans="1:56" x14ac:dyDescent="0.35">
      <c r="A1086">
        <v>107222</v>
      </c>
      <c r="B1086" t="s">
        <v>1000</v>
      </c>
      <c r="D1086" t="s">
        <v>85</v>
      </c>
      <c r="E1086" t="s">
        <v>86</v>
      </c>
      <c r="F1086" t="s">
        <v>58</v>
      </c>
      <c r="G1086" t="s">
        <v>59</v>
      </c>
      <c r="H1086" t="s">
        <v>60</v>
      </c>
      <c r="J1086" t="s">
        <v>86</v>
      </c>
      <c r="L1086" t="s">
        <v>62</v>
      </c>
      <c r="M1086" t="s">
        <v>63</v>
      </c>
      <c r="N1086" t="s">
        <v>64</v>
      </c>
      <c r="P1086" t="s">
        <v>100</v>
      </c>
      <c r="R1086">
        <v>215</v>
      </c>
      <c r="W1086" t="s">
        <v>66</v>
      </c>
      <c r="X1086" t="s">
        <v>67</v>
      </c>
      <c r="Y1086" t="s">
        <v>67</v>
      </c>
      <c r="Z1086" t="s">
        <v>68</v>
      </c>
      <c r="AB1086">
        <v>4</v>
      </c>
      <c r="AC1086" t="s">
        <v>61</v>
      </c>
      <c r="AJ1086" t="s">
        <v>69</v>
      </c>
      <c r="AY1086" t="s">
        <v>481</v>
      </c>
      <c r="AZ1086">
        <v>10117</v>
      </c>
      <c r="BA1086" t="s">
        <v>482</v>
      </c>
      <c r="BB1086" t="s">
        <v>483</v>
      </c>
      <c r="BC1086">
        <v>1983</v>
      </c>
      <c r="BD1086" t="s">
        <v>90</v>
      </c>
    </row>
    <row r="1087" spans="1:56" x14ac:dyDescent="0.35">
      <c r="A1087">
        <v>107299</v>
      </c>
      <c r="B1087" t="s">
        <v>1001</v>
      </c>
      <c r="D1087" t="s">
        <v>57</v>
      </c>
      <c r="E1087">
        <v>95</v>
      </c>
      <c r="F1087" t="s">
        <v>58</v>
      </c>
      <c r="G1087" t="s">
        <v>59</v>
      </c>
      <c r="H1087" t="s">
        <v>60</v>
      </c>
      <c r="J1087">
        <v>31</v>
      </c>
      <c r="K1087" t="s">
        <v>61</v>
      </c>
      <c r="L1087" t="s">
        <v>74</v>
      </c>
      <c r="M1087" t="s">
        <v>63</v>
      </c>
      <c r="N1087" t="s">
        <v>64</v>
      </c>
      <c r="P1087" t="s">
        <v>65</v>
      </c>
      <c r="R1087">
        <v>76</v>
      </c>
      <c r="T1087">
        <v>68.3</v>
      </c>
      <c r="V1087">
        <v>84.5</v>
      </c>
      <c r="W1087" t="s">
        <v>66</v>
      </c>
      <c r="X1087" t="s">
        <v>67</v>
      </c>
      <c r="Y1087" t="s">
        <v>67</v>
      </c>
      <c r="Z1087" t="s">
        <v>68</v>
      </c>
      <c r="AB1087">
        <v>4</v>
      </c>
      <c r="AC1087" t="s">
        <v>61</v>
      </c>
      <c r="AJ1087" t="s">
        <v>69</v>
      </c>
      <c r="AY1087" t="s">
        <v>75</v>
      </c>
      <c r="AZ1087">
        <v>3217</v>
      </c>
      <c r="BA1087" t="s">
        <v>76</v>
      </c>
      <c r="BB1087" t="s">
        <v>77</v>
      </c>
      <c r="BC1087">
        <v>1990</v>
      </c>
      <c r="BD1087" t="s">
        <v>73</v>
      </c>
    </row>
    <row r="1088" spans="1:56" x14ac:dyDescent="0.35">
      <c r="A1088">
        <v>107415</v>
      </c>
      <c r="B1088" t="s">
        <v>1002</v>
      </c>
      <c r="D1088" t="s">
        <v>57</v>
      </c>
      <c r="E1088">
        <v>99</v>
      </c>
      <c r="F1088" t="s">
        <v>58</v>
      </c>
      <c r="G1088" t="s">
        <v>59</v>
      </c>
      <c r="H1088" t="s">
        <v>60</v>
      </c>
      <c r="J1088">
        <v>31</v>
      </c>
      <c r="K1088" t="s">
        <v>61</v>
      </c>
      <c r="L1088" t="s">
        <v>74</v>
      </c>
      <c r="M1088" t="s">
        <v>63</v>
      </c>
      <c r="N1088" t="s">
        <v>64</v>
      </c>
      <c r="P1088" t="s">
        <v>65</v>
      </c>
      <c r="R1088">
        <v>10700</v>
      </c>
      <c r="T1088">
        <v>10500</v>
      </c>
      <c r="V1088">
        <v>11000</v>
      </c>
      <c r="W1088" t="s">
        <v>66</v>
      </c>
      <c r="X1088" t="s">
        <v>67</v>
      </c>
      <c r="Y1088" t="s">
        <v>67</v>
      </c>
      <c r="Z1088" t="s">
        <v>68</v>
      </c>
      <c r="AB1088">
        <v>4</v>
      </c>
      <c r="AC1088" t="s">
        <v>61</v>
      </c>
      <c r="AJ1088" t="s">
        <v>69</v>
      </c>
      <c r="AY1088" t="s">
        <v>286</v>
      </c>
      <c r="AZ1088">
        <v>12448</v>
      </c>
      <c r="BA1088" t="s">
        <v>287</v>
      </c>
      <c r="BB1088" t="s">
        <v>288</v>
      </c>
      <c r="BC1088">
        <v>1984</v>
      </c>
      <c r="BD1088" t="s">
        <v>73</v>
      </c>
    </row>
    <row r="1089" spans="1:56" x14ac:dyDescent="0.35">
      <c r="A1089">
        <v>107415</v>
      </c>
      <c r="B1089" t="s">
        <v>1002</v>
      </c>
      <c r="E1089" t="s">
        <v>407</v>
      </c>
      <c r="F1089" t="s">
        <v>58</v>
      </c>
      <c r="G1089" t="s">
        <v>59</v>
      </c>
      <c r="H1089" t="s">
        <v>60</v>
      </c>
      <c r="J1089" t="s">
        <v>86</v>
      </c>
      <c r="L1089" t="s">
        <v>74</v>
      </c>
      <c r="M1089" t="s">
        <v>63</v>
      </c>
      <c r="P1089" t="s">
        <v>65</v>
      </c>
      <c r="R1089">
        <v>8685.9359999999997</v>
      </c>
      <c r="W1089" t="s">
        <v>66</v>
      </c>
      <c r="X1089" t="s">
        <v>67</v>
      </c>
      <c r="Y1089" t="s">
        <v>67</v>
      </c>
      <c r="Z1089" t="s">
        <v>68</v>
      </c>
      <c r="AB1089">
        <v>4</v>
      </c>
      <c r="AC1089" t="s">
        <v>61</v>
      </c>
      <c r="AJ1089" t="s">
        <v>69</v>
      </c>
      <c r="AY1089" t="s">
        <v>408</v>
      </c>
      <c r="AZ1089">
        <v>5876</v>
      </c>
      <c r="BA1089" t="s">
        <v>409</v>
      </c>
      <c r="BB1089" t="s">
        <v>410</v>
      </c>
      <c r="BC1089">
        <v>1988</v>
      </c>
      <c r="BD1089" t="s">
        <v>90</v>
      </c>
    </row>
    <row r="1090" spans="1:56" x14ac:dyDescent="0.35">
      <c r="A1090">
        <v>107415</v>
      </c>
      <c r="B1090" t="s">
        <v>1002</v>
      </c>
      <c r="D1090" t="s">
        <v>85</v>
      </c>
      <c r="E1090" t="s">
        <v>86</v>
      </c>
      <c r="F1090" t="s">
        <v>58</v>
      </c>
      <c r="G1090" t="s">
        <v>59</v>
      </c>
      <c r="H1090" t="s">
        <v>60</v>
      </c>
      <c r="J1090" t="s">
        <v>86</v>
      </c>
      <c r="L1090" t="s">
        <v>62</v>
      </c>
      <c r="M1090" t="s">
        <v>63</v>
      </c>
      <c r="N1090" t="s">
        <v>64</v>
      </c>
      <c r="O1090">
        <v>4</v>
      </c>
      <c r="P1090" t="s">
        <v>100</v>
      </c>
      <c r="Q1090" t="s">
        <v>153</v>
      </c>
      <c r="R1090">
        <v>100</v>
      </c>
      <c r="W1090" t="s">
        <v>66</v>
      </c>
      <c r="X1090" t="s">
        <v>67</v>
      </c>
      <c r="Y1090" t="s">
        <v>67</v>
      </c>
      <c r="Z1090" t="s">
        <v>68</v>
      </c>
      <c r="AB1090">
        <v>4</v>
      </c>
      <c r="AC1090" t="s">
        <v>61</v>
      </c>
      <c r="AJ1090" t="s">
        <v>69</v>
      </c>
      <c r="AY1090" t="s">
        <v>173</v>
      </c>
      <c r="AZ1090">
        <v>167113</v>
      </c>
      <c r="BA1090" t="s">
        <v>174</v>
      </c>
      <c r="BB1090" t="s">
        <v>175</v>
      </c>
      <c r="BC1090">
        <v>1974</v>
      </c>
      <c r="BD1090" t="s">
        <v>90</v>
      </c>
    </row>
    <row r="1091" spans="1:56" x14ac:dyDescent="0.35">
      <c r="A1091">
        <v>107459</v>
      </c>
      <c r="B1091" t="s">
        <v>1003</v>
      </c>
      <c r="D1091" t="s">
        <v>57</v>
      </c>
      <c r="E1091">
        <v>95</v>
      </c>
      <c r="F1091" t="s">
        <v>58</v>
      </c>
      <c r="G1091" t="s">
        <v>59</v>
      </c>
      <c r="H1091" t="s">
        <v>60</v>
      </c>
      <c r="J1091">
        <v>29</v>
      </c>
      <c r="K1091" t="s">
        <v>61</v>
      </c>
      <c r="L1091" t="s">
        <v>74</v>
      </c>
      <c r="M1091" t="s">
        <v>63</v>
      </c>
      <c r="N1091" t="s">
        <v>64</v>
      </c>
      <c r="P1091" t="s">
        <v>65</v>
      </c>
      <c r="R1091">
        <v>24.6</v>
      </c>
      <c r="T1091">
        <v>22.1</v>
      </c>
      <c r="V1091">
        <v>27.2</v>
      </c>
      <c r="W1091" t="s">
        <v>66</v>
      </c>
      <c r="X1091" t="s">
        <v>67</v>
      </c>
      <c r="Y1091" t="s">
        <v>67</v>
      </c>
      <c r="Z1091" t="s">
        <v>68</v>
      </c>
      <c r="AB1091">
        <v>4</v>
      </c>
      <c r="AC1091" t="s">
        <v>61</v>
      </c>
      <c r="AJ1091" t="s">
        <v>69</v>
      </c>
      <c r="AY1091" t="s">
        <v>80</v>
      </c>
      <c r="AZ1091">
        <v>12859</v>
      </c>
      <c r="BA1091" t="s">
        <v>81</v>
      </c>
      <c r="BB1091" t="s">
        <v>82</v>
      </c>
      <c r="BC1091">
        <v>1988</v>
      </c>
      <c r="BD1091" t="s">
        <v>73</v>
      </c>
    </row>
    <row r="1092" spans="1:56" x14ac:dyDescent="0.35">
      <c r="A1092">
        <v>107471</v>
      </c>
      <c r="B1092" t="s">
        <v>1004</v>
      </c>
      <c r="D1092" t="s">
        <v>57</v>
      </c>
      <c r="E1092">
        <v>98</v>
      </c>
      <c r="F1092" t="s">
        <v>58</v>
      </c>
      <c r="G1092" t="s">
        <v>59</v>
      </c>
      <c r="H1092" t="s">
        <v>60</v>
      </c>
      <c r="J1092">
        <v>32</v>
      </c>
      <c r="K1092" t="s">
        <v>61</v>
      </c>
      <c r="L1092" t="s">
        <v>74</v>
      </c>
      <c r="M1092" t="s">
        <v>63</v>
      </c>
      <c r="N1092" t="s">
        <v>64</v>
      </c>
      <c r="P1092" t="s">
        <v>65</v>
      </c>
      <c r="R1092">
        <v>29.1</v>
      </c>
      <c r="T1092">
        <v>26.6</v>
      </c>
      <c r="V1092">
        <v>31.9</v>
      </c>
      <c r="W1092" t="s">
        <v>66</v>
      </c>
      <c r="X1092" t="s">
        <v>67</v>
      </c>
      <c r="Y1092" t="s">
        <v>67</v>
      </c>
      <c r="Z1092" t="s">
        <v>68</v>
      </c>
      <c r="AB1092">
        <v>4</v>
      </c>
      <c r="AC1092" t="s">
        <v>61</v>
      </c>
      <c r="AJ1092" t="s">
        <v>69</v>
      </c>
      <c r="AY1092" t="s">
        <v>80</v>
      </c>
      <c r="AZ1092">
        <v>12859</v>
      </c>
      <c r="BA1092" t="s">
        <v>81</v>
      </c>
      <c r="BB1092" t="s">
        <v>82</v>
      </c>
      <c r="BC1092">
        <v>1988</v>
      </c>
      <c r="BD1092" t="s">
        <v>73</v>
      </c>
    </row>
    <row r="1093" spans="1:56" x14ac:dyDescent="0.35">
      <c r="A1093">
        <v>107493</v>
      </c>
      <c r="B1093" t="s">
        <v>1005</v>
      </c>
      <c r="C1093" t="s">
        <v>91</v>
      </c>
      <c r="D1093" t="s">
        <v>85</v>
      </c>
      <c r="E1093">
        <v>40</v>
      </c>
      <c r="F1093" t="s">
        <v>58</v>
      </c>
      <c r="G1093" t="s">
        <v>59</v>
      </c>
      <c r="H1093" t="s">
        <v>60</v>
      </c>
      <c r="J1093" t="s">
        <v>86</v>
      </c>
      <c r="L1093" t="s">
        <v>62</v>
      </c>
      <c r="M1093" t="s">
        <v>63</v>
      </c>
      <c r="N1093" t="s">
        <v>64</v>
      </c>
      <c r="P1093" t="s">
        <v>65</v>
      </c>
      <c r="R1093">
        <v>1.7</v>
      </c>
      <c r="W1093" t="s">
        <v>66</v>
      </c>
      <c r="X1093" t="s">
        <v>67</v>
      </c>
      <c r="Y1093" t="s">
        <v>67</v>
      </c>
      <c r="Z1093" t="s">
        <v>68</v>
      </c>
      <c r="AB1093">
        <v>4</v>
      </c>
      <c r="AC1093" t="s">
        <v>61</v>
      </c>
      <c r="AJ1093" t="s">
        <v>69</v>
      </c>
      <c r="AY1093" t="s">
        <v>150</v>
      </c>
      <c r="AZ1093">
        <v>2155</v>
      </c>
      <c r="BA1093" t="s">
        <v>151</v>
      </c>
      <c r="BB1093" t="s">
        <v>152</v>
      </c>
      <c r="BC1093">
        <v>1958</v>
      </c>
      <c r="BD1093" t="s">
        <v>90</v>
      </c>
    </row>
    <row r="1094" spans="1:56" x14ac:dyDescent="0.35">
      <c r="A1094">
        <v>107493</v>
      </c>
      <c r="B1094" t="s">
        <v>1005</v>
      </c>
      <c r="E1094">
        <v>40</v>
      </c>
      <c r="F1094" t="s">
        <v>58</v>
      </c>
      <c r="G1094" t="s">
        <v>59</v>
      </c>
      <c r="H1094" t="s">
        <v>60</v>
      </c>
      <c r="J1094" t="s">
        <v>86</v>
      </c>
      <c r="L1094" t="s">
        <v>62</v>
      </c>
      <c r="M1094" t="s">
        <v>63</v>
      </c>
      <c r="N1094" t="s">
        <v>64</v>
      </c>
      <c r="P1094" t="s">
        <v>65</v>
      </c>
      <c r="R1094">
        <v>0.24</v>
      </c>
      <c r="T1094">
        <v>0.14399999999999999</v>
      </c>
      <c r="V1094">
        <v>0.40100000000000002</v>
      </c>
      <c r="W1094" t="s">
        <v>66</v>
      </c>
      <c r="X1094" t="s">
        <v>67</v>
      </c>
      <c r="Y1094" t="s">
        <v>67</v>
      </c>
      <c r="Z1094" t="s">
        <v>68</v>
      </c>
      <c r="AB1094">
        <v>4</v>
      </c>
      <c r="AC1094" t="s">
        <v>61</v>
      </c>
      <c r="AJ1094" t="s">
        <v>69</v>
      </c>
      <c r="AY1094" t="s">
        <v>96</v>
      </c>
      <c r="AZ1094">
        <v>6797</v>
      </c>
      <c r="BA1094" t="s">
        <v>97</v>
      </c>
      <c r="BB1094" t="s">
        <v>98</v>
      </c>
      <c r="BC1094">
        <v>1986</v>
      </c>
      <c r="BD1094" t="s">
        <v>90</v>
      </c>
    </row>
    <row r="1095" spans="1:56" x14ac:dyDescent="0.35">
      <c r="A1095">
        <v>107493</v>
      </c>
      <c r="B1095" t="s">
        <v>1005</v>
      </c>
      <c r="C1095" t="s">
        <v>91</v>
      </c>
      <c r="D1095" t="s">
        <v>85</v>
      </c>
      <c r="E1095">
        <v>40</v>
      </c>
      <c r="F1095" t="s">
        <v>58</v>
      </c>
      <c r="G1095" t="s">
        <v>59</v>
      </c>
      <c r="H1095" t="s">
        <v>60</v>
      </c>
      <c r="J1095" t="s">
        <v>86</v>
      </c>
      <c r="L1095" t="s">
        <v>62</v>
      </c>
      <c r="M1095" t="s">
        <v>63</v>
      </c>
      <c r="N1095" t="s">
        <v>64</v>
      </c>
      <c r="P1095" t="s">
        <v>65</v>
      </c>
      <c r="R1095">
        <v>2.1</v>
      </c>
      <c r="W1095" t="s">
        <v>66</v>
      </c>
      <c r="X1095" t="s">
        <v>67</v>
      </c>
      <c r="Y1095" t="s">
        <v>67</v>
      </c>
      <c r="Z1095" t="s">
        <v>68</v>
      </c>
      <c r="AB1095">
        <v>4</v>
      </c>
      <c r="AC1095" t="s">
        <v>61</v>
      </c>
      <c r="AJ1095" t="s">
        <v>69</v>
      </c>
      <c r="AY1095" t="s">
        <v>157</v>
      </c>
      <c r="AZ1095">
        <v>2893</v>
      </c>
      <c r="BA1095" t="s">
        <v>158</v>
      </c>
      <c r="BB1095" t="s">
        <v>159</v>
      </c>
      <c r="BC1095">
        <v>1962</v>
      </c>
      <c r="BD1095" t="s">
        <v>90</v>
      </c>
    </row>
    <row r="1096" spans="1:56" x14ac:dyDescent="0.35">
      <c r="A1096">
        <v>107493</v>
      </c>
      <c r="B1096" t="s">
        <v>1005</v>
      </c>
      <c r="C1096" t="s">
        <v>91</v>
      </c>
      <c r="D1096" t="s">
        <v>85</v>
      </c>
      <c r="E1096">
        <v>40</v>
      </c>
      <c r="F1096" t="s">
        <v>58</v>
      </c>
      <c r="G1096" t="s">
        <v>59</v>
      </c>
      <c r="H1096" t="s">
        <v>60</v>
      </c>
      <c r="J1096" t="s">
        <v>86</v>
      </c>
      <c r="L1096" t="s">
        <v>62</v>
      </c>
      <c r="M1096" t="s">
        <v>63</v>
      </c>
      <c r="N1096" t="s">
        <v>64</v>
      </c>
      <c r="P1096" t="s">
        <v>65</v>
      </c>
      <c r="R1096">
        <v>1</v>
      </c>
      <c r="W1096" t="s">
        <v>66</v>
      </c>
      <c r="X1096" t="s">
        <v>67</v>
      </c>
      <c r="Y1096" t="s">
        <v>67</v>
      </c>
      <c r="Z1096" t="s">
        <v>68</v>
      </c>
      <c r="AB1096">
        <v>4</v>
      </c>
      <c r="AC1096" t="s">
        <v>61</v>
      </c>
      <c r="AJ1096" t="s">
        <v>69</v>
      </c>
      <c r="AY1096" t="s">
        <v>150</v>
      </c>
      <c r="AZ1096">
        <v>2155</v>
      </c>
      <c r="BA1096" t="s">
        <v>151</v>
      </c>
      <c r="BB1096" t="s">
        <v>152</v>
      </c>
      <c r="BC1096">
        <v>1958</v>
      </c>
      <c r="BD1096" t="s">
        <v>90</v>
      </c>
    </row>
    <row r="1097" spans="1:56" x14ac:dyDescent="0.35">
      <c r="A1097">
        <v>107642</v>
      </c>
      <c r="B1097" t="s">
        <v>1006</v>
      </c>
      <c r="D1097" t="s">
        <v>85</v>
      </c>
      <c r="E1097">
        <v>97</v>
      </c>
      <c r="F1097" t="s">
        <v>58</v>
      </c>
      <c r="G1097" t="s">
        <v>59</v>
      </c>
      <c r="H1097" t="s">
        <v>60</v>
      </c>
      <c r="I1097" t="s">
        <v>129</v>
      </c>
      <c r="J1097" t="s">
        <v>86</v>
      </c>
      <c r="K1097" t="s">
        <v>196</v>
      </c>
      <c r="L1097" t="s">
        <v>190</v>
      </c>
      <c r="M1097" t="s">
        <v>63</v>
      </c>
      <c r="N1097" t="s">
        <v>64</v>
      </c>
      <c r="P1097" t="s">
        <v>65</v>
      </c>
      <c r="R1097">
        <v>6.43</v>
      </c>
      <c r="T1097">
        <v>4.8600000000000003</v>
      </c>
      <c r="V1097">
        <v>9.8800000000000008</v>
      </c>
      <c r="W1097" t="s">
        <v>66</v>
      </c>
      <c r="X1097" t="s">
        <v>67</v>
      </c>
      <c r="Y1097" t="s">
        <v>67</v>
      </c>
      <c r="Z1097" t="s">
        <v>68</v>
      </c>
      <c r="AB1097">
        <v>4</v>
      </c>
      <c r="AC1097" t="s">
        <v>61</v>
      </c>
      <c r="AJ1097" t="s">
        <v>69</v>
      </c>
      <c r="AY1097" t="s">
        <v>1007</v>
      </c>
      <c r="AZ1097">
        <v>5893</v>
      </c>
      <c r="BA1097" t="s">
        <v>1008</v>
      </c>
      <c r="BB1097" t="s">
        <v>1009</v>
      </c>
      <c r="BC1097">
        <v>1992</v>
      </c>
      <c r="BD1097" t="s">
        <v>1010</v>
      </c>
    </row>
    <row r="1098" spans="1:56" x14ac:dyDescent="0.35">
      <c r="A1098">
        <v>107642</v>
      </c>
      <c r="B1098" t="s">
        <v>1006</v>
      </c>
      <c r="D1098" t="s">
        <v>85</v>
      </c>
      <c r="E1098">
        <v>97</v>
      </c>
      <c r="F1098" t="s">
        <v>58</v>
      </c>
      <c r="G1098" t="s">
        <v>59</v>
      </c>
      <c r="H1098" t="s">
        <v>60</v>
      </c>
      <c r="I1098" t="s">
        <v>129</v>
      </c>
      <c r="J1098" t="s">
        <v>86</v>
      </c>
      <c r="K1098" t="s">
        <v>196</v>
      </c>
      <c r="L1098" t="s">
        <v>190</v>
      </c>
      <c r="M1098" t="s">
        <v>63</v>
      </c>
      <c r="N1098" t="s">
        <v>64</v>
      </c>
      <c r="P1098" t="s">
        <v>65</v>
      </c>
      <c r="R1098">
        <v>36.200000000000003</v>
      </c>
      <c r="T1098">
        <v>31.5</v>
      </c>
      <c r="V1098">
        <v>41.4</v>
      </c>
      <c r="W1098" t="s">
        <v>66</v>
      </c>
      <c r="X1098" t="s">
        <v>67</v>
      </c>
      <c r="Y1098" t="s">
        <v>67</v>
      </c>
      <c r="Z1098" t="s">
        <v>68</v>
      </c>
      <c r="AB1098">
        <v>4</v>
      </c>
      <c r="AC1098" t="s">
        <v>61</v>
      </c>
      <c r="AJ1098" t="s">
        <v>69</v>
      </c>
      <c r="AY1098" t="s">
        <v>1007</v>
      </c>
      <c r="AZ1098">
        <v>5893</v>
      </c>
      <c r="BA1098" t="s">
        <v>1008</v>
      </c>
      <c r="BB1098" t="s">
        <v>1009</v>
      </c>
      <c r="BC1098">
        <v>1992</v>
      </c>
      <c r="BD1098" t="s">
        <v>1010</v>
      </c>
    </row>
    <row r="1099" spans="1:56" x14ac:dyDescent="0.35">
      <c r="A1099">
        <v>107642</v>
      </c>
      <c r="B1099" t="s">
        <v>1006</v>
      </c>
      <c r="D1099" t="s">
        <v>85</v>
      </c>
      <c r="E1099">
        <v>97</v>
      </c>
      <c r="F1099" t="s">
        <v>58</v>
      </c>
      <c r="G1099" t="s">
        <v>59</v>
      </c>
      <c r="H1099" t="s">
        <v>60</v>
      </c>
      <c r="I1099" t="s">
        <v>129</v>
      </c>
      <c r="J1099" t="s">
        <v>86</v>
      </c>
      <c r="K1099" t="s">
        <v>196</v>
      </c>
      <c r="L1099" t="s">
        <v>190</v>
      </c>
      <c r="M1099" t="s">
        <v>63</v>
      </c>
      <c r="N1099" t="s">
        <v>64</v>
      </c>
      <c r="P1099" t="s">
        <v>65</v>
      </c>
      <c r="R1099">
        <v>21.3</v>
      </c>
      <c r="T1099">
        <v>16.7</v>
      </c>
      <c r="V1099">
        <v>27.2</v>
      </c>
      <c r="W1099" t="s">
        <v>66</v>
      </c>
      <c r="X1099" t="s">
        <v>67</v>
      </c>
      <c r="Y1099" t="s">
        <v>67</v>
      </c>
      <c r="Z1099" t="s">
        <v>68</v>
      </c>
      <c r="AB1099">
        <v>4</v>
      </c>
      <c r="AC1099" t="s">
        <v>61</v>
      </c>
      <c r="AJ1099" t="s">
        <v>69</v>
      </c>
      <c r="AY1099" t="s">
        <v>1007</v>
      </c>
      <c r="AZ1099">
        <v>5893</v>
      </c>
      <c r="BA1099" t="s">
        <v>1008</v>
      </c>
      <c r="BB1099" t="s">
        <v>1009</v>
      </c>
      <c r="BC1099">
        <v>1992</v>
      </c>
      <c r="BD1099" t="s">
        <v>1010</v>
      </c>
    </row>
    <row r="1100" spans="1:56" x14ac:dyDescent="0.35">
      <c r="A1100">
        <v>107642</v>
      </c>
      <c r="B1100" t="s">
        <v>1006</v>
      </c>
      <c r="D1100" t="s">
        <v>85</v>
      </c>
      <c r="E1100">
        <v>97</v>
      </c>
      <c r="F1100" t="s">
        <v>58</v>
      </c>
      <c r="G1100" t="s">
        <v>59</v>
      </c>
      <c r="H1100" t="s">
        <v>60</v>
      </c>
      <c r="I1100" t="s">
        <v>129</v>
      </c>
      <c r="J1100" t="s">
        <v>86</v>
      </c>
      <c r="K1100" t="s">
        <v>196</v>
      </c>
      <c r="L1100" t="s">
        <v>190</v>
      </c>
      <c r="M1100" t="s">
        <v>63</v>
      </c>
      <c r="N1100" t="s">
        <v>64</v>
      </c>
      <c r="P1100" t="s">
        <v>65</v>
      </c>
      <c r="R1100">
        <v>13.8</v>
      </c>
      <c r="T1100">
        <v>9.8699999999999992</v>
      </c>
      <c r="V1100">
        <v>27.2</v>
      </c>
      <c r="W1100" t="s">
        <v>66</v>
      </c>
      <c r="X1100" t="s">
        <v>67</v>
      </c>
      <c r="Y1100" t="s">
        <v>67</v>
      </c>
      <c r="Z1100" t="s">
        <v>68</v>
      </c>
      <c r="AB1100">
        <v>4</v>
      </c>
      <c r="AC1100" t="s">
        <v>61</v>
      </c>
      <c r="AJ1100" t="s">
        <v>69</v>
      </c>
      <c r="AY1100" t="s">
        <v>1007</v>
      </c>
      <c r="AZ1100">
        <v>5893</v>
      </c>
      <c r="BA1100" t="s">
        <v>1008</v>
      </c>
      <c r="BB1100" t="s">
        <v>1009</v>
      </c>
      <c r="BC1100">
        <v>1992</v>
      </c>
      <c r="BD1100" t="s">
        <v>1010</v>
      </c>
    </row>
    <row r="1101" spans="1:56" x14ac:dyDescent="0.35">
      <c r="A1101">
        <v>107642</v>
      </c>
      <c r="B1101" t="s">
        <v>1006</v>
      </c>
      <c r="D1101" t="s">
        <v>85</v>
      </c>
      <c r="E1101">
        <v>97</v>
      </c>
      <c r="F1101" t="s">
        <v>58</v>
      </c>
      <c r="G1101" t="s">
        <v>59</v>
      </c>
      <c r="H1101" t="s">
        <v>60</v>
      </c>
      <c r="I1101" t="s">
        <v>129</v>
      </c>
      <c r="J1101" t="s">
        <v>86</v>
      </c>
      <c r="K1101" t="s">
        <v>196</v>
      </c>
      <c r="L1101" t="s">
        <v>190</v>
      </c>
      <c r="M1101" t="s">
        <v>63</v>
      </c>
      <c r="N1101" t="s">
        <v>64</v>
      </c>
      <c r="P1101" t="s">
        <v>65</v>
      </c>
      <c r="R1101">
        <v>13.2</v>
      </c>
      <c r="T1101">
        <v>11.6</v>
      </c>
      <c r="V1101">
        <v>15</v>
      </c>
      <c r="W1101" t="s">
        <v>66</v>
      </c>
      <c r="X1101" t="s">
        <v>67</v>
      </c>
      <c r="Y1101" t="s">
        <v>67</v>
      </c>
      <c r="Z1101" t="s">
        <v>68</v>
      </c>
      <c r="AB1101">
        <v>4</v>
      </c>
      <c r="AC1101" t="s">
        <v>61</v>
      </c>
      <c r="AJ1101" t="s">
        <v>69</v>
      </c>
      <c r="AY1101" t="s">
        <v>1007</v>
      </c>
      <c r="AZ1101">
        <v>5893</v>
      </c>
      <c r="BA1101" t="s">
        <v>1008</v>
      </c>
      <c r="BB1101" t="s">
        <v>1009</v>
      </c>
      <c r="BC1101">
        <v>1992</v>
      </c>
      <c r="BD1101" t="s">
        <v>1010</v>
      </c>
    </row>
    <row r="1102" spans="1:56" x14ac:dyDescent="0.35">
      <c r="A1102">
        <v>107879</v>
      </c>
      <c r="B1102" t="s">
        <v>1011</v>
      </c>
      <c r="D1102" t="s">
        <v>57</v>
      </c>
      <c r="E1102">
        <v>97</v>
      </c>
      <c r="F1102" t="s">
        <v>58</v>
      </c>
      <c r="G1102" t="s">
        <v>59</v>
      </c>
      <c r="H1102" t="s">
        <v>60</v>
      </c>
      <c r="J1102">
        <v>32</v>
      </c>
      <c r="K1102" t="s">
        <v>61</v>
      </c>
      <c r="L1102" t="s">
        <v>74</v>
      </c>
      <c r="M1102" t="s">
        <v>63</v>
      </c>
      <c r="N1102" t="s">
        <v>64</v>
      </c>
      <c r="P1102" t="s">
        <v>65</v>
      </c>
      <c r="R1102">
        <v>1240</v>
      </c>
      <c r="T1102">
        <v>1190</v>
      </c>
      <c r="V1102">
        <v>1290</v>
      </c>
      <c r="W1102" t="s">
        <v>66</v>
      </c>
      <c r="X1102" t="s">
        <v>67</v>
      </c>
      <c r="Y1102" t="s">
        <v>67</v>
      </c>
      <c r="Z1102" t="s">
        <v>68</v>
      </c>
      <c r="AB1102">
        <v>4</v>
      </c>
      <c r="AC1102" t="s">
        <v>61</v>
      </c>
      <c r="AJ1102" t="s">
        <v>69</v>
      </c>
      <c r="AY1102" t="s">
        <v>263</v>
      </c>
      <c r="AZ1102">
        <v>12858</v>
      </c>
      <c r="BA1102" t="s">
        <v>264</v>
      </c>
      <c r="BB1102" t="s">
        <v>265</v>
      </c>
      <c r="BC1102">
        <v>1986</v>
      </c>
      <c r="BD1102" t="s">
        <v>73</v>
      </c>
    </row>
    <row r="1103" spans="1:56" x14ac:dyDescent="0.35">
      <c r="A1103">
        <v>108054</v>
      </c>
      <c r="B1103" t="s">
        <v>1012</v>
      </c>
      <c r="D1103" t="s">
        <v>85</v>
      </c>
      <c r="E1103" t="s">
        <v>86</v>
      </c>
      <c r="F1103" t="s">
        <v>58</v>
      </c>
      <c r="G1103" t="s">
        <v>59</v>
      </c>
      <c r="H1103" t="s">
        <v>60</v>
      </c>
      <c r="J1103" t="s">
        <v>86</v>
      </c>
      <c r="L1103" t="s">
        <v>62</v>
      </c>
      <c r="M1103" t="s">
        <v>63</v>
      </c>
      <c r="N1103" t="s">
        <v>64</v>
      </c>
      <c r="P1103" t="s">
        <v>100</v>
      </c>
      <c r="R1103">
        <v>19.73</v>
      </c>
      <c r="T1103">
        <v>16.28</v>
      </c>
      <c r="V1103">
        <v>25.11</v>
      </c>
      <c r="W1103" t="s">
        <v>66</v>
      </c>
      <c r="X1103" t="s">
        <v>67</v>
      </c>
      <c r="Y1103" t="s">
        <v>67</v>
      </c>
      <c r="Z1103" t="s">
        <v>68</v>
      </c>
      <c r="AB1103">
        <v>4</v>
      </c>
      <c r="AC1103" t="s">
        <v>61</v>
      </c>
      <c r="AJ1103" t="s">
        <v>69</v>
      </c>
      <c r="AY1103" t="s">
        <v>168</v>
      </c>
      <c r="AZ1103">
        <v>728</v>
      </c>
      <c r="BA1103" t="s">
        <v>426</v>
      </c>
      <c r="BB1103" t="s">
        <v>427</v>
      </c>
      <c r="BC1103">
        <v>1966</v>
      </c>
      <c r="BD1103" t="s">
        <v>90</v>
      </c>
    </row>
    <row r="1104" spans="1:56" x14ac:dyDescent="0.35">
      <c r="A1104">
        <v>108054</v>
      </c>
      <c r="B1104" t="s">
        <v>1012</v>
      </c>
      <c r="D1104" t="s">
        <v>85</v>
      </c>
      <c r="E1104" t="s">
        <v>86</v>
      </c>
      <c r="F1104" t="s">
        <v>58</v>
      </c>
      <c r="G1104" t="s">
        <v>59</v>
      </c>
      <c r="H1104" t="s">
        <v>60</v>
      </c>
      <c r="J1104">
        <v>2</v>
      </c>
      <c r="K1104" t="s">
        <v>61</v>
      </c>
      <c r="L1104" t="s">
        <v>62</v>
      </c>
      <c r="M1104" t="s">
        <v>63</v>
      </c>
      <c r="N1104" t="s">
        <v>64</v>
      </c>
      <c r="P1104" t="s">
        <v>100</v>
      </c>
      <c r="R1104">
        <v>15</v>
      </c>
      <c r="W1104" t="s">
        <v>66</v>
      </c>
      <c r="X1104" t="s">
        <v>67</v>
      </c>
      <c r="Y1104" t="s">
        <v>67</v>
      </c>
      <c r="Z1104" t="s">
        <v>68</v>
      </c>
      <c r="AB1104">
        <v>4</v>
      </c>
      <c r="AC1104" t="s">
        <v>61</v>
      </c>
      <c r="AJ1104" t="s">
        <v>69</v>
      </c>
      <c r="AY1104" t="s">
        <v>168</v>
      </c>
      <c r="AZ1104">
        <v>728</v>
      </c>
      <c r="BA1104" t="s">
        <v>426</v>
      </c>
      <c r="BB1104" t="s">
        <v>427</v>
      </c>
      <c r="BC1104">
        <v>1966</v>
      </c>
      <c r="BD1104" t="s">
        <v>73</v>
      </c>
    </row>
    <row r="1105" spans="1:56" x14ac:dyDescent="0.35">
      <c r="A1105">
        <v>108054</v>
      </c>
      <c r="B1105" t="s">
        <v>1012</v>
      </c>
      <c r="D1105" t="s">
        <v>85</v>
      </c>
      <c r="E1105" t="s">
        <v>86</v>
      </c>
      <c r="F1105" t="s">
        <v>58</v>
      </c>
      <c r="G1105" t="s">
        <v>59</v>
      </c>
      <c r="H1105" t="s">
        <v>60</v>
      </c>
      <c r="I1105" t="s">
        <v>211</v>
      </c>
      <c r="J1105" t="s">
        <v>86</v>
      </c>
      <c r="L1105" t="s">
        <v>62</v>
      </c>
      <c r="M1105" t="s">
        <v>63</v>
      </c>
      <c r="N1105" t="s">
        <v>64</v>
      </c>
      <c r="P1105" t="s">
        <v>100</v>
      </c>
      <c r="R1105">
        <v>20</v>
      </c>
      <c r="W1105" t="s">
        <v>66</v>
      </c>
      <c r="X1105" t="s">
        <v>67</v>
      </c>
      <c r="Y1105" t="s">
        <v>67</v>
      </c>
      <c r="Z1105" t="s">
        <v>68</v>
      </c>
      <c r="AB1105">
        <v>4</v>
      </c>
      <c r="AC1105" t="s">
        <v>61</v>
      </c>
      <c r="AJ1105" t="s">
        <v>69</v>
      </c>
      <c r="AY1105" t="s">
        <v>168</v>
      </c>
      <c r="AZ1105">
        <v>728</v>
      </c>
      <c r="BA1105" t="s">
        <v>426</v>
      </c>
      <c r="BB1105" t="s">
        <v>427</v>
      </c>
      <c r="BC1105">
        <v>1966</v>
      </c>
      <c r="BD1105" t="s">
        <v>90</v>
      </c>
    </row>
    <row r="1106" spans="1:56" x14ac:dyDescent="0.35">
      <c r="A1106">
        <v>108054</v>
      </c>
      <c r="B1106" t="s">
        <v>1012</v>
      </c>
      <c r="D1106" t="s">
        <v>85</v>
      </c>
      <c r="E1106" t="s">
        <v>86</v>
      </c>
      <c r="F1106" t="s">
        <v>58</v>
      </c>
      <c r="G1106" t="s">
        <v>59</v>
      </c>
      <c r="H1106" t="s">
        <v>60</v>
      </c>
      <c r="J1106" t="s">
        <v>86</v>
      </c>
      <c r="L1106" t="s">
        <v>62</v>
      </c>
      <c r="M1106" t="s">
        <v>63</v>
      </c>
      <c r="N1106" t="s">
        <v>64</v>
      </c>
      <c r="P1106" t="s">
        <v>100</v>
      </c>
      <c r="R1106">
        <v>39.19</v>
      </c>
      <c r="T1106">
        <v>34.090000000000003</v>
      </c>
      <c r="V1106">
        <v>47.64</v>
      </c>
      <c r="W1106" t="s">
        <v>66</v>
      </c>
      <c r="X1106" t="s">
        <v>67</v>
      </c>
      <c r="Y1106" t="s">
        <v>67</v>
      </c>
      <c r="Z1106" t="s">
        <v>68</v>
      </c>
      <c r="AB1106">
        <v>4</v>
      </c>
      <c r="AC1106" t="s">
        <v>61</v>
      </c>
      <c r="AJ1106" t="s">
        <v>69</v>
      </c>
      <c r="AY1106" t="s">
        <v>168</v>
      </c>
      <c r="AZ1106">
        <v>728</v>
      </c>
      <c r="BA1106" t="s">
        <v>426</v>
      </c>
      <c r="BB1106" t="s">
        <v>427</v>
      </c>
      <c r="BC1106">
        <v>1966</v>
      </c>
      <c r="BD1106" t="s">
        <v>90</v>
      </c>
    </row>
    <row r="1107" spans="1:56" x14ac:dyDescent="0.35">
      <c r="A1107">
        <v>108054</v>
      </c>
      <c r="B1107" t="s">
        <v>1012</v>
      </c>
      <c r="D1107" t="s">
        <v>85</v>
      </c>
      <c r="E1107" t="s">
        <v>86</v>
      </c>
      <c r="F1107" t="s">
        <v>58</v>
      </c>
      <c r="G1107" t="s">
        <v>59</v>
      </c>
      <c r="H1107" t="s">
        <v>60</v>
      </c>
      <c r="J1107">
        <v>4</v>
      </c>
      <c r="K1107" t="s">
        <v>61</v>
      </c>
      <c r="L1107" t="s">
        <v>62</v>
      </c>
      <c r="M1107" t="s">
        <v>63</v>
      </c>
      <c r="N1107" t="s">
        <v>64</v>
      </c>
      <c r="P1107" t="s">
        <v>100</v>
      </c>
      <c r="R1107">
        <v>26</v>
      </c>
      <c r="W1107" t="s">
        <v>66</v>
      </c>
      <c r="X1107" t="s">
        <v>67</v>
      </c>
      <c r="Y1107" t="s">
        <v>67</v>
      </c>
      <c r="Z1107" t="s">
        <v>68</v>
      </c>
      <c r="AB1107">
        <v>4</v>
      </c>
      <c r="AC1107" t="s">
        <v>61</v>
      </c>
      <c r="AJ1107" t="s">
        <v>69</v>
      </c>
      <c r="AY1107" t="s">
        <v>168</v>
      </c>
      <c r="AZ1107">
        <v>728</v>
      </c>
      <c r="BA1107" t="s">
        <v>426</v>
      </c>
      <c r="BB1107" t="s">
        <v>427</v>
      </c>
      <c r="BC1107">
        <v>1966</v>
      </c>
      <c r="BD1107" t="s">
        <v>73</v>
      </c>
    </row>
    <row r="1108" spans="1:56" x14ac:dyDescent="0.35">
      <c r="A1108">
        <v>108054</v>
      </c>
      <c r="B1108" t="s">
        <v>1012</v>
      </c>
      <c r="D1108" t="s">
        <v>85</v>
      </c>
      <c r="E1108" t="s">
        <v>86</v>
      </c>
      <c r="F1108" t="s">
        <v>58</v>
      </c>
      <c r="G1108" t="s">
        <v>59</v>
      </c>
      <c r="H1108" t="s">
        <v>60</v>
      </c>
      <c r="J1108">
        <v>1</v>
      </c>
      <c r="K1108" t="s">
        <v>61</v>
      </c>
      <c r="L1108" t="s">
        <v>62</v>
      </c>
      <c r="M1108" t="s">
        <v>63</v>
      </c>
      <c r="N1108" t="s">
        <v>64</v>
      </c>
      <c r="P1108" t="s">
        <v>100</v>
      </c>
      <c r="R1108">
        <v>14</v>
      </c>
      <c r="W1108" t="s">
        <v>66</v>
      </c>
      <c r="X1108" t="s">
        <v>67</v>
      </c>
      <c r="Y1108" t="s">
        <v>67</v>
      </c>
      <c r="Z1108" t="s">
        <v>68</v>
      </c>
      <c r="AB1108">
        <v>4</v>
      </c>
      <c r="AC1108" t="s">
        <v>61</v>
      </c>
      <c r="AJ1108" t="s">
        <v>69</v>
      </c>
      <c r="AY1108" t="s">
        <v>168</v>
      </c>
      <c r="AZ1108">
        <v>728</v>
      </c>
      <c r="BA1108" t="s">
        <v>426</v>
      </c>
      <c r="BB1108" t="s">
        <v>427</v>
      </c>
      <c r="BC1108">
        <v>1966</v>
      </c>
      <c r="BD1108" t="s">
        <v>73</v>
      </c>
    </row>
    <row r="1109" spans="1:56" x14ac:dyDescent="0.35">
      <c r="A1109">
        <v>108054</v>
      </c>
      <c r="B1109" t="s">
        <v>1012</v>
      </c>
      <c r="D1109" t="s">
        <v>85</v>
      </c>
      <c r="E1109" t="s">
        <v>86</v>
      </c>
      <c r="F1109" t="s">
        <v>58</v>
      </c>
      <c r="G1109" t="s">
        <v>59</v>
      </c>
      <c r="H1109" t="s">
        <v>60</v>
      </c>
      <c r="I1109" t="s">
        <v>211</v>
      </c>
      <c r="J1109" t="s">
        <v>86</v>
      </c>
      <c r="L1109" t="s">
        <v>62</v>
      </c>
      <c r="M1109" t="s">
        <v>63</v>
      </c>
      <c r="N1109" t="s">
        <v>64</v>
      </c>
      <c r="P1109" t="s">
        <v>100</v>
      </c>
      <c r="R1109">
        <v>24</v>
      </c>
      <c r="W1109" t="s">
        <v>66</v>
      </c>
      <c r="X1109" t="s">
        <v>67</v>
      </c>
      <c r="Y1109" t="s">
        <v>67</v>
      </c>
      <c r="Z1109" t="s">
        <v>68</v>
      </c>
      <c r="AB1109">
        <v>4</v>
      </c>
      <c r="AC1109" t="s">
        <v>61</v>
      </c>
      <c r="AJ1109" t="s">
        <v>69</v>
      </c>
      <c r="AY1109" t="s">
        <v>168</v>
      </c>
      <c r="AZ1109">
        <v>728</v>
      </c>
      <c r="BA1109" t="s">
        <v>426</v>
      </c>
      <c r="BB1109" t="s">
        <v>427</v>
      </c>
      <c r="BC1109">
        <v>1966</v>
      </c>
      <c r="BD1109" t="s">
        <v>90</v>
      </c>
    </row>
    <row r="1110" spans="1:56" x14ac:dyDescent="0.35">
      <c r="A1110">
        <v>108054</v>
      </c>
      <c r="B1110" t="s">
        <v>1012</v>
      </c>
      <c r="D1110" t="s">
        <v>85</v>
      </c>
      <c r="E1110" t="s">
        <v>86</v>
      </c>
      <c r="F1110" t="s">
        <v>58</v>
      </c>
      <c r="G1110" t="s">
        <v>59</v>
      </c>
      <c r="H1110" t="s">
        <v>60</v>
      </c>
      <c r="J1110" t="s">
        <v>86</v>
      </c>
      <c r="L1110" t="s">
        <v>62</v>
      </c>
      <c r="M1110" t="s">
        <v>63</v>
      </c>
      <c r="N1110" t="s">
        <v>64</v>
      </c>
      <c r="P1110" t="s">
        <v>100</v>
      </c>
      <c r="R1110">
        <v>35.75</v>
      </c>
      <c r="T1110">
        <v>31.44</v>
      </c>
      <c r="V1110">
        <v>41.71</v>
      </c>
      <c r="W1110" t="s">
        <v>66</v>
      </c>
      <c r="X1110" t="s">
        <v>67</v>
      </c>
      <c r="Y1110" t="s">
        <v>67</v>
      </c>
      <c r="Z1110" t="s">
        <v>68</v>
      </c>
      <c r="AB1110">
        <v>4</v>
      </c>
      <c r="AC1110" t="s">
        <v>61</v>
      </c>
      <c r="AJ1110" t="s">
        <v>69</v>
      </c>
      <c r="AY1110" t="s">
        <v>168</v>
      </c>
      <c r="AZ1110">
        <v>728</v>
      </c>
      <c r="BA1110" t="s">
        <v>426</v>
      </c>
      <c r="BB1110" t="s">
        <v>427</v>
      </c>
      <c r="BC1110">
        <v>1966</v>
      </c>
      <c r="BD1110" t="s">
        <v>90</v>
      </c>
    </row>
    <row r="1111" spans="1:56" x14ac:dyDescent="0.35">
      <c r="A1111">
        <v>108054</v>
      </c>
      <c r="B1111" t="s">
        <v>1012</v>
      </c>
      <c r="D1111" t="s">
        <v>85</v>
      </c>
      <c r="E1111" t="s">
        <v>86</v>
      </c>
      <c r="F1111" t="s">
        <v>58</v>
      </c>
      <c r="G1111" t="s">
        <v>59</v>
      </c>
      <c r="H1111" t="s">
        <v>60</v>
      </c>
      <c r="I1111" t="s">
        <v>211</v>
      </c>
      <c r="J1111" t="s">
        <v>86</v>
      </c>
      <c r="L1111" t="s">
        <v>62</v>
      </c>
      <c r="M1111" t="s">
        <v>63</v>
      </c>
      <c r="N1111" t="s">
        <v>64</v>
      </c>
      <c r="P1111" t="s">
        <v>100</v>
      </c>
      <c r="R1111">
        <v>44</v>
      </c>
      <c r="W1111" t="s">
        <v>66</v>
      </c>
      <c r="X1111" t="s">
        <v>67</v>
      </c>
      <c r="Y1111" t="s">
        <v>67</v>
      </c>
      <c r="Z1111" t="s">
        <v>68</v>
      </c>
      <c r="AB1111">
        <v>4</v>
      </c>
      <c r="AC1111" t="s">
        <v>61</v>
      </c>
      <c r="AJ1111" t="s">
        <v>69</v>
      </c>
      <c r="AY1111" t="s">
        <v>168</v>
      </c>
      <c r="AZ1111">
        <v>728</v>
      </c>
      <c r="BA1111" t="s">
        <v>426</v>
      </c>
      <c r="BB1111" t="s">
        <v>427</v>
      </c>
      <c r="BC1111">
        <v>1966</v>
      </c>
      <c r="BD1111" t="s">
        <v>90</v>
      </c>
    </row>
    <row r="1112" spans="1:56" x14ac:dyDescent="0.35">
      <c r="A1112">
        <v>108054</v>
      </c>
      <c r="B1112" t="s">
        <v>1012</v>
      </c>
      <c r="D1112" t="s">
        <v>85</v>
      </c>
      <c r="E1112" t="s">
        <v>86</v>
      </c>
      <c r="F1112" t="s">
        <v>58</v>
      </c>
      <c r="G1112" t="s">
        <v>59</v>
      </c>
      <c r="H1112" t="s">
        <v>60</v>
      </c>
      <c r="J1112">
        <v>4</v>
      </c>
      <c r="K1112" t="s">
        <v>61</v>
      </c>
      <c r="L1112" t="s">
        <v>62</v>
      </c>
      <c r="M1112" t="s">
        <v>63</v>
      </c>
      <c r="N1112" t="s">
        <v>64</v>
      </c>
      <c r="P1112" t="s">
        <v>100</v>
      </c>
      <c r="R1112">
        <v>23</v>
      </c>
      <c r="W1112" t="s">
        <v>66</v>
      </c>
      <c r="X1112" t="s">
        <v>67</v>
      </c>
      <c r="Y1112" t="s">
        <v>67</v>
      </c>
      <c r="Z1112" t="s">
        <v>68</v>
      </c>
      <c r="AB1112">
        <v>4</v>
      </c>
      <c r="AC1112" t="s">
        <v>61</v>
      </c>
      <c r="AJ1112" t="s">
        <v>69</v>
      </c>
      <c r="AY1112" t="s">
        <v>168</v>
      </c>
      <c r="AZ1112">
        <v>728</v>
      </c>
      <c r="BA1112" t="s">
        <v>426</v>
      </c>
      <c r="BB1112" t="s">
        <v>427</v>
      </c>
      <c r="BC1112">
        <v>1966</v>
      </c>
      <c r="BD1112" t="s">
        <v>73</v>
      </c>
    </row>
    <row r="1113" spans="1:56" x14ac:dyDescent="0.35">
      <c r="A1113">
        <v>108054</v>
      </c>
      <c r="B1113" t="s">
        <v>1012</v>
      </c>
      <c r="D1113" t="s">
        <v>85</v>
      </c>
      <c r="E1113" t="s">
        <v>86</v>
      </c>
      <c r="F1113" t="s">
        <v>58</v>
      </c>
      <c r="G1113" t="s">
        <v>59</v>
      </c>
      <c r="H1113" t="s">
        <v>60</v>
      </c>
      <c r="J1113">
        <v>1</v>
      </c>
      <c r="K1113" t="s">
        <v>61</v>
      </c>
      <c r="L1113" t="s">
        <v>62</v>
      </c>
      <c r="M1113" t="s">
        <v>63</v>
      </c>
      <c r="N1113" t="s">
        <v>64</v>
      </c>
      <c r="P1113" t="s">
        <v>100</v>
      </c>
      <c r="R1113">
        <v>15</v>
      </c>
      <c r="W1113" t="s">
        <v>66</v>
      </c>
      <c r="X1113" t="s">
        <v>67</v>
      </c>
      <c r="Y1113" t="s">
        <v>67</v>
      </c>
      <c r="Z1113" t="s">
        <v>68</v>
      </c>
      <c r="AB1113">
        <v>4</v>
      </c>
      <c r="AC1113" t="s">
        <v>61</v>
      </c>
      <c r="AJ1113" t="s">
        <v>69</v>
      </c>
      <c r="AY1113" t="s">
        <v>168</v>
      </c>
      <c r="AZ1113">
        <v>728</v>
      </c>
      <c r="BA1113" t="s">
        <v>426</v>
      </c>
      <c r="BB1113" t="s">
        <v>427</v>
      </c>
      <c r="BC1113">
        <v>1966</v>
      </c>
      <c r="BD1113" t="s">
        <v>73</v>
      </c>
    </row>
    <row r="1114" spans="1:56" x14ac:dyDescent="0.35">
      <c r="A1114">
        <v>108054</v>
      </c>
      <c r="B1114" t="s">
        <v>1012</v>
      </c>
      <c r="D1114" t="s">
        <v>85</v>
      </c>
      <c r="E1114" t="s">
        <v>86</v>
      </c>
      <c r="F1114" t="s">
        <v>58</v>
      </c>
      <c r="G1114" t="s">
        <v>59</v>
      </c>
      <c r="H1114" t="s">
        <v>60</v>
      </c>
      <c r="J1114">
        <v>2</v>
      </c>
      <c r="K1114" t="s">
        <v>61</v>
      </c>
      <c r="L1114" t="s">
        <v>62</v>
      </c>
      <c r="M1114" t="s">
        <v>63</v>
      </c>
      <c r="N1114" t="s">
        <v>64</v>
      </c>
      <c r="P1114" t="s">
        <v>100</v>
      </c>
      <c r="R1114">
        <v>15</v>
      </c>
      <c r="W1114" t="s">
        <v>66</v>
      </c>
      <c r="X1114" t="s">
        <v>67</v>
      </c>
      <c r="Y1114" t="s">
        <v>67</v>
      </c>
      <c r="Z1114" t="s">
        <v>68</v>
      </c>
      <c r="AB1114">
        <v>4</v>
      </c>
      <c r="AC1114" t="s">
        <v>61</v>
      </c>
      <c r="AJ1114" t="s">
        <v>69</v>
      </c>
      <c r="AY1114" t="s">
        <v>168</v>
      </c>
      <c r="AZ1114">
        <v>728</v>
      </c>
      <c r="BA1114" t="s">
        <v>426</v>
      </c>
      <c r="BB1114" t="s">
        <v>427</v>
      </c>
      <c r="BC1114">
        <v>1966</v>
      </c>
      <c r="BD1114" t="s">
        <v>73</v>
      </c>
    </row>
    <row r="1115" spans="1:56" x14ac:dyDescent="0.35">
      <c r="A1115">
        <v>108054</v>
      </c>
      <c r="B1115" t="s">
        <v>1012</v>
      </c>
      <c r="D1115" t="s">
        <v>85</v>
      </c>
      <c r="E1115" t="s">
        <v>86</v>
      </c>
      <c r="F1115" t="s">
        <v>58</v>
      </c>
      <c r="G1115" t="s">
        <v>59</v>
      </c>
      <c r="H1115" t="s">
        <v>60</v>
      </c>
      <c r="J1115">
        <v>1</v>
      </c>
      <c r="K1115" t="s">
        <v>61</v>
      </c>
      <c r="L1115" t="s">
        <v>62</v>
      </c>
      <c r="M1115" t="s">
        <v>63</v>
      </c>
      <c r="N1115" t="s">
        <v>64</v>
      </c>
      <c r="P1115" t="s">
        <v>100</v>
      </c>
      <c r="R1115">
        <v>14</v>
      </c>
      <c r="W1115" t="s">
        <v>66</v>
      </c>
      <c r="X1115" t="s">
        <v>67</v>
      </c>
      <c r="Y1115" t="s">
        <v>67</v>
      </c>
      <c r="Z1115" t="s">
        <v>68</v>
      </c>
      <c r="AB1115">
        <v>4</v>
      </c>
      <c r="AC1115" t="s">
        <v>61</v>
      </c>
      <c r="AJ1115" t="s">
        <v>69</v>
      </c>
      <c r="AY1115" t="s">
        <v>168</v>
      </c>
      <c r="AZ1115">
        <v>728</v>
      </c>
      <c r="BA1115" t="s">
        <v>426</v>
      </c>
      <c r="BB1115" t="s">
        <v>427</v>
      </c>
      <c r="BC1115">
        <v>1966</v>
      </c>
      <c r="BD1115" t="s">
        <v>73</v>
      </c>
    </row>
    <row r="1116" spans="1:56" x14ac:dyDescent="0.35">
      <c r="A1116">
        <v>108054</v>
      </c>
      <c r="B1116" t="s">
        <v>1012</v>
      </c>
      <c r="D1116" t="s">
        <v>85</v>
      </c>
      <c r="E1116" t="s">
        <v>86</v>
      </c>
      <c r="F1116" t="s">
        <v>58</v>
      </c>
      <c r="G1116" t="s">
        <v>59</v>
      </c>
      <c r="H1116" t="s">
        <v>60</v>
      </c>
      <c r="I1116" t="s">
        <v>211</v>
      </c>
      <c r="J1116" t="s">
        <v>86</v>
      </c>
      <c r="L1116" t="s">
        <v>62</v>
      </c>
      <c r="M1116" t="s">
        <v>63</v>
      </c>
      <c r="N1116" t="s">
        <v>64</v>
      </c>
      <c r="P1116" t="s">
        <v>100</v>
      </c>
      <c r="R1116">
        <v>41</v>
      </c>
      <c r="W1116" t="s">
        <v>66</v>
      </c>
      <c r="X1116" t="s">
        <v>67</v>
      </c>
      <c r="Y1116" t="s">
        <v>67</v>
      </c>
      <c r="Z1116" t="s">
        <v>68</v>
      </c>
      <c r="AB1116">
        <v>4</v>
      </c>
      <c r="AC1116" t="s">
        <v>61</v>
      </c>
      <c r="AJ1116" t="s">
        <v>69</v>
      </c>
      <c r="AY1116" t="s">
        <v>168</v>
      </c>
      <c r="AZ1116">
        <v>728</v>
      </c>
      <c r="BA1116" t="s">
        <v>426</v>
      </c>
      <c r="BB1116" t="s">
        <v>427</v>
      </c>
      <c r="BC1116">
        <v>1966</v>
      </c>
      <c r="BD1116" t="s">
        <v>90</v>
      </c>
    </row>
    <row r="1117" spans="1:56" x14ac:dyDescent="0.35">
      <c r="A1117">
        <v>108054</v>
      </c>
      <c r="B1117" t="s">
        <v>1012</v>
      </c>
      <c r="D1117" t="s">
        <v>85</v>
      </c>
      <c r="E1117" t="s">
        <v>86</v>
      </c>
      <c r="F1117" t="s">
        <v>58</v>
      </c>
      <c r="G1117" t="s">
        <v>59</v>
      </c>
      <c r="H1117" t="s">
        <v>60</v>
      </c>
      <c r="J1117" t="s">
        <v>86</v>
      </c>
      <c r="L1117" t="s">
        <v>62</v>
      </c>
      <c r="M1117" t="s">
        <v>63</v>
      </c>
      <c r="N1117" t="s">
        <v>64</v>
      </c>
      <c r="P1117" t="s">
        <v>100</v>
      </c>
      <c r="R1117">
        <v>24</v>
      </c>
      <c r="T1117">
        <v>18.88</v>
      </c>
      <c r="V1117">
        <v>30.51</v>
      </c>
      <c r="W1117" t="s">
        <v>66</v>
      </c>
      <c r="X1117" t="s">
        <v>67</v>
      </c>
      <c r="Y1117" t="s">
        <v>67</v>
      </c>
      <c r="Z1117" t="s">
        <v>68</v>
      </c>
      <c r="AB1117">
        <v>4</v>
      </c>
      <c r="AC1117" t="s">
        <v>61</v>
      </c>
      <c r="AJ1117" t="s">
        <v>69</v>
      </c>
      <c r="AY1117" t="s">
        <v>168</v>
      </c>
      <c r="AZ1117">
        <v>728</v>
      </c>
      <c r="BA1117" t="s">
        <v>426</v>
      </c>
      <c r="BB1117" t="s">
        <v>427</v>
      </c>
      <c r="BC1117">
        <v>1966</v>
      </c>
      <c r="BD1117" t="s">
        <v>90</v>
      </c>
    </row>
    <row r="1118" spans="1:56" x14ac:dyDescent="0.35">
      <c r="A1118">
        <v>108101</v>
      </c>
      <c r="B1118" t="s">
        <v>1013</v>
      </c>
      <c r="D1118" t="s">
        <v>57</v>
      </c>
      <c r="E1118">
        <v>99.5</v>
      </c>
      <c r="F1118" t="s">
        <v>58</v>
      </c>
      <c r="G1118" t="s">
        <v>59</v>
      </c>
      <c r="H1118" t="s">
        <v>60</v>
      </c>
      <c r="J1118">
        <v>29</v>
      </c>
      <c r="K1118" t="s">
        <v>61</v>
      </c>
      <c r="L1118" t="s">
        <v>74</v>
      </c>
      <c r="M1118" t="s">
        <v>63</v>
      </c>
      <c r="N1118" t="s">
        <v>64</v>
      </c>
      <c r="P1118" t="s">
        <v>65</v>
      </c>
      <c r="R1118">
        <v>505</v>
      </c>
      <c r="T1118">
        <v>496</v>
      </c>
      <c r="V1118">
        <v>514</v>
      </c>
      <c r="W1118" t="s">
        <v>66</v>
      </c>
      <c r="X1118" t="s">
        <v>67</v>
      </c>
      <c r="Y1118" t="s">
        <v>67</v>
      </c>
      <c r="Z1118" t="s">
        <v>68</v>
      </c>
      <c r="AB1118">
        <v>4</v>
      </c>
      <c r="AC1118" t="s">
        <v>61</v>
      </c>
      <c r="AJ1118" t="s">
        <v>69</v>
      </c>
      <c r="AY1118" t="s">
        <v>286</v>
      </c>
      <c r="AZ1118">
        <v>12448</v>
      </c>
      <c r="BA1118" t="s">
        <v>287</v>
      </c>
      <c r="BB1118" t="s">
        <v>288</v>
      </c>
      <c r="BC1118">
        <v>1984</v>
      </c>
      <c r="BD1118" t="s">
        <v>73</v>
      </c>
    </row>
    <row r="1119" spans="1:56" x14ac:dyDescent="0.35">
      <c r="A1119">
        <v>108101</v>
      </c>
      <c r="B1119" t="s">
        <v>1013</v>
      </c>
      <c r="D1119" t="s">
        <v>57</v>
      </c>
      <c r="E1119" t="s">
        <v>79</v>
      </c>
      <c r="F1119" t="s">
        <v>58</v>
      </c>
      <c r="G1119" t="s">
        <v>59</v>
      </c>
      <c r="H1119" t="s">
        <v>60</v>
      </c>
      <c r="J1119">
        <v>31</v>
      </c>
      <c r="K1119" t="s">
        <v>61</v>
      </c>
      <c r="L1119" t="s">
        <v>74</v>
      </c>
      <c r="M1119" t="s">
        <v>63</v>
      </c>
      <c r="N1119" t="s">
        <v>64</v>
      </c>
      <c r="P1119" t="s">
        <v>65</v>
      </c>
      <c r="R1119">
        <v>540</v>
      </c>
      <c r="T1119">
        <v>492</v>
      </c>
      <c r="V1119">
        <v>593</v>
      </c>
      <c r="W1119" t="s">
        <v>66</v>
      </c>
      <c r="X1119" t="s">
        <v>67</v>
      </c>
      <c r="Y1119" t="s">
        <v>67</v>
      </c>
      <c r="Z1119" t="s">
        <v>68</v>
      </c>
      <c r="AB1119">
        <v>4</v>
      </c>
      <c r="AC1119" t="s">
        <v>61</v>
      </c>
      <c r="AJ1119" t="s">
        <v>69</v>
      </c>
      <c r="AY1119" t="s">
        <v>286</v>
      </c>
      <c r="AZ1119">
        <v>12448</v>
      </c>
      <c r="BA1119" t="s">
        <v>287</v>
      </c>
      <c r="BB1119" t="s">
        <v>288</v>
      </c>
      <c r="BC1119">
        <v>1984</v>
      </c>
      <c r="BD1119" t="s">
        <v>73</v>
      </c>
    </row>
    <row r="1120" spans="1:56" x14ac:dyDescent="0.35">
      <c r="A1120">
        <v>108101</v>
      </c>
      <c r="B1120" t="s">
        <v>1013</v>
      </c>
      <c r="E1120" t="s">
        <v>86</v>
      </c>
      <c r="F1120" t="s">
        <v>58</v>
      </c>
      <c r="G1120" t="s">
        <v>59</v>
      </c>
      <c r="H1120" t="s">
        <v>60</v>
      </c>
      <c r="I1120" t="s">
        <v>129</v>
      </c>
      <c r="J1120" t="s">
        <v>86</v>
      </c>
      <c r="K1120" t="s">
        <v>61</v>
      </c>
      <c r="L1120" t="s">
        <v>74</v>
      </c>
      <c r="M1120" t="s">
        <v>63</v>
      </c>
      <c r="N1120" t="s">
        <v>64</v>
      </c>
      <c r="P1120" t="s">
        <v>100</v>
      </c>
      <c r="R1120">
        <v>537</v>
      </c>
      <c r="T1120">
        <v>519</v>
      </c>
      <c r="V1120">
        <v>557</v>
      </c>
      <c r="W1120" t="s">
        <v>66</v>
      </c>
      <c r="X1120" t="s">
        <v>67</v>
      </c>
      <c r="Y1120" t="s">
        <v>67</v>
      </c>
      <c r="Z1120" t="s">
        <v>68</v>
      </c>
      <c r="AB1120">
        <v>4</v>
      </c>
      <c r="AC1120" t="s">
        <v>61</v>
      </c>
      <c r="AJ1120" t="s">
        <v>69</v>
      </c>
      <c r="AY1120" t="s">
        <v>422</v>
      </c>
      <c r="AZ1120">
        <v>14128</v>
      </c>
      <c r="BA1120" t="s">
        <v>423</v>
      </c>
      <c r="BB1120" t="s">
        <v>424</v>
      </c>
      <c r="BC1120">
        <v>1985</v>
      </c>
      <c r="BD1120" t="s">
        <v>833</v>
      </c>
    </row>
    <row r="1121" spans="1:56" x14ac:dyDescent="0.35">
      <c r="A1121">
        <v>108203</v>
      </c>
      <c r="B1121" t="s">
        <v>1014</v>
      </c>
      <c r="E1121" t="s">
        <v>86</v>
      </c>
      <c r="F1121" t="s">
        <v>58</v>
      </c>
      <c r="G1121" t="s">
        <v>59</v>
      </c>
      <c r="H1121" t="s">
        <v>60</v>
      </c>
      <c r="I1121" t="s">
        <v>129</v>
      </c>
      <c r="J1121" t="s">
        <v>86</v>
      </c>
      <c r="K1121" t="s">
        <v>61</v>
      </c>
      <c r="L1121" t="s">
        <v>74</v>
      </c>
      <c r="M1121" t="s">
        <v>63</v>
      </c>
      <c r="N1121" t="s">
        <v>64</v>
      </c>
      <c r="P1121" t="s">
        <v>100</v>
      </c>
      <c r="R1121">
        <v>900</v>
      </c>
      <c r="T1121">
        <v>881</v>
      </c>
      <c r="V1121">
        <v>920</v>
      </c>
      <c r="W1121" t="s">
        <v>66</v>
      </c>
      <c r="X1121" t="s">
        <v>67</v>
      </c>
      <c r="Y1121" t="s">
        <v>67</v>
      </c>
      <c r="Z1121" t="s">
        <v>68</v>
      </c>
      <c r="AB1121">
        <v>4</v>
      </c>
      <c r="AC1121" t="s">
        <v>61</v>
      </c>
      <c r="AJ1121" t="s">
        <v>69</v>
      </c>
      <c r="AY1121" t="s">
        <v>422</v>
      </c>
      <c r="AZ1121">
        <v>14128</v>
      </c>
      <c r="BA1121" t="s">
        <v>423</v>
      </c>
      <c r="BB1121" t="s">
        <v>424</v>
      </c>
      <c r="BC1121">
        <v>1985</v>
      </c>
      <c r="BD1121" t="s">
        <v>833</v>
      </c>
    </row>
    <row r="1122" spans="1:56" x14ac:dyDescent="0.35">
      <c r="A1122">
        <v>108203</v>
      </c>
      <c r="B1122" t="s">
        <v>1014</v>
      </c>
      <c r="D1122" t="s">
        <v>57</v>
      </c>
      <c r="E1122">
        <v>99</v>
      </c>
      <c r="F1122" t="s">
        <v>58</v>
      </c>
      <c r="G1122" t="s">
        <v>59</v>
      </c>
      <c r="H1122" t="s">
        <v>60</v>
      </c>
      <c r="J1122">
        <v>34</v>
      </c>
      <c r="K1122" t="s">
        <v>61</v>
      </c>
      <c r="L1122" t="s">
        <v>74</v>
      </c>
      <c r="M1122" t="s">
        <v>63</v>
      </c>
      <c r="N1122" t="s">
        <v>64</v>
      </c>
      <c r="P1122" t="s">
        <v>65</v>
      </c>
      <c r="R1122">
        <v>786</v>
      </c>
      <c r="W1122" t="s">
        <v>66</v>
      </c>
      <c r="X1122" t="s">
        <v>67</v>
      </c>
      <c r="Y1122" t="s">
        <v>67</v>
      </c>
      <c r="Z1122" t="s">
        <v>68</v>
      </c>
      <c r="AB1122">
        <v>4</v>
      </c>
      <c r="AC1122" t="s">
        <v>61</v>
      </c>
      <c r="AJ1122" t="s">
        <v>69</v>
      </c>
      <c r="AY1122" t="s">
        <v>141</v>
      </c>
      <c r="AZ1122">
        <v>12447</v>
      </c>
      <c r="BA1122" t="s">
        <v>142</v>
      </c>
      <c r="BB1122" t="s">
        <v>143</v>
      </c>
      <c r="BC1122">
        <v>1985</v>
      </c>
      <c r="BD1122" t="s">
        <v>73</v>
      </c>
    </row>
    <row r="1123" spans="1:56" x14ac:dyDescent="0.35">
      <c r="A1123">
        <v>108203</v>
      </c>
      <c r="B1123" t="s">
        <v>1014</v>
      </c>
      <c r="D1123" t="s">
        <v>57</v>
      </c>
      <c r="E1123" t="s">
        <v>86</v>
      </c>
      <c r="F1123" t="s">
        <v>58</v>
      </c>
      <c r="G1123" t="s">
        <v>59</v>
      </c>
      <c r="H1123" t="s">
        <v>60</v>
      </c>
      <c r="J1123" t="s">
        <v>86</v>
      </c>
      <c r="L1123" t="s">
        <v>74</v>
      </c>
      <c r="M1123" t="s">
        <v>63</v>
      </c>
      <c r="N1123" t="s">
        <v>64</v>
      </c>
      <c r="P1123" t="s">
        <v>65</v>
      </c>
      <c r="R1123">
        <v>91.7</v>
      </c>
      <c r="W1123" t="s">
        <v>66</v>
      </c>
      <c r="X1123" t="s">
        <v>67</v>
      </c>
      <c r="Y1123" t="s">
        <v>67</v>
      </c>
      <c r="Z1123" t="s">
        <v>68</v>
      </c>
      <c r="AB1123">
        <v>4</v>
      </c>
      <c r="AC1123" t="s">
        <v>61</v>
      </c>
      <c r="AJ1123" t="s">
        <v>69</v>
      </c>
      <c r="AY1123" t="s">
        <v>364</v>
      </c>
      <c r="AZ1123">
        <v>10183</v>
      </c>
      <c r="BA1123" t="s">
        <v>365</v>
      </c>
      <c r="BB1123" t="s">
        <v>366</v>
      </c>
      <c r="BC1123">
        <v>1983</v>
      </c>
      <c r="BD1123" t="s">
        <v>90</v>
      </c>
    </row>
    <row r="1124" spans="1:56" x14ac:dyDescent="0.35">
      <c r="A1124">
        <v>108383</v>
      </c>
      <c r="B1124" t="s">
        <v>1015</v>
      </c>
      <c r="D1124" t="s">
        <v>57</v>
      </c>
      <c r="E1124">
        <v>99</v>
      </c>
      <c r="F1124" t="s">
        <v>58</v>
      </c>
      <c r="G1124" t="s">
        <v>59</v>
      </c>
      <c r="H1124" t="s">
        <v>60</v>
      </c>
      <c r="J1124">
        <v>34</v>
      </c>
      <c r="K1124" t="s">
        <v>61</v>
      </c>
      <c r="L1124" t="s">
        <v>74</v>
      </c>
      <c r="M1124" t="s">
        <v>63</v>
      </c>
      <c r="N1124" t="s">
        <v>64</v>
      </c>
      <c r="P1124" t="s">
        <v>65</v>
      </c>
      <c r="R1124">
        <v>16</v>
      </c>
      <c r="T1124">
        <v>14.3</v>
      </c>
      <c r="V1124">
        <v>18</v>
      </c>
      <c r="W1124" t="s">
        <v>66</v>
      </c>
      <c r="X1124" t="s">
        <v>67</v>
      </c>
      <c r="Y1124" t="s">
        <v>67</v>
      </c>
      <c r="Z1124" t="s">
        <v>68</v>
      </c>
      <c r="AB1124">
        <v>4</v>
      </c>
      <c r="AC1124" t="s">
        <v>61</v>
      </c>
      <c r="AJ1124" t="s">
        <v>69</v>
      </c>
      <c r="AY1124" t="s">
        <v>75</v>
      </c>
      <c r="AZ1124">
        <v>3217</v>
      </c>
      <c r="BA1124" t="s">
        <v>76</v>
      </c>
      <c r="BB1124" t="s">
        <v>77</v>
      </c>
      <c r="BC1124">
        <v>1990</v>
      </c>
      <c r="BD1124" t="s">
        <v>73</v>
      </c>
    </row>
    <row r="1125" spans="1:56" x14ac:dyDescent="0.35">
      <c r="A1125">
        <v>108394</v>
      </c>
      <c r="B1125" t="s">
        <v>1016</v>
      </c>
      <c r="D1125" t="s">
        <v>85</v>
      </c>
      <c r="E1125" t="s">
        <v>86</v>
      </c>
      <c r="F1125" t="s">
        <v>58</v>
      </c>
      <c r="G1125" t="s">
        <v>59</v>
      </c>
      <c r="H1125" t="s">
        <v>60</v>
      </c>
      <c r="J1125" t="s">
        <v>86</v>
      </c>
      <c r="L1125" t="s">
        <v>74</v>
      </c>
      <c r="M1125" t="s">
        <v>63</v>
      </c>
      <c r="N1125" t="s">
        <v>64</v>
      </c>
      <c r="P1125" t="s">
        <v>100</v>
      </c>
      <c r="R1125">
        <v>55.9</v>
      </c>
      <c r="W1125" t="s">
        <v>66</v>
      </c>
      <c r="X1125" t="s">
        <v>67</v>
      </c>
      <c r="Y1125" t="s">
        <v>67</v>
      </c>
      <c r="Z1125" t="s">
        <v>68</v>
      </c>
      <c r="AB1125">
        <v>4</v>
      </c>
      <c r="AC1125" t="s">
        <v>61</v>
      </c>
      <c r="AJ1125" t="s">
        <v>69</v>
      </c>
      <c r="AY1125" t="s">
        <v>745</v>
      </c>
      <c r="AZ1125">
        <v>59196</v>
      </c>
      <c r="BA1125" t="s">
        <v>746</v>
      </c>
      <c r="BB1125" t="s">
        <v>747</v>
      </c>
      <c r="BC1125">
        <v>1977</v>
      </c>
      <c r="BD1125" t="s">
        <v>90</v>
      </c>
    </row>
    <row r="1126" spans="1:56" x14ac:dyDescent="0.35">
      <c r="A1126">
        <v>108394</v>
      </c>
      <c r="B1126" t="s">
        <v>1016</v>
      </c>
      <c r="D1126" t="s">
        <v>57</v>
      </c>
      <c r="E1126" t="s">
        <v>86</v>
      </c>
      <c r="F1126" t="s">
        <v>58</v>
      </c>
      <c r="G1126" t="s">
        <v>59</v>
      </c>
      <c r="H1126" t="s">
        <v>60</v>
      </c>
      <c r="J1126" t="s">
        <v>86</v>
      </c>
      <c r="L1126" t="s">
        <v>74</v>
      </c>
      <c r="M1126" t="s">
        <v>63</v>
      </c>
      <c r="N1126" t="s">
        <v>64</v>
      </c>
      <c r="P1126" t="s">
        <v>65</v>
      </c>
      <c r="R1126">
        <v>55.9</v>
      </c>
      <c r="W1126" t="s">
        <v>66</v>
      </c>
      <c r="X1126" t="s">
        <v>67</v>
      </c>
      <c r="Y1126" t="s">
        <v>67</v>
      </c>
      <c r="Z1126" t="s">
        <v>68</v>
      </c>
      <c r="AB1126">
        <v>4</v>
      </c>
      <c r="AC1126" t="s">
        <v>61</v>
      </c>
      <c r="AJ1126" t="s">
        <v>69</v>
      </c>
      <c r="AY1126" t="s">
        <v>811</v>
      </c>
      <c r="AZ1126">
        <v>569</v>
      </c>
      <c r="BA1126" t="s">
        <v>812</v>
      </c>
      <c r="BB1126" t="s">
        <v>813</v>
      </c>
      <c r="BC1126">
        <v>1980</v>
      </c>
      <c r="BD1126" t="s">
        <v>90</v>
      </c>
    </row>
    <row r="1127" spans="1:56" x14ac:dyDescent="0.35">
      <c r="A1127">
        <v>108463</v>
      </c>
      <c r="B1127" t="s">
        <v>1017</v>
      </c>
      <c r="C1127" t="s">
        <v>195</v>
      </c>
      <c r="D1127" t="s">
        <v>85</v>
      </c>
      <c r="E1127" t="s">
        <v>86</v>
      </c>
      <c r="F1127" t="s">
        <v>58</v>
      </c>
      <c r="G1127" t="s">
        <v>59</v>
      </c>
      <c r="H1127" t="s">
        <v>60</v>
      </c>
      <c r="I1127" t="s">
        <v>129</v>
      </c>
      <c r="J1127" t="s">
        <v>86</v>
      </c>
      <c r="L1127" t="s">
        <v>62</v>
      </c>
      <c r="M1127" t="s">
        <v>63</v>
      </c>
      <c r="N1127" t="s">
        <v>64</v>
      </c>
      <c r="O1127">
        <v>5</v>
      </c>
      <c r="P1127" t="s">
        <v>65</v>
      </c>
      <c r="R1127">
        <v>40</v>
      </c>
      <c r="W1127" t="s">
        <v>66</v>
      </c>
      <c r="X1127" t="s">
        <v>67</v>
      </c>
      <c r="Y1127" t="s">
        <v>67</v>
      </c>
      <c r="Z1127" t="s">
        <v>68</v>
      </c>
      <c r="AB1127">
        <v>4</v>
      </c>
      <c r="AC1127" t="s">
        <v>61</v>
      </c>
      <c r="AJ1127" t="s">
        <v>69</v>
      </c>
      <c r="AY1127" t="s">
        <v>298</v>
      </c>
      <c r="AZ1127">
        <v>11951</v>
      </c>
      <c r="BA1127" t="s">
        <v>299</v>
      </c>
      <c r="BB1127" t="s">
        <v>300</v>
      </c>
      <c r="BC1127">
        <v>1986</v>
      </c>
      <c r="BD1127" t="s">
        <v>90</v>
      </c>
    </row>
    <row r="1128" spans="1:56" x14ac:dyDescent="0.35">
      <c r="A1128">
        <v>108463</v>
      </c>
      <c r="B1128" t="s">
        <v>1017</v>
      </c>
      <c r="D1128" t="s">
        <v>85</v>
      </c>
      <c r="E1128" t="s">
        <v>86</v>
      </c>
      <c r="F1128" t="s">
        <v>58</v>
      </c>
      <c r="G1128" t="s">
        <v>59</v>
      </c>
      <c r="H1128" t="s">
        <v>60</v>
      </c>
      <c r="J1128" t="s">
        <v>86</v>
      </c>
      <c r="L1128" t="s">
        <v>74</v>
      </c>
      <c r="M1128" t="s">
        <v>63</v>
      </c>
      <c r="N1128" t="s">
        <v>64</v>
      </c>
      <c r="P1128" t="s">
        <v>100</v>
      </c>
      <c r="Q1128" t="s">
        <v>172</v>
      </c>
      <c r="R1128">
        <v>100</v>
      </c>
      <c r="W1128" t="s">
        <v>66</v>
      </c>
      <c r="X1128" t="s">
        <v>67</v>
      </c>
      <c r="Y1128" t="s">
        <v>67</v>
      </c>
      <c r="Z1128" t="s">
        <v>68</v>
      </c>
      <c r="AB1128">
        <v>4</v>
      </c>
      <c r="AC1128" t="s">
        <v>61</v>
      </c>
      <c r="AJ1128" t="s">
        <v>69</v>
      </c>
      <c r="AY1128" t="s">
        <v>745</v>
      </c>
      <c r="AZ1128">
        <v>59196</v>
      </c>
      <c r="BA1128" t="s">
        <v>746</v>
      </c>
      <c r="BB1128" t="s">
        <v>747</v>
      </c>
      <c r="BC1128">
        <v>1977</v>
      </c>
      <c r="BD1128" t="s">
        <v>90</v>
      </c>
    </row>
    <row r="1129" spans="1:56" x14ac:dyDescent="0.35">
      <c r="A1129">
        <v>108463</v>
      </c>
      <c r="B1129" t="s">
        <v>1017</v>
      </c>
      <c r="D1129" t="s">
        <v>57</v>
      </c>
      <c r="E1129" t="s">
        <v>86</v>
      </c>
      <c r="F1129" t="s">
        <v>58</v>
      </c>
      <c r="G1129" t="s">
        <v>59</v>
      </c>
      <c r="H1129" t="s">
        <v>60</v>
      </c>
      <c r="J1129" t="s">
        <v>86</v>
      </c>
      <c r="L1129" t="s">
        <v>62</v>
      </c>
      <c r="M1129" t="s">
        <v>63</v>
      </c>
      <c r="N1129" t="s">
        <v>64</v>
      </c>
      <c r="P1129" t="s">
        <v>65</v>
      </c>
      <c r="R1129">
        <v>49.5</v>
      </c>
      <c r="W1129" t="s">
        <v>66</v>
      </c>
      <c r="X1129" t="s">
        <v>67</v>
      </c>
      <c r="Y1129" t="s">
        <v>67</v>
      </c>
      <c r="Z1129" t="s">
        <v>68</v>
      </c>
      <c r="AB1129">
        <v>4</v>
      </c>
      <c r="AC1129" t="s">
        <v>61</v>
      </c>
      <c r="AJ1129" t="s">
        <v>69</v>
      </c>
      <c r="AY1129" t="s">
        <v>818</v>
      </c>
      <c r="AZ1129">
        <v>5735</v>
      </c>
      <c r="BA1129" t="s">
        <v>821</v>
      </c>
      <c r="BB1129" t="s">
        <v>822</v>
      </c>
      <c r="BC1129">
        <v>1978</v>
      </c>
      <c r="BD1129" t="s">
        <v>90</v>
      </c>
    </row>
    <row r="1130" spans="1:56" x14ac:dyDescent="0.35">
      <c r="A1130">
        <v>108463</v>
      </c>
      <c r="B1130" t="s">
        <v>1017</v>
      </c>
      <c r="D1130" t="s">
        <v>57</v>
      </c>
      <c r="E1130" t="s">
        <v>86</v>
      </c>
      <c r="F1130" t="s">
        <v>58</v>
      </c>
      <c r="G1130" t="s">
        <v>59</v>
      </c>
      <c r="H1130" t="s">
        <v>60</v>
      </c>
      <c r="J1130" t="s">
        <v>86</v>
      </c>
      <c r="L1130" t="s">
        <v>62</v>
      </c>
      <c r="M1130" t="s">
        <v>63</v>
      </c>
      <c r="N1130" t="s">
        <v>64</v>
      </c>
      <c r="P1130" t="s">
        <v>65</v>
      </c>
      <c r="R1130">
        <v>56.5</v>
      </c>
      <c r="T1130">
        <v>48.3</v>
      </c>
      <c r="V1130">
        <v>66.099999999999994</v>
      </c>
      <c r="W1130" t="s">
        <v>66</v>
      </c>
      <c r="X1130" t="s">
        <v>67</v>
      </c>
      <c r="Y1130" t="s">
        <v>67</v>
      </c>
      <c r="Z1130" t="s">
        <v>68</v>
      </c>
      <c r="AB1130">
        <v>4</v>
      </c>
      <c r="AC1130" t="s">
        <v>61</v>
      </c>
      <c r="AJ1130" t="s">
        <v>69</v>
      </c>
      <c r="AY1130" t="s">
        <v>818</v>
      </c>
      <c r="AZ1130">
        <v>5735</v>
      </c>
      <c r="BA1130" t="s">
        <v>821</v>
      </c>
      <c r="BB1130" t="s">
        <v>822</v>
      </c>
      <c r="BC1130">
        <v>1978</v>
      </c>
      <c r="BD1130" t="s">
        <v>90</v>
      </c>
    </row>
    <row r="1131" spans="1:56" x14ac:dyDescent="0.35">
      <c r="A1131">
        <v>108463</v>
      </c>
      <c r="B1131" t="s">
        <v>1017</v>
      </c>
      <c r="D1131" t="s">
        <v>57</v>
      </c>
      <c r="E1131" t="s">
        <v>86</v>
      </c>
      <c r="F1131" t="s">
        <v>58</v>
      </c>
      <c r="G1131" t="s">
        <v>59</v>
      </c>
      <c r="H1131" t="s">
        <v>60</v>
      </c>
      <c r="J1131" t="s">
        <v>86</v>
      </c>
      <c r="L1131" t="s">
        <v>74</v>
      </c>
      <c r="M1131" t="s">
        <v>63</v>
      </c>
      <c r="N1131" t="s">
        <v>64</v>
      </c>
      <c r="P1131" t="s">
        <v>65</v>
      </c>
      <c r="R1131">
        <v>100</v>
      </c>
      <c r="W1131" t="s">
        <v>66</v>
      </c>
      <c r="X1131" t="s">
        <v>67</v>
      </c>
      <c r="Y1131" t="s">
        <v>67</v>
      </c>
      <c r="Z1131" t="s">
        <v>68</v>
      </c>
      <c r="AB1131">
        <v>4</v>
      </c>
      <c r="AC1131" t="s">
        <v>61</v>
      </c>
      <c r="AJ1131" t="s">
        <v>69</v>
      </c>
      <c r="AY1131" t="s">
        <v>811</v>
      </c>
      <c r="AZ1131">
        <v>569</v>
      </c>
      <c r="BA1131" t="s">
        <v>812</v>
      </c>
      <c r="BB1131" t="s">
        <v>813</v>
      </c>
      <c r="BC1131">
        <v>1980</v>
      </c>
      <c r="BD1131" t="s">
        <v>90</v>
      </c>
    </row>
    <row r="1132" spans="1:56" x14ac:dyDescent="0.35">
      <c r="A1132">
        <v>108463</v>
      </c>
      <c r="B1132" t="s">
        <v>1017</v>
      </c>
      <c r="D1132" t="s">
        <v>57</v>
      </c>
      <c r="E1132" t="s">
        <v>86</v>
      </c>
      <c r="F1132" t="s">
        <v>58</v>
      </c>
      <c r="G1132" t="s">
        <v>59</v>
      </c>
      <c r="H1132" t="s">
        <v>60</v>
      </c>
      <c r="J1132" t="s">
        <v>86</v>
      </c>
      <c r="L1132" t="s">
        <v>62</v>
      </c>
      <c r="M1132" t="s">
        <v>63</v>
      </c>
      <c r="N1132" t="s">
        <v>64</v>
      </c>
      <c r="O1132" t="s">
        <v>267</v>
      </c>
      <c r="P1132" t="s">
        <v>65</v>
      </c>
      <c r="R1132">
        <v>60</v>
      </c>
      <c r="T1132">
        <v>36</v>
      </c>
      <c r="V1132">
        <v>100</v>
      </c>
      <c r="W1132" t="s">
        <v>66</v>
      </c>
      <c r="X1132" t="s">
        <v>67</v>
      </c>
      <c r="Y1132" t="s">
        <v>67</v>
      </c>
      <c r="Z1132" t="s">
        <v>68</v>
      </c>
      <c r="AB1132">
        <v>4</v>
      </c>
      <c r="AC1132" t="s">
        <v>61</v>
      </c>
      <c r="AJ1132" t="s">
        <v>69</v>
      </c>
      <c r="AY1132" t="s">
        <v>268</v>
      </c>
      <c r="AZ1132">
        <v>2965</v>
      </c>
      <c r="BA1132" t="s">
        <v>269</v>
      </c>
      <c r="BB1132" t="s">
        <v>270</v>
      </c>
      <c r="BC1132">
        <v>1981</v>
      </c>
      <c r="BD1132" t="s">
        <v>90</v>
      </c>
    </row>
    <row r="1133" spans="1:56" x14ac:dyDescent="0.35">
      <c r="A1133">
        <v>108463</v>
      </c>
      <c r="B1133" t="s">
        <v>1017</v>
      </c>
      <c r="D1133" t="s">
        <v>57</v>
      </c>
      <c r="E1133" t="s">
        <v>86</v>
      </c>
      <c r="F1133" t="s">
        <v>58</v>
      </c>
      <c r="G1133" t="s">
        <v>59</v>
      </c>
      <c r="H1133" t="s">
        <v>60</v>
      </c>
      <c r="J1133" t="s">
        <v>86</v>
      </c>
      <c r="L1133" t="s">
        <v>62</v>
      </c>
      <c r="M1133" t="s">
        <v>63</v>
      </c>
      <c r="N1133" t="s">
        <v>64</v>
      </c>
      <c r="P1133" t="s">
        <v>65</v>
      </c>
      <c r="R1133">
        <v>53.4</v>
      </c>
      <c r="T1133">
        <v>41.1</v>
      </c>
      <c r="V1133">
        <v>72.099999999999994</v>
      </c>
      <c r="W1133" t="s">
        <v>66</v>
      </c>
      <c r="X1133" t="s">
        <v>67</v>
      </c>
      <c r="Y1133" t="s">
        <v>67</v>
      </c>
      <c r="Z1133" t="s">
        <v>68</v>
      </c>
      <c r="AB1133">
        <v>4</v>
      </c>
      <c r="AC1133" t="s">
        <v>61</v>
      </c>
      <c r="AJ1133" t="s">
        <v>69</v>
      </c>
      <c r="AY1133" t="s">
        <v>818</v>
      </c>
      <c r="AZ1133">
        <v>875</v>
      </c>
      <c r="BA1133" t="s">
        <v>819</v>
      </c>
      <c r="BB1133" t="s">
        <v>820</v>
      </c>
      <c r="BC1133">
        <v>1979</v>
      </c>
      <c r="BD1133" t="s">
        <v>90</v>
      </c>
    </row>
    <row r="1134" spans="1:56" x14ac:dyDescent="0.35">
      <c r="A1134">
        <v>108861</v>
      </c>
      <c r="B1134" t="s">
        <v>1018</v>
      </c>
      <c r="D1134" t="s">
        <v>57</v>
      </c>
      <c r="E1134" t="s">
        <v>79</v>
      </c>
      <c r="F1134" t="s">
        <v>58</v>
      </c>
      <c r="G1134" t="s">
        <v>59</v>
      </c>
      <c r="H1134" t="s">
        <v>60</v>
      </c>
      <c r="I1134" t="s">
        <v>188</v>
      </c>
      <c r="J1134" t="s">
        <v>289</v>
      </c>
      <c r="K1134" t="s">
        <v>184</v>
      </c>
      <c r="L1134" t="s">
        <v>74</v>
      </c>
      <c r="M1134" t="s">
        <v>63</v>
      </c>
      <c r="N1134" t="s">
        <v>64</v>
      </c>
      <c r="P1134" t="s">
        <v>65</v>
      </c>
      <c r="R1134">
        <v>5.6</v>
      </c>
      <c r="W1134" t="s">
        <v>66</v>
      </c>
      <c r="X1134" t="s">
        <v>67</v>
      </c>
      <c r="Y1134" t="s">
        <v>67</v>
      </c>
      <c r="Z1134" t="s">
        <v>68</v>
      </c>
      <c r="AB1134">
        <v>4</v>
      </c>
      <c r="AC1134" t="s">
        <v>61</v>
      </c>
      <c r="AJ1134" t="s">
        <v>69</v>
      </c>
      <c r="AY1134" t="s">
        <v>777</v>
      </c>
      <c r="AZ1134">
        <v>4343</v>
      </c>
      <c r="BA1134" t="s">
        <v>778</v>
      </c>
      <c r="BB1134" t="s">
        <v>779</v>
      </c>
      <c r="BC1134">
        <v>1993</v>
      </c>
      <c r="BD1134" t="s">
        <v>185</v>
      </c>
    </row>
    <row r="1135" spans="1:56" x14ac:dyDescent="0.35">
      <c r="A1135">
        <v>108883</v>
      </c>
      <c r="B1135" t="s">
        <v>1019</v>
      </c>
      <c r="C1135" t="s">
        <v>195</v>
      </c>
      <c r="D1135" t="s">
        <v>57</v>
      </c>
      <c r="E1135" t="s">
        <v>86</v>
      </c>
      <c r="F1135" t="s">
        <v>58</v>
      </c>
      <c r="G1135" t="s">
        <v>59</v>
      </c>
      <c r="H1135" t="s">
        <v>60</v>
      </c>
      <c r="I1135" t="s">
        <v>392</v>
      </c>
      <c r="J1135" t="s">
        <v>86</v>
      </c>
      <c r="K1135" t="s">
        <v>61</v>
      </c>
      <c r="L1135" t="s">
        <v>62</v>
      </c>
      <c r="M1135" t="s">
        <v>63</v>
      </c>
      <c r="N1135" t="s">
        <v>64</v>
      </c>
      <c r="O1135" t="s">
        <v>381</v>
      </c>
      <c r="P1135" t="s">
        <v>65</v>
      </c>
      <c r="R1135">
        <v>54</v>
      </c>
      <c r="T1135">
        <v>48.8</v>
      </c>
      <c r="V1135">
        <v>61.2</v>
      </c>
      <c r="W1135" t="s">
        <v>66</v>
      </c>
      <c r="X1135" t="s">
        <v>67</v>
      </c>
      <c r="Y1135" t="s">
        <v>67</v>
      </c>
      <c r="Z1135" t="s">
        <v>68</v>
      </c>
      <c r="AB1135">
        <v>4</v>
      </c>
      <c r="AC1135" t="s">
        <v>61</v>
      </c>
      <c r="AJ1135" t="s">
        <v>69</v>
      </c>
      <c r="AY1135" t="s">
        <v>382</v>
      </c>
      <c r="AZ1135">
        <v>163462</v>
      </c>
      <c r="BA1135" t="s">
        <v>383</v>
      </c>
      <c r="BB1135" t="s">
        <v>384</v>
      </c>
      <c r="BC1135">
        <v>1987</v>
      </c>
      <c r="BD1135" t="s">
        <v>393</v>
      </c>
    </row>
    <row r="1136" spans="1:56" x14ac:dyDescent="0.35">
      <c r="A1136">
        <v>108883</v>
      </c>
      <c r="B1136" t="s">
        <v>1019</v>
      </c>
      <c r="D1136" t="s">
        <v>57</v>
      </c>
      <c r="E1136" t="s">
        <v>86</v>
      </c>
      <c r="F1136" t="s">
        <v>58</v>
      </c>
      <c r="G1136" t="s">
        <v>59</v>
      </c>
      <c r="H1136" t="s">
        <v>60</v>
      </c>
      <c r="J1136">
        <v>30</v>
      </c>
      <c r="K1136" t="s">
        <v>61</v>
      </c>
      <c r="L1136" t="s">
        <v>74</v>
      </c>
      <c r="M1136" t="s">
        <v>63</v>
      </c>
      <c r="N1136" t="s">
        <v>64</v>
      </c>
      <c r="P1136" t="s">
        <v>65</v>
      </c>
      <c r="R1136">
        <v>31</v>
      </c>
      <c r="T1136">
        <v>24</v>
      </c>
      <c r="V1136">
        <v>44</v>
      </c>
      <c r="W1136" t="s">
        <v>66</v>
      </c>
      <c r="X1136" t="s">
        <v>67</v>
      </c>
      <c r="Y1136" t="s">
        <v>67</v>
      </c>
      <c r="Z1136" t="s">
        <v>68</v>
      </c>
      <c r="AB1136">
        <v>4</v>
      </c>
      <c r="AC1136" t="s">
        <v>61</v>
      </c>
      <c r="AJ1136" t="s">
        <v>69</v>
      </c>
      <c r="AY1136" t="s">
        <v>1020</v>
      </c>
      <c r="AZ1136">
        <v>15560</v>
      </c>
      <c r="BA1136" t="s">
        <v>1021</v>
      </c>
      <c r="BB1136" t="s">
        <v>1022</v>
      </c>
      <c r="BC1136">
        <v>1982</v>
      </c>
      <c r="BD1136" t="s">
        <v>73</v>
      </c>
    </row>
    <row r="1137" spans="1:56" x14ac:dyDescent="0.35">
      <c r="A1137">
        <v>108883</v>
      </c>
      <c r="B1137" t="s">
        <v>1019</v>
      </c>
      <c r="C1137" t="s">
        <v>195</v>
      </c>
      <c r="D1137" t="s">
        <v>57</v>
      </c>
      <c r="E1137" t="s">
        <v>86</v>
      </c>
      <c r="F1137" t="s">
        <v>58</v>
      </c>
      <c r="G1137" t="s">
        <v>59</v>
      </c>
      <c r="H1137" t="s">
        <v>60</v>
      </c>
      <c r="I1137" t="s">
        <v>129</v>
      </c>
      <c r="J1137" t="s">
        <v>86</v>
      </c>
      <c r="K1137" t="s">
        <v>61</v>
      </c>
      <c r="L1137" t="s">
        <v>62</v>
      </c>
      <c r="M1137" t="s">
        <v>63</v>
      </c>
      <c r="N1137" t="s">
        <v>64</v>
      </c>
      <c r="O1137" t="s">
        <v>381</v>
      </c>
      <c r="P1137" t="s">
        <v>65</v>
      </c>
      <c r="R1137">
        <v>77.400000000000006</v>
      </c>
      <c r="T1137">
        <v>71.7</v>
      </c>
      <c r="V1137">
        <v>82.8</v>
      </c>
      <c r="W1137" t="s">
        <v>66</v>
      </c>
      <c r="X1137" t="s">
        <v>67</v>
      </c>
      <c r="Y1137" t="s">
        <v>67</v>
      </c>
      <c r="Z1137" t="s">
        <v>68</v>
      </c>
      <c r="AB1137">
        <v>4</v>
      </c>
      <c r="AC1137" t="s">
        <v>61</v>
      </c>
      <c r="AJ1137" t="s">
        <v>69</v>
      </c>
      <c r="AY1137" t="s">
        <v>382</v>
      </c>
      <c r="AZ1137">
        <v>163462</v>
      </c>
      <c r="BA1137" t="s">
        <v>383</v>
      </c>
      <c r="BB1137" t="s">
        <v>384</v>
      </c>
      <c r="BC1137">
        <v>1987</v>
      </c>
      <c r="BD1137" t="s">
        <v>127</v>
      </c>
    </row>
    <row r="1138" spans="1:56" x14ac:dyDescent="0.35">
      <c r="A1138">
        <v>108883</v>
      </c>
      <c r="B1138" t="s">
        <v>1019</v>
      </c>
      <c r="D1138" t="s">
        <v>85</v>
      </c>
      <c r="E1138" t="s">
        <v>86</v>
      </c>
      <c r="F1138" t="s">
        <v>58</v>
      </c>
      <c r="G1138" t="s">
        <v>59</v>
      </c>
      <c r="H1138" t="s">
        <v>60</v>
      </c>
      <c r="I1138" t="s">
        <v>1023</v>
      </c>
      <c r="J1138" t="s">
        <v>86</v>
      </c>
      <c r="L1138" t="s">
        <v>74</v>
      </c>
      <c r="M1138" t="s">
        <v>63</v>
      </c>
      <c r="N1138" t="s">
        <v>64</v>
      </c>
      <c r="P1138" t="s">
        <v>100</v>
      </c>
      <c r="T1138">
        <v>25</v>
      </c>
      <c r="V1138">
        <v>36</v>
      </c>
      <c r="W1138" t="s">
        <v>66</v>
      </c>
      <c r="X1138" t="s">
        <v>67</v>
      </c>
      <c r="Y1138" t="s">
        <v>67</v>
      </c>
      <c r="Z1138" t="s">
        <v>68</v>
      </c>
      <c r="AB1138">
        <v>4</v>
      </c>
      <c r="AC1138" t="s">
        <v>61</v>
      </c>
      <c r="AJ1138" t="s">
        <v>69</v>
      </c>
      <c r="AY1138" t="s">
        <v>1024</v>
      </c>
      <c r="AZ1138">
        <v>12405</v>
      </c>
      <c r="BA1138" t="s">
        <v>1025</v>
      </c>
      <c r="BB1138" t="s">
        <v>1026</v>
      </c>
      <c r="BC1138">
        <v>1982</v>
      </c>
      <c r="BD1138" t="s">
        <v>90</v>
      </c>
    </row>
    <row r="1139" spans="1:56" x14ac:dyDescent="0.35">
      <c r="A1139">
        <v>108883</v>
      </c>
      <c r="B1139" t="s">
        <v>1019</v>
      </c>
      <c r="D1139" t="s">
        <v>57</v>
      </c>
      <c r="E1139">
        <v>99.8</v>
      </c>
      <c r="F1139" t="s">
        <v>58</v>
      </c>
      <c r="G1139" t="s">
        <v>59</v>
      </c>
      <c r="H1139" t="s">
        <v>60</v>
      </c>
      <c r="I1139" t="s">
        <v>188</v>
      </c>
      <c r="J1139" t="s">
        <v>289</v>
      </c>
      <c r="K1139" t="s">
        <v>184</v>
      </c>
      <c r="L1139" t="s">
        <v>74</v>
      </c>
      <c r="M1139" t="s">
        <v>63</v>
      </c>
      <c r="N1139" t="s">
        <v>64</v>
      </c>
      <c r="P1139" t="s">
        <v>65</v>
      </c>
      <c r="R1139">
        <v>17.03</v>
      </c>
      <c r="T1139">
        <v>15.22</v>
      </c>
      <c r="V1139">
        <v>19.05</v>
      </c>
      <c r="W1139" t="s">
        <v>66</v>
      </c>
      <c r="X1139" t="s">
        <v>67</v>
      </c>
      <c r="Y1139" t="s">
        <v>290</v>
      </c>
      <c r="Z1139" t="s">
        <v>68</v>
      </c>
      <c r="AB1139">
        <v>4</v>
      </c>
      <c r="AC1139" t="s">
        <v>61</v>
      </c>
      <c r="AJ1139" t="s">
        <v>69</v>
      </c>
      <c r="AY1139" t="s">
        <v>291</v>
      </c>
      <c r="AZ1139">
        <v>3910</v>
      </c>
      <c r="BA1139" t="s">
        <v>292</v>
      </c>
      <c r="BB1139" t="s">
        <v>293</v>
      </c>
      <c r="BC1139">
        <v>1992</v>
      </c>
      <c r="BD1139" t="s">
        <v>185</v>
      </c>
    </row>
    <row r="1140" spans="1:56" x14ac:dyDescent="0.35">
      <c r="A1140">
        <v>108883</v>
      </c>
      <c r="B1140" t="s">
        <v>1019</v>
      </c>
      <c r="C1140" t="s">
        <v>195</v>
      </c>
      <c r="E1140" t="s">
        <v>86</v>
      </c>
      <c r="F1140" t="s">
        <v>58</v>
      </c>
      <c r="G1140" t="s">
        <v>59</v>
      </c>
      <c r="H1140" t="s">
        <v>60</v>
      </c>
      <c r="I1140" t="s">
        <v>392</v>
      </c>
      <c r="J1140" t="s">
        <v>86</v>
      </c>
      <c r="K1140" t="s">
        <v>61</v>
      </c>
      <c r="L1140" t="s">
        <v>62</v>
      </c>
      <c r="M1140" t="s">
        <v>63</v>
      </c>
      <c r="N1140" t="s">
        <v>64</v>
      </c>
      <c r="O1140" t="s">
        <v>955</v>
      </c>
      <c r="P1140" t="s">
        <v>65</v>
      </c>
      <c r="R1140">
        <v>54</v>
      </c>
      <c r="T1140">
        <v>48.8</v>
      </c>
      <c r="V1140">
        <v>61.2</v>
      </c>
      <c r="W1140" t="s">
        <v>66</v>
      </c>
      <c r="X1140" t="s">
        <v>67</v>
      </c>
      <c r="Y1140" t="s">
        <v>67</v>
      </c>
      <c r="Z1140" t="s">
        <v>68</v>
      </c>
      <c r="AB1140">
        <v>4</v>
      </c>
      <c r="AC1140" t="s">
        <v>61</v>
      </c>
      <c r="AJ1140" t="s">
        <v>69</v>
      </c>
      <c r="AY1140" t="s">
        <v>382</v>
      </c>
      <c r="AZ1140">
        <v>91316</v>
      </c>
      <c r="BA1140" t="s">
        <v>956</v>
      </c>
      <c r="BB1140" t="s">
        <v>957</v>
      </c>
      <c r="BC1140">
        <v>1982</v>
      </c>
      <c r="BD1140" t="s">
        <v>393</v>
      </c>
    </row>
    <row r="1141" spans="1:56" x14ac:dyDescent="0.35">
      <c r="A1141">
        <v>108883</v>
      </c>
      <c r="B1141" t="s">
        <v>1019</v>
      </c>
      <c r="D1141" t="s">
        <v>57</v>
      </c>
      <c r="E1141" t="s">
        <v>86</v>
      </c>
      <c r="F1141" t="s">
        <v>58</v>
      </c>
      <c r="G1141" t="s">
        <v>59</v>
      </c>
      <c r="H1141" t="s">
        <v>60</v>
      </c>
      <c r="J1141">
        <v>30</v>
      </c>
      <c r="K1141" t="s">
        <v>61</v>
      </c>
      <c r="L1141" t="s">
        <v>74</v>
      </c>
      <c r="M1141" t="s">
        <v>63</v>
      </c>
      <c r="N1141" t="s">
        <v>64</v>
      </c>
      <c r="P1141" t="s">
        <v>65</v>
      </c>
      <c r="R1141">
        <v>30</v>
      </c>
      <c r="T1141">
        <v>23</v>
      </c>
      <c r="V1141">
        <v>42</v>
      </c>
      <c r="W1141" t="s">
        <v>66</v>
      </c>
      <c r="X1141" t="s">
        <v>67</v>
      </c>
      <c r="Y1141" t="s">
        <v>67</v>
      </c>
      <c r="Z1141" t="s">
        <v>68</v>
      </c>
      <c r="AB1141">
        <v>4</v>
      </c>
      <c r="AC1141" t="s">
        <v>61</v>
      </c>
      <c r="AJ1141" t="s">
        <v>69</v>
      </c>
      <c r="AY1141" t="s">
        <v>1020</v>
      </c>
      <c r="AZ1141">
        <v>15560</v>
      </c>
      <c r="BA1141" t="s">
        <v>1021</v>
      </c>
      <c r="BB1141" t="s">
        <v>1022</v>
      </c>
      <c r="BC1141">
        <v>1982</v>
      </c>
      <c r="BD1141" t="s">
        <v>73</v>
      </c>
    </row>
    <row r="1142" spans="1:56" x14ac:dyDescent="0.35">
      <c r="A1142">
        <v>108883</v>
      </c>
      <c r="B1142" t="s">
        <v>1019</v>
      </c>
      <c r="D1142" t="s">
        <v>57</v>
      </c>
      <c r="E1142" t="s">
        <v>86</v>
      </c>
      <c r="F1142" t="s">
        <v>58</v>
      </c>
      <c r="G1142" t="s">
        <v>59</v>
      </c>
      <c r="H1142" t="s">
        <v>60</v>
      </c>
      <c r="I1142" t="s">
        <v>1023</v>
      </c>
      <c r="J1142">
        <v>1</v>
      </c>
      <c r="K1142" t="s">
        <v>1027</v>
      </c>
      <c r="L1142" t="s">
        <v>74</v>
      </c>
      <c r="M1142" t="s">
        <v>63</v>
      </c>
      <c r="N1142" t="s">
        <v>64</v>
      </c>
      <c r="P1142" t="s">
        <v>65</v>
      </c>
      <c r="R1142">
        <v>27</v>
      </c>
      <c r="T1142">
        <v>23</v>
      </c>
      <c r="V1142">
        <v>32</v>
      </c>
      <c r="W1142" t="s">
        <v>66</v>
      </c>
      <c r="X1142" t="s">
        <v>67</v>
      </c>
      <c r="Y1142" t="s">
        <v>67</v>
      </c>
      <c r="Z1142" t="s">
        <v>68</v>
      </c>
      <c r="AB1142">
        <v>4</v>
      </c>
      <c r="AC1142" t="s">
        <v>61</v>
      </c>
      <c r="AJ1142" t="s">
        <v>69</v>
      </c>
      <c r="AY1142" t="s">
        <v>1020</v>
      </c>
      <c r="AZ1142">
        <v>15560</v>
      </c>
      <c r="BA1142" t="s">
        <v>1021</v>
      </c>
      <c r="BB1142" t="s">
        <v>1022</v>
      </c>
      <c r="BC1142">
        <v>1982</v>
      </c>
      <c r="BD1142" t="s">
        <v>1028</v>
      </c>
    </row>
    <row r="1143" spans="1:56" x14ac:dyDescent="0.35">
      <c r="A1143">
        <v>108883</v>
      </c>
      <c r="B1143" t="s">
        <v>1019</v>
      </c>
      <c r="D1143" t="s">
        <v>85</v>
      </c>
      <c r="E1143" t="s">
        <v>86</v>
      </c>
      <c r="F1143" t="s">
        <v>58</v>
      </c>
      <c r="G1143" t="s">
        <v>59</v>
      </c>
      <c r="H1143" t="s">
        <v>60</v>
      </c>
      <c r="J1143" t="s">
        <v>86</v>
      </c>
      <c r="L1143" t="s">
        <v>62</v>
      </c>
      <c r="M1143" t="s">
        <v>63</v>
      </c>
      <c r="N1143" t="s">
        <v>64</v>
      </c>
      <c r="P1143" t="s">
        <v>100</v>
      </c>
      <c r="R1143">
        <v>34.270000000000003</v>
      </c>
      <c r="T1143">
        <v>22.83</v>
      </c>
      <c r="V1143">
        <v>45.86</v>
      </c>
      <c r="W1143" t="s">
        <v>66</v>
      </c>
      <c r="X1143" t="s">
        <v>67</v>
      </c>
      <c r="Y1143" t="s">
        <v>67</v>
      </c>
      <c r="Z1143" t="s">
        <v>68</v>
      </c>
      <c r="AB1143">
        <v>4</v>
      </c>
      <c r="AC1143" t="s">
        <v>61</v>
      </c>
      <c r="AJ1143" t="s">
        <v>69</v>
      </c>
      <c r="AY1143" t="s">
        <v>168</v>
      </c>
      <c r="AZ1143">
        <v>728</v>
      </c>
      <c r="BA1143" t="s">
        <v>426</v>
      </c>
      <c r="BB1143" t="s">
        <v>427</v>
      </c>
      <c r="BC1143">
        <v>1966</v>
      </c>
      <c r="BD1143" t="s">
        <v>90</v>
      </c>
    </row>
    <row r="1144" spans="1:56" x14ac:dyDescent="0.35">
      <c r="A1144">
        <v>108883</v>
      </c>
      <c r="B1144" t="s">
        <v>1019</v>
      </c>
      <c r="D1144" t="s">
        <v>57</v>
      </c>
      <c r="E1144">
        <v>99.9</v>
      </c>
      <c r="F1144" t="s">
        <v>58</v>
      </c>
      <c r="G1144" t="s">
        <v>59</v>
      </c>
      <c r="H1144" t="s">
        <v>60</v>
      </c>
      <c r="J1144">
        <v>30</v>
      </c>
      <c r="K1144" t="s">
        <v>61</v>
      </c>
      <c r="L1144" t="s">
        <v>62</v>
      </c>
      <c r="M1144" t="s">
        <v>63</v>
      </c>
      <c r="N1144" t="s">
        <v>64</v>
      </c>
      <c r="P1144" t="s">
        <v>65</v>
      </c>
      <c r="R1144">
        <v>22.1</v>
      </c>
      <c r="T1144">
        <v>20.5</v>
      </c>
      <c r="V1144">
        <v>23.8</v>
      </c>
      <c r="W1144" t="s">
        <v>66</v>
      </c>
      <c r="X1144" t="s">
        <v>67</v>
      </c>
      <c r="Y1144" t="s">
        <v>67</v>
      </c>
      <c r="Z1144" t="s">
        <v>68</v>
      </c>
      <c r="AB1144">
        <v>4</v>
      </c>
      <c r="AC1144" t="s">
        <v>61</v>
      </c>
      <c r="AJ1144" t="s">
        <v>69</v>
      </c>
      <c r="AY1144" t="s">
        <v>70</v>
      </c>
      <c r="AZ1144">
        <v>14339</v>
      </c>
      <c r="BA1144" t="s">
        <v>71</v>
      </c>
      <c r="BB1144" t="s">
        <v>72</v>
      </c>
      <c r="BC1144">
        <v>1987</v>
      </c>
      <c r="BD1144" t="s">
        <v>73</v>
      </c>
    </row>
    <row r="1145" spans="1:56" x14ac:dyDescent="0.35">
      <c r="A1145">
        <v>108883</v>
      </c>
      <c r="B1145" t="s">
        <v>1019</v>
      </c>
      <c r="D1145" t="s">
        <v>85</v>
      </c>
      <c r="E1145" t="s">
        <v>86</v>
      </c>
      <c r="F1145" t="s">
        <v>58</v>
      </c>
      <c r="G1145" t="s">
        <v>59</v>
      </c>
      <c r="H1145" t="s">
        <v>60</v>
      </c>
      <c r="I1145" t="s">
        <v>177</v>
      </c>
      <c r="J1145" t="s">
        <v>86</v>
      </c>
      <c r="K1145" t="s">
        <v>61</v>
      </c>
      <c r="L1145" t="s">
        <v>62</v>
      </c>
      <c r="M1145" t="s">
        <v>63</v>
      </c>
      <c r="N1145" t="s">
        <v>64</v>
      </c>
      <c r="P1145" t="s">
        <v>100</v>
      </c>
      <c r="R1145">
        <v>56.4</v>
      </c>
      <c r="T1145">
        <v>50.9</v>
      </c>
      <c r="V1145">
        <v>63.6</v>
      </c>
      <c r="W1145" t="s">
        <v>66</v>
      </c>
      <c r="X1145" t="s">
        <v>67</v>
      </c>
      <c r="Y1145" t="s">
        <v>67</v>
      </c>
      <c r="Z1145" t="s">
        <v>68</v>
      </c>
      <c r="AB1145">
        <v>4</v>
      </c>
      <c r="AC1145" t="s">
        <v>61</v>
      </c>
      <c r="AJ1145" t="s">
        <v>69</v>
      </c>
      <c r="AY1145" t="s">
        <v>394</v>
      </c>
      <c r="AZ1145">
        <v>10432</v>
      </c>
      <c r="BA1145" t="s">
        <v>395</v>
      </c>
      <c r="BB1145" t="s">
        <v>396</v>
      </c>
      <c r="BC1145">
        <v>1983</v>
      </c>
      <c r="BD1145" t="s">
        <v>385</v>
      </c>
    </row>
    <row r="1146" spans="1:56" x14ac:dyDescent="0.35">
      <c r="A1146">
        <v>108883</v>
      </c>
      <c r="B1146" t="s">
        <v>1019</v>
      </c>
      <c r="D1146" t="s">
        <v>57</v>
      </c>
      <c r="E1146" t="s">
        <v>86</v>
      </c>
      <c r="F1146" t="s">
        <v>58</v>
      </c>
      <c r="G1146" t="s">
        <v>59</v>
      </c>
      <c r="H1146" t="s">
        <v>60</v>
      </c>
      <c r="I1146" t="s">
        <v>1023</v>
      </c>
      <c r="J1146">
        <v>1</v>
      </c>
      <c r="K1146" t="s">
        <v>1027</v>
      </c>
      <c r="L1146" t="s">
        <v>74</v>
      </c>
      <c r="M1146" t="s">
        <v>63</v>
      </c>
      <c r="N1146" t="s">
        <v>64</v>
      </c>
      <c r="P1146" t="s">
        <v>65</v>
      </c>
      <c r="R1146">
        <v>25</v>
      </c>
      <c r="T1146">
        <v>21</v>
      </c>
      <c r="V1146">
        <v>29</v>
      </c>
      <c r="W1146" t="s">
        <v>66</v>
      </c>
      <c r="X1146" t="s">
        <v>67</v>
      </c>
      <c r="Y1146" t="s">
        <v>67</v>
      </c>
      <c r="Z1146" t="s">
        <v>68</v>
      </c>
      <c r="AB1146">
        <v>4</v>
      </c>
      <c r="AC1146" t="s">
        <v>61</v>
      </c>
      <c r="AJ1146" t="s">
        <v>69</v>
      </c>
      <c r="AY1146" t="s">
        <v>1020</v>
      </c>
      <c r="AZ1146">
        <v>15560</v>
      </c>
      <c r="BA1146" t="s">
        <v>1021</v>
      </c>
      <c r="BB1146" t="s">
        <v>1022</v>
      </c>
      <c r="BC1146">
        <v>1982</v>
      </c>
      <c r="BD1146" t="s">
        <v>1028</v>
      </c>
    </row>
    <row r="1147" spans="1:56" x14ac:dyDescent="0.35">
      <c r="A1147">
        <v>108883</v>
      </c>
      <c r="B1147" t="s">
        <v>1019</v>
      </c>
      <c r="D1147" t="s">
        <v>85</v>
      </c>
      <c r="E1147" t="s">
        <v>86</v>
      </c>
      <c r="F1147" t="s">
        <v>58</v>
      </c>
      <c r="G1147" t="s">
        <v>59</v>
      </c>
      <c r="H1147" t="s">
        <v>60</v>
      </c>
      <c r="I1147" t="s">
        <v>397</v>
      </c>
      <c r="J1147" t="s">
        <v>86</v>
      </c>
      <c r="K1147" t="s">
        <v>61</v>
      </c>
      <c r="L1147" t="s">
        <v>62</v>
      </c>
      <c r="M1147" t="s">
        <v>63</v>
      </c>
      <c r="N1147" t="s">
        <v>64</v>
      </c>
      <c r="P1147" t="s">
        <v>100</v>
      </c>
      <c r="R1147">
        <v>54</v>
      </c>
      <c r="T1147">
        <v>48.8</v>
      </c>
      <c r="V1147">
        <v>61.2</v>
      </c>
      <c r="W1147" t="s">
        <v>66</v>
      </c>
      <c r="X1147" t="s">
        <v>67</v>
      </c>
      <c r="Y1147" t="s">
        <v>67</v>
      </c>
      <c r="Z1147" t="s">
        <v>68</v>
      </c>
      <c r="AB1147">
        <v>4</v>
      </c>
      <c r="AC1147" t="s">
        <v>61</v>
      </c>
      <c r="AJ1147" t="s">
        <v>69</v>
      </c>
      <c r="AY1147" t="s">
        <v>394</v>
      </c>
      <c r="AZ1147">
        <v>10432</v>
      </c>
      <c r="BA1147" t="s">
        <v>395</v>
      </c>
      <c r="BB1147" t="s">
        <v>396</v>
      </c>
      <c r="BC1147">
        <v>1983</v>
      </c>
      <c r="BD1147" t="s">
        <v>398</v>
      </c>
    </row>
    <row r="1148" spans="1:56" x14ac:dyDescent="0.35">
      <c r="A1148">
        <v>108883</v>
      </c>
      <c r="B1148" t="s">
        <v>1019</v>
      </c>
      <c r="D1148" t="s">
        <v>57</v>
      </c>
      <c r="E1148" t="s">
        <v>86</v>
      </c>
      <c r="F1148" t="s">
        <v>58</v>
      </c>
      <c r="G1148" t="s">
        <v>59</v>
      </c>
      <c r="H1148" t="s">
        <v>60</v>
      </c>
      <c r="I1148" t="s">
        <v>1029</v>
      </c>
      <c r="J1148" t="s">
        <v>86</v>
      </c>
      <c r="L1148" t="s">
        <v>74</v>
      </c>
      <c r="M1148" t="s">
        <v>63</v>
      </c>
      <c r="N1148" t="s">
        <v>64</v>
      </c>
      <c r="P1148" t="s">
        <v>65</v>
      </c>
      <c r="R1148">
        <v>72</v>
      </c>
      <c r="T1148">
        <v>55</v>
      </c>
      <c r="V1148">
        <v>107</v>
      </c>
      <c r="W1148" t="s">
        <v>66</v>
      </c>
      <c r="X1148" t="s">
        <v>67</v>
      </c>
      <c r="Y1148" t="s">
        <v>67</v>
      </c>
      <c r="Z1148" t="s">
        <v>68</v>
      </c>
      <c r="AB1148">
        <v>4</v>
      </c>
      <c r="AC1148" t="s">
        <v>61</v>
      </c>
      <c r="AJ1148" t="s">
        <v>69</v>
      </c>
      <c r="AY1148" t="s">
        <v>1020</v>
      </c>
      <c r="AZ1148">
        <v>15560</v>
      </c>
      <c r="BA1148" t="s">
        <v>1021</v>
      </c>
      <c r="BB1148" t="s">
        <v>1022</v>
      </c>
      <c r="BC1148">
        <v>1982</v>
      </c>
      <c r="BD1148" t="s">
        <v>90</v>
      </c>
    </row>
    <row r="1149" spans="1:56" x14ac:dyDescent="0.35">
      <c r="A1149">
        <v>108883</v>
      </c>
      <c r="B1149" t="s">
        <v>1019</v>
      </c>
      <c r="D1149" t="s">
        <v>57</v>
      </c>
      <c r="E1149" t="s">
        <v>86</v>
      </c>
      <c r="F1149" t="s">
        <v>58</v>
      </c>
      <c r="G1149" t="s">
        <v>59</v>
      </c>
      <c r="H1149" t="s">
        <v>60</v>
      </c>
      <c r="I1149" t="s">
        <v>1023</v>
      </c>
      <c r="J1149">
        <v>1</v>
      </c>
      <c r="K1149" t="s">
        <v>1027</v>
      </c>
      <c r="L1149" t="s">
        <v>74</v>
      </c>
      <c r="M1149" t="s">
        <v>63</v>
      </c>
      <c r="N1149" t="s">
        <v>64</v>
      </c>
      <c r="P1149" t="s">
        <v>65</v>
      </c>
      <c r="R1149">
        <v>36</v>
      </c>
      <c r="T1149">
        <v>29</v>
      </c>
      <c r="V1149">
        <v>44</v>
      </c>
      <c r="W1149" t="s">
        <v>66</v>
      </c>
      <c r="X1149" t="s">
        <v>67</v>
      </c>
      <c r="Y1149" t="s">
        <v>67</v>
      </c>
      <c r="Z1149" t="s">
        <v>68</v>
      </c>
      <c r="AB1149">
        <v>4</v>
      </c>
      <c r="AC1149" t="s">
        <v>61</v>
      </c>
      <c r="AJ1149" t="s">
        <v>69</v>
      </c>
      <c r="AY1149" t="s">
        <v>1020</v>
      </c>
      <c r="AZ1149">
        <v>15560</v>
      </c>
      <c r="BA1149" t="s">
        <v>1021</v>
      </c>
      <c r="BB1149" t="s">
        <v>1022</v>
      </c>
      <c r="BC1149">
        <v>1982</v>
      </c>
      <c r="BD1149" t="s">
        <v>1028</v>
      </c>
    </row>
    <row r="1150" spans="1:56" x14ac:dyDescent="0.35">
      <c r="A1150">
        <v>108883</v>
      </c>
      <c r="B1150" t="s">
        <v>1019</v>
      </c>
      <c r="D1150" t="s">
        <v>57</v>
      </c>
      <c r="E1150" t="s">
        <v>86</v>
      </c>
      <c r="F1150" t="s">
        <v>58</v>
      </c>
      <c r="G1150" t="s">
        <v>59</v>
      </c>
      <c r="H1150" t="s">
        <v>60</v>
      </c>
      <c r="J1150">
        <v>30</v>
      </c>
      <c r="K1150" t="s">
        <v>61</v>
      </c>
      <c r="L1150" t="s">
        <v>74</v>
      </c>
      <c r="M1150" t="s">
        <v>63</v>
      </c>
      <c r="N1150" t="s">
        <v>64</v>
      </c>
      <c r="P1150" t="s">
        <v>65</v>
      </c>
      <c r="R1150">
        <v>18</v>
      </c>
      <c r="T1150">
        <v>16</v>
      </c>
      <c r="V1150">
        <v>20</v>
      </c>
      <c r="W1150" t="s">
        <v>66</v>
      </c>
      <c r="X1150" t="s">
        <v>67</v>
      </c>
      <c r="Y1150" t="s">
        <v>67</v>
      </c>
      <c r="Z1150" t="s">
        <v>68</v>
      </c>
      <c r="AB1150">
        <v>4</v>
      </c>
      <c r="AC1150" t="s">
        <v>61</v>
      </c>
      <c r="AJ1150" t="s">
        <v>69</v>
      </c>
      <c r="AY1150" t="s">
        <v>1020</v>
      </c>
      <c r="AZ1150">
        <v>15560</v>
      </c>
      <c r="BA1150" t="s">
        <v>1021</v>
      </c>
      <c r="BB1150" t="s">
        <v>1022</v>
      </c>
      <c r="BC1150">
        <v>1982</v>
      </c>
      <c r="BD1150" t="s">
        <v>73</v>
      </c>
    </row>
    <row r="1151" spans="1:56" x14ac:dyDescent="0.35">
      <c r="A1151">
        <v>108883</v>
      </c>
      <c r="B1151" t="s">
        <v>1019</v>
      </c>
      <c r="D1151" t="s">
        <v>57</v>
      </c>
      <c r="E1151" t="s">
        <v>86</v>
      </c>
      <c r="F1151" t="s">
        <v>58</v>
      </c>
      <c r="G1151" t="s">
        <v>59</v>
      </c>
      <c r="H1151" t="s">
        <v>60</v>
      </c>
      <c r="I1151" t="s">
        <v>1023</v>
      </c>
      <c r="J1151">
        <v>1</v>
      </c>
      <c r="K1151" t="s">
        <v>1027</v>
      </c>
      <c r="L1151" t="s">
        <v>74</v>
      </c>
      <c r="M1151" t="s">
        <v>63</v>
      </c>
      <c r="N1151" t="s">
        <v>64</v>
      </c>
      <c r="P1151" t="s">
        <v>65</v>
      </c>
      <c r="R1151">
        <v>28</v>
      </c>
      <c r="T1151">
        <v>21</v>
      </c>
      <c r="V1151">
        <v>34</v>
      </c>
      <c r="W1151" t="s">
        <v>66</v>
      </c>
      <c r="X1151" t="s">
        <v>67</v>
      </c>
      <c r="Y1151" t="s">
        <v>67</v>
      </c>
      <c r="Z1151" t="s">
        <v>68</v>
      </c>
      <c r="AB1151">
        <v>4</v>
      </c>
      <c r="AC1151" t="s">
        <v>61</v>
      </c>
      <c r="AJ1151" t="s">
        <v>69</v>
      </c>
      <c r="AY1151" t="s">
        <v>1020</v>
      </c>
      <c r="AZ1151">
        <v>15560</v>
      </c>
      <c r="BA1151" t="s">
        <v>1021</v>
      </c>
      <c r="BB1151" t="s">
        <v>1022</v>
      </c>
      <c r="BC1151">
        <v>1982</v>
      </c>
      <c r="BD1151" t="s">
        <v>1028</v>
      </c>
    </row>
    <row r="1152" spans="1:56" x14ac:dyDescent="0.35">
      <c r="A1152">
        <v>108883</v>
      </c>
      <c r="B1152" t="s">
        <v>1019</v>
      </c>
      <c r="D1152" t="s">
        <v>57</v>
      </c>
      <c r="E1152" t="s">
        <v>79</v>
      </c>
      <c r="F1152" t="s">
        <v>58</v>
      </c>
      <c r="G1152" t="s">
        <v>59</v>
      </c>
      <c r="H1152" t="s">
        <v>60</v>
      </c>
      <c r="J1152">
        <v>31</v>
      </c>
      <c r="K1152" t="s">
        <v>61</v>
      </c>
      <c r="L1152" t="s">
        <v>74</v>
      </c>
      <c r="M1152" t="s">
        <v>63</v>
      </c>
      <c r="N1152" t="s">
        <v>64</v>
      </c>
      <c r="P1152" t="s">
        <v>65</v>
      </c>
      <c r="R1152">
        <v>36.200000000000003</v>
      </c>
      <c r="T1152">
        <v>29.4</v>
      </c>
      <c r="V1152">
        <v>44.6</v>
      </c>
      <c r="W1152" t="s">
        <v>66</v>
      </c>
      <c r="X1152" t="s">
        <v>67</v>
      </c>
      <c r="Y1152" t="s">
        <v>67</v>
      </c>
      <c r="Z1152" t="s">
        <v>68</v>
      </c>
      <c r="AB1152">
        <v>4</v>
      </c>
      <c r="AC1152" t="s">
        <v>61</v>
      </c>
      <c r="AJ1152" t="s">
        <v>69</v>
      </c>
      <c r="AY1152" t="s">
        <v>263</v>
      </c>
      <c r="AZ1152">
        <v>12858</v>
      </c>
      <c r="BA1152" t="s">
        <v>264</v>
      </c>
      <c r="BB1152" t="s">
        <v>265</v>
      </c>
      <c r="BC1152">
        <v>1986</v>
      </c>
      <c r="BD1152" t="s">
        <v>73</v>
      </c>
    </row>
    <row r="1153" spans="1:56" x14ac:dyDescent="0.35">
      <c r="A1153">
        <v>108883</v>
      </c>
      <c r="B1153" t="s">
        <v>1019</v>
      </c>
      <c r="D1153" t="s">
        <v>57</v>
      </c>
      <c r="E1153" t="s">
        <v>1030</v>
      </c>
      <c r="F1153" t="s">
        <v>58</v>
      </c>
      <c r="G1153" t="s">
        <v>59</v>
      </c>
      <c r="H1153" t="s">
        <v>60</v>
      </c>
      <c r="J1153" t="s">
        <v>86</v>
      </c>
      <c r="K1153" t="s">
        <v>61</v>
      </c>
      <c r="L1153" t="s">
        <v>74</v>
      </c>
      <c r="M1153" t="s">
        <v>63</v>
      </c>
      <c r="N1153" t="s">
        <v>64</v>
      </c>
      <c r="P1153" t="s">
        <v>65</v>
      </c>
      <c r="R1153">
        <v>31.7</v>
      </c>
      <c r="W1153" t="s">
        <v>66</v>
      </c>
      <c r="X1153" t="s">
        <v>67</v>
      </c>
      <c r="Y1153" t="s">
        <v>67</v>
      </c>
      <c r="Z1153" t="s">
        <v>68</v>
      </c>
      <c r="AB1153">
        <v>4</v>
      </c>
      <c r="AC1153" t="s">
        <v>61</v>
      </c>
      <c r="AJ1153" t="s">
        <v>69</v>
      </c>
      <c r="AY1153" t="s">
        <v>75</v>
      </c>
      <c r="AZ1153">
        <v>3217</v>
      </c>
      <c r="BA1153" t="s">
        <v>76</v>
      </c>
      <c r="BB1153" t="s">
        <v>77</v>
      </c>
      <c r="BC1153">
        <v>1990</v>
      </c>
      <c r="BD1153" t="s">
        <v>161</v>
      </c>
    </row>
    <row r="1154" spans="1:56" x14ac:dyDescent="0.35">
      <c r="A1154">
        <v>108883</v>
      </c>
      <c r="B1154" t="s">
        <v>1019</v>
      </c>
      <c r="D1154" t="s">
        <v>57</v>
      </c>
      <c r="E1154" t="s">
        <v>86</v>
      </c>
      <c r="F1154" t="s">
        <v>58</v>
      </c>
      <c r="G1154" t="s">
        <v>59</v>
      </c>
      <c r="H1154" t="s">
        <v>60</v>
      </c>
      <c r="I1154" t="s">
        <v>1029</v>
      </c>
      <c r="J1154" t="s">
        <v>86</v>
      </c>
      <c r="L1154" t="s">
        <v>74</v>
      </c>
      <c r="M1154" t="s">
        <v>63</v>
      </c>
      <c r="N1154" t="s">
        <v>64</v>
      </c>
      <c r="P1154" t="s">
        <v>65</v>
      </c>
      <c r="R1154">
        <v>66</v>
      </c>
      <c r="T1154">
        <v>56</v>
      </c>
      <c r="V1154">
        <v>78</v>
      </c>
      <c r="W1154" t="s">
        <v>66</v>
      </c>
      <c r="X1154" t="s">
        <v>67</v>
      </c>
      <c r="Y1154" t="s">
        <v>67</v>
      </c>
      <c r="Z1154" t="s">
        <v>68</v>
      </c>
      <c r="AB1154">
        <v>4</v>
      </c>
      <c r="AC1154" t="s">
        <v>61</v>
      </c>
      <c r="AJ1154" t="s">
        <v>69</v>
      </c>
      <c r="AY1154" t="s">
        <v>1020</v>
      </c>
      <c r="AZ1154">
        <v>15560</v>
      </c>
      <c r="BA1154" t="s">
        <v>1021</v>
      </c>
      <c r="BB1154" t="s">
        <v>1022</v>
      </c>
      <c r="BC1154">
        <v>1982</v>
      </c>
      <c r="BD1154" t="s">
        <v>90</v>
      </c>
    </row>
    <row r="1155" spans="1:56" x14ac:dyDescent="0.35">
      <c r="A1155">
        <v>108883</v>
      </c>
      <c r="B1155" t="s">
        <v>1019</v>
      </c>
      <c r="D1155" t="s">
        <v>85</v>
      </c>
      <c r="E1155" t="s">
        <v>86</v>
      </c>
      <c r="F1155" t="s">
        <v>58</v>
      </c>
      <c r="G1155" t="s">
        <v>59</v>
      </c>
      <c r="H1155" t="s">
        <v>60</v>
      </c>
      <c r="I1155" t="s">
        <v>129</v>
      </c>
      <c r="J1155" t="s">
        <v>86</v>
      </c>
      <c r="K1155" t="s">
        <v>61</v>
      </c>
      <c r="L1155" t="s">
        <v>62</v>
      </c>
      <c r="M1155" t="s">
        <v>63</v>
      </c>
      <c r="N1155" t="s">
        <v>64</v>
      </c>
      <c r="P1155" t="s">
        <v>100</v>
      </c>
      <c r="R1155">
        <v>77.400000000000006</v>
      </c>
      <c r="T1155">
        <v>71.7</v>
      </c>
      <c r="V1155">
        <v>82.8</v>
      </c>
      <c r="W1155" t="s">
        <v>66</v>
      </c>
      <c r="X1155" t="s">
        <v>67</v>
      </c>
      <c r="Y1155" t="s">
        <v>67</v>
      </c>
      <c r="Z1155" t="s">
        <v>68</v>
      </c>
      <c r="AB1155">
        <v>4</v>
      </c>
      <c r="AC1155" t="s">
        <v>61</v>
      </c>
      <c r="AJ1155" t="s">
        <v>69</v>
      </c>
      <c r="AY1155" t="s">
        <v>394</v>
      </c>
      <c r="AZ1155">
        <v>10432</v>
      </c>
      <c r="BA1155" t="s">
        <v>395</v>
      </c>
      <c r="BB1155" t="s">
        <v>396</v>
      </c>
      <c r="BC1155">
        <v>1983</v>
      </c>
      <c r="BD1155" t="s">
        <v>127</v>
      </c>
    </row>
    <row r="1156" spans="1:56" x14ac:dyDescent="0.35">
      <c r="A1156">
        <v>108883</v>
      </c>
      <c r="B1156" t="s">
        <v>1019</v>
      </c>
      <c r="D1156" t="s">
        <v>85</v>
      </c>
      <c r="E1156" t="s">
        <v>86</v>
      </c>
      <c r="F1156" t="s">
        <v>58</v>
      </c>
      <c r="G1156" t="s">
        <v>59</v>
      </c>
      <c r="H1156" t="s">
        <v>60</v>
      </c>
      <c r="J1156" t="s">
        <v>86</v>
      </c>
      <c r="L1156" t="s">
        <v>62</v>
      </c>
      <c r="M1156" t="s">
        <v>63</v>
      </c>
      <c r="N1156" t="s">
        <v>64</v>
      </c>
      <c r="P1156" t="s">
        <v>100</v>
      </c>
      <c r="R1156">
        <v>42.33</v>
      </c>
      <c r="T1156">
        <v>33.520000000000003</v>
      </c>
      <c r="V1156">
        <v>53.47</v>
      </c>
      <c r="W1156" t="s">
        <v>66</v>
      </c>
      <c r="X1156" t="s">
        <v>67</v>
      </c>
      <c r="Y1156" t="s">
        <v>67</v>
      </c>
      <c r="Z1156" t="s">
        <v>68</v>
      </c>
      <c r="AB1156">
        <v>4</v>
      </c>
      <c r="AC1156" t="s">
        <v>61</v>
      </c>
      <c r="AJ1156" t="s">
        <v>69</v>
      </c>
      <c r="AY1156" t="s">
        <v>168</v>
      </c>
      <c r="AZ1156">
        <v>728</v>
      </c>
      <c r="BA1156" t="s">
        <v>426</v>
      </c>
      <c r="BB1156" t="s">
        <v>427</v>
      </c>
      <c r="BC1156">
        <v>1966</v>
      </c>
      <c r="BD1156" t="s">
        <v>90</v>
      </c>
    </row>
    <row r="1157" spans="1:56" x14ac:dyDescent="0.35">
      <c r="A1157">
        <v>108883</v>
      </c>
      <c r="B1157" t="s">
        <v>1019</v>
      </c>
      <c r="C1157" t="s">
        <v>195</v>
      </c>
      <c r="E1157" t="s">
        <v>86</v>
      </c>
      <c r="F1157" t="s">
        <v>58</v>
      </c>
      <c r="G1157" t="s">
        <v>59</v>
      </c>
      <c r="H1157" t="s">
        <v>60</v>
      </c>
      <c r="I1157" t="s">
        <v>177</v>
      </c>
      <c r="J1157" t="s">
        <v>86</v>
      </c>
      <c r="K1157" t="s">
        <v>61</v>
      </c>
      <c r="L1157" t="s">
        <v>62</v>
      </c>
      <c r="M1157" t="s">
        <v>63</v>
      </c>
      <c r="N1157" t="s">
        <v>64</v>
      </c>
      <c r="O1157" t="s">
        <v>955</v>
      </c>
      <c r="P1157" t="s">
        <v>65</v>
      </c>
      <c r="R1157">
        <v>56.4</v>
      </c>
      <c r="T1157">
        <v>50.9</v>
      </c>
      <c r="V1157">
        <v>63.6</v>
      </c>
      <c r="W1157" t="s">
        <v>66</v>
      </c>
      <c r="X1157" t="s">
        <v>67</v>
      </c>
      <c r="Y1157" t="s">
        <v>67</v>
      </c>
      <c r="Z1157" t="s">
        <v>68</v>
      </c>
      <c r="AB1157">
        <v>4</v>
      </c>
      <c r="AC1157" t="s">
        <v>61</v>
      </c>
      <c r="AJ1157" t="s">
        <v>69</v>
      </c>
      <c r="AY1157" t="s">
        <v>382</v>
      </c>
      <c r="AZ1157">
        <v>91316</v>
      </c>
      <c r="BA1157" t="s">
        <v>956</v>
      </c>
      <c r="BB1157" t="s">
        <v>957</v>
      </c>
      <c r="BC1157">
        <v>1982</v>
      </c>
      <c r="BD1157" t="s">
        <v>385</v>
      </c>
    </row>
    <row r="1158" spans="1:56" x14ac:dyDescent="0.35">
      <c r="A1158">
        <v>108883</v>
      </c>
      <c r="B1158" t="s">
        <v>1019</v>
      </c>
      <c r="D1158" t="s">
        <v>57</v>
      </c>
      <c r="E1158" t="s">
        <v>86</v>
      </c>
      <c r="F1158" t="s">
        <v>58</v>
      </c>
      <c r="G1158" t="s">
        <v>59</v>
      </c>
      <c r="H1158" t="s">
        <v>60</v>
      </c>
      <c r="I1158" t="s">
        <v>1029</v>
      </c>
      <c r="J1158" t="s">
        <v>86</v>
      </c>
      <c r="L1158" t="s">
        <v>74</v>
      </c>
      <c r="M1158" t="s">
        <v>63</v>
      </c>
      <c r="N1158" t="s">
        <v>64</v>
      </c>
      <c r="P1158" t="s">
        <v>65</v>
      </c>
      <c r="R1158">
        <v>59</v>
      </c>
      <c r="T1158">
        <v>51</v>
      </c>
      <c r="V1158">
        <v>68</v>
      </c>
      <c r="W1158" t="s">
        <v>66</v>
      </c>
      <c r="X1158" t="s">
        <v>67</v>
      </c>
      <c r="Y1158" t="s">
        <v>67</v>
      </c>
      <c r="Z1158" t="s">
        <v>68</v>
      </c>
      <c r="AB1158">
        <v>4</v>
      </c>
      <c r="AC1158" t="s">
        <v>61</v>
      </c>
      <c r="AJ1158" t="s">
        <v>69</v>
      </c>
      <c r="AY1158" t="s">
        <v>1020</v>
      </c>
      <c r="AZ1158">
        <v>15560</v>
      </c>
      <c r="BA1158" t="s">
        <v>1021</v>
      </c>
      <c r="BB1158" t="s">
        <v>1022</v>
      </c>
      <c r="BC1158">
        <v>1982</v>
      </c>
      <c r="BD1158" t="s">
        <v>90</v>
      </c>
    </row>
    <row r="1159" spans="1:56" x14ac:dyDescent="0.35">
      <c r="A1159">
        <v>108883</v>
      </c>
      <c r="B1159" t="s">
        <v>1019</v>
      </c>
      <c r="D1159" t="s">
        <v>85</v>
      </c>
      <c r="E1159" t="s">
        <v>86</v>
      </c>
      <c r="F1159" t="s">
        <v>58</v>
      </c>
      <c r="G1159" t="s">
        <v>59</v>
      </c>
      <c r="H1159" t="s">
        <v>60</v>
      </c>
      <c r="I1159" t="s">
        <v>129</v>
      </c>
      <c r="J1159" t="s">
        <v>86</v>
      </c>
      <c r="L1159" t="s">
        <v>62</v>
      </c>
      <c r="M1159" t="s">
        <v>63</v>
      </c>
      <c r="N1159" t="s">
        <v>64</v>
      </c>
      <c r="P1159" t="s">
        <v>100</v>
      </c>
      <c r="R1159">
        <v>12.6</v>
      </c>
      <c r="W1159" t="s">
        <v>66</v>
      </c>
      <c r="X1159" t="s">
        <v>67</v>
      </c>
      <c r="Y1159" t="s">
        <v>67</v>
      </c>
      <c r="Z1159" t="s">
        <v>68</v>
      </c>
      <c r="AB1159">
        <v>4</v>
      </c>
      <c r="AC1159" t="s">
        <v>61</v>
      </c>
      <c r="AJ1159" t="s">
        <v>69</v>
      </c>
      <c r="AY1159" t="s">
        <v>722</v>
      </c>
      <c r="AZ1159">
        <v>5087</v>
      </c>
      <c r="BA1159" t="s">
        <v>723</v>
      </c>
      <c r="BB1159" t="s">
        <v>724</v>
      </c>
      <c r="BC1159">
        <v>1979</v>
      </c>
      <c r="BD1159" t="s">
        <v>90</v>
      </c>
    </row>
    <row r="1160" spans="1:56" x14ac:dyDescent="0.35">
      <c r="A1160">
        <v>108883</v>
      </c>
      <c r="B1160" t="s">
        <v>1019</v>
      </c>
      <c r="D1160" t="s">
        <v>57</v>
      </c>
      <c r="E1160" t="s">
        <v>86</v>
      </c>
      <c r="F1160" t="s">
        <v>58</v>
      </c>
      <c r="G1160" t="s">
        <v>59</v>
      </c>
      <c r="H1160" t="s">
        <v>60</v>
      </c>
      <c r="J1160">
        <v>30</v>
      </c>
      <c r="K1160" t="s">
        <v>61</v>
      </c>
      <c r="L1160" t="s">
        <v>74</v>
      </c>
      <c r="M1160" t="s">
        <v>63</v>
      </c>
      <c r="N1160" t="s">
        <v>64</v>
      </c>
      <c r="P1160" t="s">
        <v>65</v>
      </c>
      <c r="R1160">
        <v>26</v>
      </c>
      <c r="T1160">
        <v>21</v>
      </c>
      <c r="V1160">
        <v>33</v>
      </c>
      <c r="W1160" t="s">
        <v>66</v>
      </c>
      <c r="X1160" t="s">
        <v>67</v>
      </c>
      <c r="Y1160" t="s">
        <v>67</v>
      </c>
      <c r="Z1160" t="s">
        <v>68</v>
      </c>
      <c r="AB1160">
        <v>4</v>
      </c>
      <c r="AC1160" t="s">
        <v>61</v>
      </c>
      <c r="AJ1160" t="s">
        <v>69</v>
      </c>
      <c r="AY1160" t="s">
        <v>1020</v>
      </c>
      <c r="AZ1160">
        <v>15560</v>
      </c>
      <c r="BA1160" t="s">
        <v>1021</v>
      </c>
      <c r="BB1160" t="s">
        <v>1022</v>
      </c>
      <c r="BC1160">
        <v>1982</v>
      </c>
      <c r="BD1160" t="s">
        <v>73</v>
      </c>
    </row>
    <row r="1161" spans="1:56" x14ac:dyDescent="0.35">
      <c r="A1161">
        <v>108883</v>
      </c>
      <c r="B1161" t="s">
        <v>1019</v>
      </c>
      <c r="D1161" t="s">
        <v>85</v>
      </c>
      <c r="E1161" t="s">
        <v>86</v>
      </c>
      <c r="F1161" t="s">
        <v>58</v>
      </c>
      <c r="G1161" t="s">
        <v>59</v>
      </c>
      <c r="H1161" t="s">
        <v>60</v>
      </c>
      <c r="J1161">
        <v>30</v>
      </c>
      <c r="K1161" t="s">
        <v>61</v>
      </c>
      <c r="L1161" t="s">
        <v>74</v>
      </c>
      <c r="M1161" t="s">
        <v>63</v>
      </c>
      <c r="N1161" t="s">
        <v>64</v>
      </c>
      <c r="P1161" t="s">
        <v>100</v>
      </c>
      <c r="T1161">
        <v>18</v>
      </c>
      <c r="V1161">
        <v>30</v>
      </c>
      <c r="W1161" t="s">
        <v>66</v>
      </c>
      <c r="X1161" t="s">
        <v>67</v>
      </c>
      <c r="Y1161" t="s">
        <v>67</v>
      </c>
      <c r="Z1161" t="s">
        <v>68</v>
      </c>
      <c r="AB1161">
        <v>4</v>
      </c>
      <c r="AC1161" t="s">
        <v>61</v>
      </c>
      <c r="AJ1161" t="s">
        <v>69</v>
      </c>
      <c r="AY1161" t="s">
        <v>1024</v>
      </c>
      <c r="AZ1161">
        <v>12405</v>
      </c>
      <c r="BA1161" t="s">
        <v>1025</v>
      </c>
      <c r="BB1161" t="s">
        <v>1026</v>
      </c>
      <c r="BC1161">
        <v>1982</v>
      </c>
      <c r="BD1161" t="s">
        <v>73</v>
      </c>
    </row>
    <row r="1162" spans="1:56" x14ac:dyDescent="0.35">
      <c r="A1162">
        <v>108883</v>
      </c>
      <c r="B1162" t="s">
        <v>1019</v>
      </c>
      <c r="D1162" t="s">
        <v>57</v>
      </c>
      <c r="E1162" t="s">
        <v>86</v>
      </c>
      <c r="F1162" t="s">
        <v>58</v>
      </c>
      <c r="G1162" t="s">
        <v>59</v>
      </c>
      <c r="H1162" t="s">
        <v>60</v>
      </c>
      <c r="I1162" t="s">
        <v>1029</v>
      </c>
      <c r="J1162" t="s">
        <v>86</v>
      </c>
      <c r="L1162" t="s">
        <v>74</v>
      </c>
      <c r="M1162" t="s">
        <v>63</v>
      </c>
      <c r="N1162" t="s">
        <v>64</v>
      </c>
      <c r="P1162" t="s">
        <v>65</v>
      </c>
      <c r="R1162">
        <v>55</v>
      </c>
      <c r="T1162">
        <v>46</v>
      </c>
      <c r="V1162">
        <v>66</v>
      </c>
      <c r="W1162" t="s">
        <v>66</v>
      </c>
      <c r="X1162" t="s">
        <v>67</v>
      </c>
      <c r="Y1162" t="s">
        <v>67</v>
      </c>
      <c r="Z1162" t="s">
        <v>68</v>
      </c>
      <c r="AB1162">
        <v>4</v>
      </c>
      <c r="AC1162" t="s">
        <v>61</v>
      </c>
      <c r="AJ1162" t="s">
        <v>69</v>
      </c>
      <c r="AY1162" t="s">
        <v>1020</v>
      </c>
      <c r="AZ1162">
        <v>15560</v>
      </c>
      <c r="BA1162" t="s">
        <v>1021</v>
      </c>
      <c r="BB1162" t="s">
        <v>1022</v>
      </c>
      <c r="BC1162">
        <v>1982</v>
      </c>
      <c r="BD1162" t="s">
        <v>90</v>
      </c>
    </row>
    <row r="1163" spans="1:56" x14ac:dyDescent="0.35">
      <c r="A1163">
        <v>108883</v>
      </c>
      <c r="B1163" t="s">
        <v>1019</v>
      </c>
      <c r="C1163" t="s">
        <v>195</v>
      </c>
      <c r="D1163" t="s">
        <v>57</v>
      </c>
      <c r="E1163" t="s">
        <v>86</v>
      </c>
      <c r="F1163" t="s">
        <v>58</v>
      </c>
      <c r="G1163" t="s">
        <v>59</v>
      </c>
      <c r="H1163" t="s">
        <v>60</v>
      </c>
      <c r="I1163" t="s">
        <v>177</v>
      </c>
      <c r="J1163" t="s">
        <v>86</v>
      </c>
      <c r="K1163" t="s">
        <v>61</v>
      </c>
      <c r="L1163" t="s">
        <v>62</v>
      </c>
      <c r="M1163" t="s">
        <v>63</v>
      </c>
      <c r="N1163" t="s">
        <v>64</v>
      </c>
      <c r="O1163" t="s">
        <v>381</v>
      </c>
      <c r="P1163" t="s">
        <v>65</v>
      </c>
      <c r="R1163">
        <v>56.4</v>
      </c>
      <c r="T1163">
        <v>50.9</v>
      </c>
      <c r="V1163">
        <v>63.6</v>
      </c>
      <c r="W1163" t="s">
        <v>66</v>
      </c>
      <c r="X1163" t="s">
        <v>67</v>
      </c>
      <c r="Y1163" t="s">
        <v>67</v>
      </c>
      <c r="Z1163" t="s">
        <v>68</v>
      </c>
      <c r="AB1163">
        <v>4</v>
      </c>
      <c r="AC1163" t="s">
        <v>61</v>
      </c>
      <c r="AJ1163" t="s">
        <v>69</v>
      </c>
      <c r="AY1163" t="s">
        <v>382</v>
      </c>
      <c r="AZ1163">
        <v>163462</v>
      </c>
      <c r="BA1163" t="s">
        <v>383</v>
      </c>
      <c r="BB1163" t="s">
        <v>384</v>
      </c>
      <c r="BC1163">
        <v>1987</v>
      </c>
      <c r="BD1163" t="s">
        <v>385</v>
      </c>
    </row>
    <row r="1164" spans="1:56" x14ac:dyDescent="0.35">
      <c r="A1164">
        <v>108883</v>
      </c>
      <c r="B1164" t="s">
        <v>1019</v>
      </c>
      <c r="D1164" t="s">
        <v>57</v>
      </c>
      <c r="E1164">
        <v>99.8</v>
      </c>
      <c r="F1164" t="s">
        <v>58</v>
      </c>
      <c r="G1164" t="s">
        <v>59</v>
      </c>
      <c r="H1164" t="s">
        <v>60</v>
      </c>
      <c r="I1164" t="s">
        <v>129</v>
      </c>
      <c r="J1164" t="s">
        <v>86</v>
      </c>
      <c r="K1164" t="s">
        <v>61</v>
      </c>
      <c r="L1164" t="s">
        <v>74</v>
      </c>
      <c r="M1164" t="s">
        <v>63</v>
      </c>
      <c r="N1164" t="s">
        <v>64</v>
      </c>
      <c r="P1164" t="s">
        <v>65</v>
      </c>
      <c r="R1164">
        <v>36.200000000000003</v>
      </c>
      <c r="T1164">
        <v>29.4</v>
      </c>
      <c r="V1164">
        <v>44.6</v>
      </c>
      <c r="W1164" t="s">
        <v>66</v>
      </c>
      <c r="X1164" t="s">
        <v>67</v>
      </c>
      <c r="Y1164" t="s">
        <v>290</v>
      </c>
      <c r="Z1164" t="s">
        <v>68</v>
      </c>
      <c r="AB1164">
        <v>4</v>
      </c>
      <c r="AC1164" t="s">
        <v>61</v>
      </c>
      <c r="AJ1164" t="s">
        <v>69</v>
      </c>
      <c r="AY1164" t="s">
        <v>291</v>
      </c>
      <c r="AZ1164">
        <v>3910</v>
      </c>
      <c r="BA1164" t="s">
        <v>292</v>
      </c>
      <c r="BB1164" t="s">
        <v>293</v>
      </c>
      <c r="BC1164">
        <v>1992</v>
      </c>
      <c r="BD1164" t="s">
        <v>294</v>
      </c>
    </row>
    <row r="1165" spans="1:56" x14ac:dyDescent="0.35">
      <c r="A1165">
        <v>108883</v>
      </c>
      <c r="B1165" t="s">
        <v>1019</v>
      </c>
      <c r="C1165" t="s">
        <v>195</v>
      </c>
      <c r="E1165" t="s">
        <v>86</v>
      </c>
      <c r="F1165" t="s">
        <v>58</v>
      </c>
      <c r="G1165" t="s">
        <v>59</v>
      </c>
      <c r="H1165" t="s">
        <v>60</v>
      </c>
      <c r="I1165" t="s">
        <v>129</v>
      </c>
      <c r="J1165" t="s">
        <v>86</v>
      </c>
      <c r="K1165" t="s">
        <v>61</v>
      </c>
      <c r="L1165" t="s">
        <v>62</v>
      </c>
      <c r="M1165" t="s">
        <v>63</v>
      </c>
      <c r="N1165" t="s">
        <v>64</v>
      </c>
      <c r="O1165" t="s">
        <v>955</v>
      </c>
      <c r="P1165" t="s">
        <v>65</v>
      </c>
      <c r="R1165">
        <v>77.400000000000006</v>
      </c>
      <c r="T1165">
        <v>71.7</v>
      </c>
      <c r="V1165">
        <v>82.8</v>
      </c>
      <c r="W1165" t="s">
        <v>66</v>
      </c>
      <c r="X1165" t="s">
        <v>67</v>
      </c>
      <c r="Y1165" t="s">
        <v>67</v>
      </c>
      <c r="Z1165" t="s">
        <v>68</v>
      </c>
      <c r="AB1165">
        <v>4</v>
      </c>
      <c r="AC1165" t="s">
        <v>61</v>
      </c>
      <c r="AJ1165" t="s">
        <v>69</v>
      </c>
      <c r="AY1165" t="s">
        <v>382</v>
      </c>
      <c r="AZ1165">
        <v>91316</v>
      </c>
      <c r="BA1165" t="s">
        <v>956</v>
      </c>
      <c r="BB1165" t="s">
        <v>957</v>
      </c>
      <c r="BC1165">
        <v>1982</v>
      </c>
      <c r="BD1165" t="s">
        <v>127</v>
      </c>
    </row>
    <row r="1166" spans="1:56" x14ac:dyDescent="0.35">
      <c r="A1166">
        <v>108883</v>
      </c>
      <c r="B1166" t="s">
        <v>1019</v>
      </c>
      <c r="D1166" t="s">
        <v>85</v>
      </c>
      <c r="E1166" t="s">
        <v>86</v>
      </c>
      <c r="F1166" t="s">
        <v>58</v>
      </c>
      <c r="G1166" t="s">
        <v>59</v>
      </c>
      <c r="H1166" t="s">
        <v>60</v>
      </c>
      <c r="I1166" t="s">
        <v>1029</v>
      </c>
      <c r="J1166" t="s">
        <v>86</v>
      </c>
      <c r="L1166" t="s">
        <v>74</v>
      </c>
      <c r="M1166" t="s">
        <v>63</v>
      </c>
      <c r="N1166" t="s">
        <v>64</v>
      </c>
      <c r="P1166" t="s">
        <v>100</v>
      </c>
      <c r="T1166">
        <v>55</v>
      </c>
      <c r="V1166">
        <v>72</v>
      </c>
      <c r="W1166" t="s">
        <v>66</v>
      </c>
      <c r="X1166" t="s">
        <v>67</v>
      </c>
      <c r="Y1166" t="s">
        <v>67</v>
      </c>
      <c r="Z1166" t="s">
        <v>68</v>
      </c>
      <c r="AB1166">
        <v>4</v>
      </c>
      <c r="AC1166" t="s">
        <v>61</v>
      </c>
      <c r="AJ1166" t="s">
        <v>69</v>
      </c>
      <c r="AY1166" t="s">
        <v>1024</v>
      </c>
      <c r="AZ1166">
        <v>12405</v>
      </c>
      <c r="BA1166" t="s">
        <v>1025</v>
      </c>
      <c r="BB1166" t="s">
        <v>1026</v>
      </c>
      <c r="BC1166">
        <v>1982</v>
      </c>
      <c r="BD1166" t="s">
        <v>90</v>
      </c>
    </row>
    <row r="1167" spans="1:56" x14ac:dyDescent="0.35">
      <c r="A1167">
        <v>108894</v>
      </c>
      <c r="B1167" t="s">
        <v>1031</v>
      </c>
      <c r="D1167" t="s">
        <v>57</v>
      </c>
      <c r="E1167">
        <v>98</v>
      </c>
      <c r="F1167" t="s">
        <v>58</v>
      </c>
      <c r="G1167" t="s">
        <v>59</v>
      </c>
      <c r="H1167" t="s">
        <v>60</v>
      </c>
      <c r="J1167">
        <v>32</v>
      </c>
      <c r="K1167" t="s">
        <v>61</v>
      </c>
      <c r="L1167" t="s">
        <v>74</v>
      </c>
      <c r="M1167" t="s">
        <v>63</v>
      </c>
      <c r="N1167" t="s">
        <v>64</v>
      </c>
      <c r="P1167" t="s">
        <v>65</v>
      </c>
      <c r="R1167">
        <v>403</v>
      </c>
      <c r="T1167">
        <v>351</v>
      </c>
      <c r="V1167">
        <v>464</v>
      </c>
      <c r="W1167" t="s">
        <v>66</v>
      </c>
      <c r="X1167" t="s">
        <v>67</v>
      </c>
      <c r="Y1167" t="s">
        <v>67</v>
      </c>
      <c r="Z1167" t="s">
        <v>68</v>
      </c>
      <c r="AB1167">
        <v>4</v>
      </c>
      <c r="AC1167" t="s">
        <v>61</v>
      </c>
      <c r="AJ1167" t="s">
        <v>69</v>
      </c>
      <c r="AY1167" t="s">
        <v>263</v>
      </c>
      <c r="AZ1167">
        <v>12858</v>
      </c>
      <c r="BA1167" t="s">
        <v>264</v>
      </c>
      <c r="BB1167" t="s">
        <v>265</v>
      </c>
      <c r="BC1167">
        <v>1986</v>
      </c>
      <c r="BD1167" t="s">
        <v>73</v>
      </c>
    </row>
    <row r="1168" spans="1:56" x14ac:dyDescent="0.35">
      <c r="A1168">
        <v>108907</v>
      </c>
      <c r="B1168" t="s">
        <v>1032</v>
      </c>
      <c r="C1168" t="s">
        <v>195</v>
      </c>
      <c r="D1168" t="s">
        <v>57</v>
      </c>
      <c r="E1168" t="s">
        <v>86</v>
      </c>
      <c r="F1168" t="s">
        <v>58</v>
      </c>
      <c r="G1168" t="s">
        <v>59</v>
      </c>
      <c r="H1168" t="s">
        <v>60</v>
      </c>
      <c r="I1168" t="s">
        <v>177</v>
      </c>
      <c r="J1168" t="s">
        <v>86</v>
      </c>
      <c r="K1168" t="s">
        <v>61</v>
      </c>
      <c r="L1168" t="s">
        <v>62</v>
      </c>
      <c r="M1168" t="s">
        <v>63</v>
      </c>
      <c r="N1168" t="s">
        <v>64</v>
      </c>
      <c r="O1168" t="s">
        <v>381</v>
      </c>
      <c r="P1168" t="s">
        <v>65</v>
      </c>
      <c r="R1168">
        <v>22.3</v>
      </c>
      <c r="T1168">
        <v>19.2</v>
      </c>
      <c r="V1168">
        <v>26.9</v>
      </c>
      <c r="W1168" t="s">
        <v>66</v>
      </c>
      <c r="X1168" t="s">
        <v>67</v>
      </c>
      <c r="Y1168" t="s">
        <v>67</v>
      </c>
      <c r="Z1168" t="s">
        <v>68</v>
      </c>
      <c r="AB1168">
        <v>4</v>
      </c>
      <c r="AC1168" t="s">
        <v>61</v>
      </c>
      <c r="AJ1168" t="s">
        <v>69</v>
      </c>
      <c r="AY1168" t="s">
        <v>382</v>
      </c>
      <c r="AZ1168">
        <v>163462</v>
      </c>
      <c r="BA1168" t="s">
        <v>383</v>
      </c>
      <c r="BB1168" t="s">
        <v>384</v>
      </c>
      <c r="BC1168">
        <v>1987</v>
      </c>
      <c r="BD1168" t="s">
        <v>385</v>
      </c>
    </row>
    <row r="1169" spans="1:56" x14ac:dyDescent="0.35">
      <c r="A1169">
        <v>108907</v>
      </c>
      <c r="B1169" t="s">
        <v>1032</v>
      </c>
      <c r="C1169" t="s">
        <v>195</v>
      </c>
      <c r="E1169" t="s">
        <v>86</v>
      </c>
      <c r="F1169" t="s">
        <v>58</v>
      </c>
      <c r="G1169" t="s">
        <v>59</v>
      </c>
      <c r="H1169" t="s">
        <v>60</v>
      </c>
      <c r="I1169" t="s">
        <v>129</v>
      </c>
      <c r="J1169" t="s">
        <v>86</v>
      </c>
      <c r="K1169" t="s">
        <v>61</v>
      </c>
      <c r="L1169" t="s">
        <v>62</v>
      </c>
      <c r="M1169" t="s">
        <v>63</v>
      </c>
      <c r="N1169" t="s">
        <v>64</v>
      </c>
      <c r="O1169" t="s">
        <v>955</v>
      </c>
      <c r="P1169" t="s">
        <v>65</v>
      </c>
      <c r="R1169">
        <v>34.6</v>
      </c>
      <c r="W1169" t="s">
        <v>66</v>
      </c>
      <c r="X1169" t="s">
        <v>67</v>
      </c>
      <c r="Y1169" t="s">
        <v>67</v>
      </c>
      <c r="Z1169" t="s">
        <v>68</v>
      </c>
      <c r="AB1169">
        <v>4</v>
      </c>
      <c r="AC1169" t="s">
        <v>61</v>
      </c>
      <c r="AJ1169" t="s">
        <v>69</v>
      </c>
      <c r="AY1169" t="s">
        <v>382</v>
      </c>
      <c r="AZ1169">
        <v>91316</v>
      </c>
      <c r="BA1169" t="s">
        <v>956</v>
      </c>
      <c r="BB1169" t="s">
        <v>957</v>
      </c>
      <c r="BC1169">
        <v>1982</v>
      </c>
      <c r="BD1169" t="s">
        <v>127</v>
      </c>
    </row>
    <row r="1170" spans="1:56" x14ac:dyDescent="0.35">
      <c r="A1170">
        <v>108907</v>
      </c>
      <c r="B1170" t="s">
        <v>1032</v>
      </c>
      <c r="D1170" t="s">
        <v>57</v>
      </c>
      <c r="E1170" t="s">
        <v>79</v>
      </c>
      <c r="F1170" t="s">
        <v>58</v>
      </c>
      <c r="G1170" t="s">
        <v>59</v>
      </c>
      <c r="H1170" t="s">
        <v>60</v>
      </c>
      <c r="J1170">
        <v>31</v>
      </c>
      <c r="K1170" t="s">
        <v>61</v>
      </c>
      <c r="L1170" t="s">
        <v>74</v>
      </c>
      <c r="M1170" t="s">
        <v>63</v>
      </c>
      <c r="N1170" t="s">
        <v>64</v>
      </c>
      <c r="P1170" t="s">
        <v>65</v>
      </c>
      <c r="R1170">
        <v>16.899999999999999</v>
      </c>
      <c r="T1170">
        <v>13.8</v>
      </c>
      <c r="V1170">
        <v>20.6</v>
      </c>
      <c r="W1170" t="s">
        <v>66</v>
      </c>
      <c r="X1170" t="s">
        <v>67</v>
      </c>
      <c r="Y1170" t="s">
        <v>67</v>
      </c>
      <c r="Z1170" t="s">
        <v>68</v>
      </c>
      <c r="AB1170">
        <v>4</v>
      </c>
      <c r="AC1170" t="s">
        <v>61</v>
      </c>
      <c r="AJ1170" t="s">
        <v>69</v>
      </c>
      <c r="AY1170" t="s">
        <v>75</v>
      </c>
      <c r="AZ1170">
        <v>3217</v>
      </c>
      <c r="BA1170" t="s">
        <v>76</v>
      </c>
      <c r="BB1170" t="s">
        <v>77</v>
      </c>
      <c r="BC1170">
        <v>1990</v>
      </c>
      <c r="BD1170" t="s">
        <v>73</v>
      </c>
    </row>
    <row r="1171" spans="1:56" x14ac:dyDescent="0.35">
      <c r="A1171">
        <v>108907</v>
      </c>
      <c r="B1171" t="s">
        <v>1032</v>
      </c>
      <c r="D1171" t="s">
        <v>85</v>
      </c>
      <c r="E1171" t="s">
        <v>86</v>
      </c>
      <c r="F1171" t="s">
        <v>58</v>
      </c>
      <c r="G1171" t="s">
        <v>59</v>
      </c>
      <c r="H1171" t="s">
        <v>60</v>
      </c>
      <c r="I1171" t="s">
        <v>397</v>
      </c>
      <c r="J1171" t="s">
        <v>86</v>
      </c>
      <c r="K1171" t="s">
        <v>61</v>
      </c>
      <c r="L1171" t="s">
        <v>62</v>
      </c>
      <c r="M1171" t="s">
        <v>63</v>
      </c>
      <c r="N1171" t="s">
        <v>64</v>
      </c>
      <c r="P1171" t="s">
        <v>100</v>
      </c>
      <c r="R1171">
        <v>22.2</v>
      </c>
      <c r="T1171">
        <v>19.2</v>
      </c>
      <c r="V1171">
        <v>26.6</v>
      </c>
      <c r="W1171" t="s">
        <v>66</v>
      </c>
      <c r="X1171" t="s">
        <v>67</v>
      </c>
      <c r="Y1171" t="s">
        <v>67</v>
      </c>
      <c r="Z1171" t="s">
        <v>68</v>
      </c>
      <c r="AB1171">
        <v>4</v>
      </c>
      <c r="AC1171" t="s">
        <v>61</v>
      </c>
      <c r="AJ1171" t="s">
        <v>69</v>
      </c>
      <c r="AY1171" t="s">
        <v>394</v>
      </c>
      <c r="AZ1171">
        <v>10432</v>
      </c>
      <c r="BA1171" t="s">
        <v>395</v>
      </c>
      <c r="BB1171" t="s">
        <v>396</v>
      </c>
      <c r="BC1171">
        <v>1983</v>
      </c>
      <c r="BD1171" t="s">
        <v>398</v>
      </c>
    </row>
    <row r="1172" spans="1:56" x14ac:dyDescent="0.35">
      <c r="A1172">
        <v>108907</v>
      </c>
      <c r="B1172" t="s">
        <v>1032</v>
      </c>
      <c r="C1172" t="s">
        <v>195</v>
      </c>
      <c r="E1172" t="s">
        <v>86</v>
      </c>
      <c r="F1172" t="s">
        <v>58</v>
      </c>
      <c r="G1172" t="s">
        <v>59</v>
      </c>
      <c r="H1172" t="s">
        <v>60</v>
      </c>
      <c r="I1172" t="s">
        <v>392</v>
      </c>
      <c r="J1172" t="s">
        <v>86</v>
      </c>
      <c r="K1172" t="s">
        <v>61</v>
      </c>
      <c r="L1172" t="s">
        <v>62</v>
      </c>
      <c r="M1172" t="s">
        <v>63</v>
      </c>
      <c r="N1172" t="s">
        <v>64</v>
      </c>
      <c r="O1172" t="s">
        <v>955</v>
      </c>
      <c r="P1172" t="s">
        <v>65</v>
      </c>
      <c r="R1172">
        <v>22.2</v>
      </c>
      <c r="T1172">
        <v>19.2</v>
      </c>
      <c r="V1172">
        <v>26.6</v>
      </c>
      <c r="W1172" t="s">
        <v>66</v>
      </c>
      <c r="X1172" t="s">
        <v>67</v>
      </c>
      <c r="Y1172" t="s">
        <v>67</v>
      </c>
      <c r="Z1172" t="s">
        <v>68</v>
      </c>
      <c r="AB1172">
        <v>4</v>
      </c>
      <c r="AC1172" t="s">
        <v>61</v>
      </c>
      <c r="AJ1172" t="s">
        <v>69</v>
      </c>
      <c r="AY1172" t="s">
        <v>382</v>
      </c>
      <c r="AZ1172">
        <v>91316</v>
      </c>
      <c r="BA1172" t="s">
        <v>956</v>
      </c>
      <c r="BB1172" t="s">
        <v>957</v>
      </c>
      <c r="BC1172">
        <v>1982</v>
      </c>
      <c r="BD1172" t="s">
        <v>393</v>
      </c>
    </row>
    <row r="1173" spans="1:56" x14ac:dyDescent="0.35">
      <c r="A1173">
        <v>108907</v>
      </c>
      <c r="B1173" t="s">
        <v>1032</v>
      </c>
      <c r="D1173" t="s">
        <v>85</v>
      </c>
      <c r="E1173" t="s">
        <v>86</v>
      </c>
      <c r="F1173" t="s">
        <v>58</v>
      </c>
      <c r="G1173" t="s">
        <v>59</v>
      </c>
      <c r="H1173" t="s">
        <v>60</v>
      </c>
      <c r="J1173" t="s">
        <v>86</v>
      </c>
      <c r="L1173" t="s">
        <v>62</v>
      </c>
      <c r="M1173" t="s">
        <v>63</v>
      </c>
      <c r="N1173" t="s">
        <v>64</v>
      </c>
      <c r="P1173" t="s">
        <v>100</v>
      </c>
      <c r="R1173">
        <v>33.93</v>
      </c>
      <c r="T1173">
        <v>27.61</v>
      </c>
      <c r="V1173">
        <v>43.27</v>
      </c>
      <c r="W1173" t="s">
        <v>66</v>
      </c>
      <c r="X1173" t="s">
        <v>67</v>
      </c>
      <c r="Y1173" t="s">
        <v>67</v>
      </c>
      <c r="Z1173" t="s">
        <v>68</v>
      </c>
      <c r="AB1173">
        <v>4</v>
      </c>
      <c r="AC1173" t="s">
        <v>61</v>
      </c>
      <c r="AJ1173" t="s">
        <v>69</v>
      </c>
      <c r="AY1173" t="s">
        <v>168</v>
      </c>
      <c r="AZ1173">
        <v>728</v>
      </c>
      <c r="BA1173" t="s">
        <v>426</v>
      </c>
      <c r="BB1173" t="s">
        <v>427</v>
      </c>
      <c r="BC1173">
        <v>1966</v>
      </c>
      <c r="BD1173" t="s">
        <v>90</v>
      </c>
    </row>
    <row r="1174" spans="1:56" x14ac:dyDescent="0.35">
      <c r="A1174">
        <v>108907</v>
      </c>
      <c r="B1174" t="s">
        <v>1032</v>
      </c>
      <c r="C1174" t="s">
        <v>195</v>
      </c>
      <c r="E1174" t="s">
        <v>86</v>
      </c>
      <c r="F1174" t="s">
        <v>58</v>
      </c>
      <c r="G1174" t="s">
        <v>59</v>
      </c>
      <c r="H1174" t="s">
        <v>60</v>
      </c>
      <c r="I1174" t="s">
        <v>177</v>
      </c>
      <c r="J1174" t="s">
        <v>86</v>
      </c>
      <c r="K1174" t="s">
        <v>61</v>
      </c>
      <c r="L1174" t="s">
        <v>62</v>
      </c>
      <c r="M1174" t="s">
        <v>63</v>
      </c>
      <c r="N1174" t="s">
        <v>64</v>
      </c>
      <c r="O1174" t="s">
        <v>955</v>
      </c>
      <c r="P1174" t="s">
        <v>65</v>
      </c>
      <c r="R1174">
        <v>22.3</v>
      </c>
      <c r="T1174">
        <v>19.2</v>
      </c>
      <c r="V1174">
        <v>26.9</v>
      </c>
      <c r="W1174" t="s">
        <v>66</v>
      </c>
      <c r="X1174" t="s">
        <v>67</v>
      </c>
      <c r="Y1174" t="s">
        <v>67</v>
      </c>
      <c r="Z1174" t="s">
        <v>68</v>
      </c>
      <c r="AB1174">
        <v>4</v>
      </c>
      <c r="AC1174" t="s">
        <v>61</v>
      </c>
      <c r="AJ1174" t="s">
        <v>69</v>
      </c>
      <c r="AY1174" t="s">
        <v>382</v>
      </c>
      <c r="AZ1174">
        <v>91316</v>
      </c>
      <c r="BA1174" t="s">
        <v>956</v>
      </c>
      <c r="BB1174" t="s">
        <v>957</v>
      </c>
      <c r="BC1174">
        <v>1982</v>
      </c>
      <c r="BD1174" t="s">
        <v>385</v>
      </c>
    </row>
    <row r="1175" spans="1:56" x14ac:dyDescent="0.35">
      <c r="A1175">
        <v>108907</v>
      </c>
      <c r="B1175" t="s">
        <v>1032</v>
      </c>
      <c r="C1175" t="s">
        <v>195</v>
      </c>
      <c r="D1175" t="s">
        <v>57</v>
      </c>
      <c r="E1175" t="s">
        <v>86</v>
      </c>
      <c r="F1175" t="s">
        <v>58</v>
      </c>
      <c r="G1175" t="s">
        <v>59</v>
      </c>
      <c r="H1175" t="s">
        <v>60</v>
      </c>
      <c r="I1175" t="s">
        <v>129</v>
      </c>
      <c r="J1175" t="s">
        <v>86</v>
      </c>
      <c r="K1175" t="s">
        <v>61</v>
      </c>
      <c r="L1175" t="s">
        <v>62</v>
      </c>
      <c r="M1175" t="s">
        <v>63</v>
      </c>
      <c r="N1175" t="s">
        <v>64</v>
      </c>
      <c r="O1175" t="s">
        <v>381</v>
      </c>
      <c r="P1175" t="s">
        <v>65</v>
      </c>
      <c r="R1175">
        <v>35.4</v>
      </c>
      <c r="T1175">
        <v>31.2</v>
      </c>
      <c r="V1175">
        <v>43.3</v>
      </c>
      <c r="W1175" t="s">
        <v>66</v>
      </c>
      <c r="X1175" t="s">
        <v>67</v>
      </c>
      <c r="Y1175" t="s">
        <v>67</v>
      </c>
      <c r="Z1175" t="s">
        <v>68</v>
      </c>
      <c r="AB1175">
        <v>4</v>
      </c>
      <c r="AC1175" t="s">
        <v>61</v>
      </c>
      <c r="AJ1175" t="s">
        <v>69</v>
      </c>
      <c r="AY1175" t="s">
        <v>382</v>
      </c>
      <c r="AZ1175">
        <v>163462</v>
      </c>
      <c r="BA1175" t="s">
        <v>383</v>
      </c>
      <c r="BB1175" t="s">
        <v>384</v>
      </c>
      <c r="BC1175">
        <v>1987</v>
      </c>
      <c r="BD1175" t="s">
        <v>127</v>
      </c>
    </row>
    <row r="1176" spans="1:56" x14ac:dyDescent="0.35">
      <c r="A1176">
        <v>108907</v>
      </c>
      <c r="B1176" t="s">
        <v>1032</v>
      </c>
      <c r="C1176" t="s">
        <v>195</v>
      </c>
      <c r="D1176" t="s">
        <v>57</v>
      </c>
      <c r="E1176" t="s">
        <v>86</v>
      </c>
      <c r="F1176" t="s">
        <v>58</v>
      </c>
      <c r="G1176" t="s">
        <v>59</v>
      </c>
      <c r="H1176" t="s">
        <v>60</v>
      </c>
      <c r="I1176" t="s">
        <v>392</v>
      </c>
      <c r="J1176" t="s">
        <v>86</v>
      </c>
      <c r="K1176" t="s">
        <v>61</v>
      </c>
      <c r="L1176" t="s">
        <v>62</v>
      </c>
      <c r="M1176" t="s">
        <v>63</v>
      </c>
      <c r="N1176" t="s">
        <v>64</v>
      </c>
      <c r="O1176" t="s">
        <v>381</v>
      </c>
      <c r="P1176" t="s">
        <v>65</v>
      </c>
      <c r="R1176">
        <v>22.2</v>
      </c>
      <c r="T1176">
        <v>19.2</v>
      </c>
      <c r="V1176">
        <v>26.6</v>
      </c>
      <c r="W1176" t="s">
        <v>66</v>
      </c>
      <c r="X1176" t="s">
        <v>67</v>
      </c>
      <c r="Y1176" t="s">
        <v>67</v>
      </c>
      <c r="Z1176" t="s">
        <v>68</v>
      </c>
      <c r="AB1176">
        <v>4</v>
      </c>
      <c r="AC1176" t="s">
        <v>61</v>
      </c>
      <c r="AJ1176" t="s">
        <v>69</v>
      </c>
      <c r="AY1176" t="s">
        <v>382</v>
      </c>
      <c r="AZ1176">
        <v>163462</v>
      </c>
      <c r="BA1176" t="s">
        <v>383</v>
      </c>
      <c r="BB1176" t="s">
        <v>384</v>
      </c>
      <c r="BC1176">
        <v>1987</v>
      </c>
      <c r="BD1176" t="s">
        <v>393</v>
      </c>
    </row>
    <row r="1177" spans="1:56" x14ac:dyDescent="0.35">
      <c r="A1177">
        <v>108907</v>
      </c>
      <c r="B1177" t="s">
        <v>1032</v>
      </c>
      <c r="D1177" t="s">
        <v>57</v>
      </c>
      <c r="E1177" t="s">
        <v>428</v>
      </c>
      <c r="F1177" t="s">
        <v>58</v>
      </c>
      <c r="G1177" t="s">
        <v>59</v>
      </c>
      <c r="H1177" t="s">
        <v>60</v>
      </c>
      <c r="I1177" t="s">
        <v>188</v>
      </c>
      <c r="J1177" t="s">
        <v>289</v>
      </c>
      <c r="K1177" t="s">
        <v>184</v>
      </c>
      <c r="L1177" t="s">
        <v>74</v>
      </c>
      <c r="M1177" t="s">
        <v>63</v>
      </c>
      <c r="N1177" t="s">
        <v>64</v>
      </c>
      <c r="P1177" t="s">
        <v>65</v>
      </c>
      <c r="R1177">
        <v>7.7</v>
      </c>
      <c r="T1177">
        <v>7</v>
      </c>
      <c r="V1177">
        <v>8.5</v>
      </c>
      <c r="W1177" t="s">
        <v>66</v>
      </c>
      <c r="X1177" t="s">
        <v>67</v>
      </c>
      <c r="Y1177" t="s">
        <v>67</v>
      </c>
      <c r="Z1177" t="s">
        <v>68</v>
      </c>
      <c r="AB1177">
        <v>4</v>
      </c>
      <c r="AC1177" t="s">
        <v>61</v>
      </c>
      <c r="AJ1177" t="s">
        <v>69</v>
      </c>
      <c r="AY1177" t="s">
        <v>777</v>
      </c>
      <c r="AZ1177">
        <v>4343</v>
      </c>
      <c r="BA1177" t="s">
        <v>778</v>
      </c>
      <c r="BB1177" t="s">
        <v>779</v>
      </c>
      <c r="BC1177">
        <v>1993</v>
      </c>
      <c r="BD1177" t="s">
        <v>185</v>
      </c>
    </row>
    <row r="1178" spans="1:56" x14ac:dyDescent="0.35">
      <c r="A1178">
        <v>108907</v>
      </c>
      <c r="B1178" t="s">
        <v>1032</v>
      </c>
      <c r="D1178" t="s">
        <v>85</v>
      </c>
      <c r="E1178" t="s">
        <v>86</v>
      </c>
      <c r="F1178" t="s">
        <v>58</v>
      </c>
      <c r="G1178" t="s">
        <v>59</v>
      </c>
      <c r="H1178" t="s">
        <v>60</v>
      </c>
      <c r="J1178" t="s">
        <v>86</v>
      </c>
      <c r="L1178" t="s">
        <v>62</v>
      </c>
      <c r="M1178" t="s">
        <v>63</v>
      </c>
      <c r="N1178" t="s">
        <v>64</v>
      </c>
      <c r="P1178" t="s">
        <v>100</v>
      </c>
      <c r="R1178">
        <v>29.12</v>
      </c>
      <c r="T1178">
        <v>23.24</v>
      </c>
      <c r="V1178">
        <v>38.49</v>
      </c>
      <c r="W1178" t="s">
        <v>66</v>
      </c>
      <c r="X1178" t="s">
        <v>67</v>
      </c>
      <c r="Y1178" t="s">
        <v>67</v>
      </c>
      <c r="Z1178" t="s">
        <v>68</v>
      </c>
      <c r="AB1178">
        <v>4</v>
      </c>
      <c r="AC1178" t="s">
        <v>61</v>
      </c>
      <c r="AJ1178" t="s">
        <v>69</v>
      </c>
      <c r="AY1178" t="s">
        <v>168</v>
      </c>
      <c r="AZ1178">
        <v>728</v>
      </c>
      <c r="BA1178" t="s">
        <v>426</v>
      </c>
      <c r="BB1178" t="s">
        <v>427</v>
      </c>
      <c r="BC1178">
        <v>1966</v>
      </c>
      <c r="BD1178" t="s">
        <v>90</v>
      </c>
    </row>
    <row r="1179" spans="1:56" x14ac:dyDescent="0.35">
      <c r="A1179">
        <v>108907</v>
      </c>
      <c r="B1179" t="s">
        <v>1032</v>
      </c>
      <c r="D1179" t="s">
        <v>85</v>
      </c>
      <c r="E1179" t="s">
        <v>86</v>
      </c>
      <c r="F1179" t="s">
        <v>58</v>
      </c>
      <c r="G1179" t="s">
        <v>59</v>
      </c>
      <c r="H1179" t="s">
        <v>60</v>
      </c>
      <c r="I1179" t="s">
        <v>177</v>
      </c>
      <c r="J1179" t="s">
        <v>86</v>
      </c>
      <c r="K1179" t="s">
        <v>61</v>
      </c>
      <c r="L1179" t="s">
        <v>62</v>
      </c>
      <c r="M1179" t="s">
        <v>63</v>
      </c>
      <c r="N1179" t="s">
        <v>64</v>
      </c>
      <c r="P1179" t="s">
        <v>100</v>
      </c>
      <c r="R1179">
        <v>22.3</v>
      </c>
      <c r="T1179">
        <v>19.2</v>
      </c>
      <c r="V1179">
        <v>26.9</v>
      </c>
      <c r="W1179" t="s">
        <v>66</v>
      </c>
      <c r="X1179" t="s">
        <v>67</v>
      </c>
      <c r="Y1179" t="s">
        <v>67</v>
      </c>
      <c r="Z1179" t="s">
        <v>68</v>
      </c>
      <c r="AB1179">
        <v>4</v>
      </c>
      <c r="AC1179" t="s">
        <v>61</v>
      </c>
      <c r="AJ1179" t="s">
        <v>69</v>
      </c>
      <c r="AY1179" t="s">
        <v>394</v>
      </c>
      <c r="AZ1179">
        <v>10432</v>
      </c>
      <c r="BA1179" t="s">
        <v>395</v>
      </c>
      <c r="BB1179" t="s">
        <v>396</v>
      </c>
      <c r="BC1179">
        <v>1983</v>
      </c>
      <c r="BD1179" t="s">
        <v>385</v>
      </c>
    </row>
    <row r="1180" spans="1:56" x14ac:dyDescent="0.35">
      <c r="A1180">
        <v>108907</v>
      </c>
      <c r="B1180" t="s">
        <v>1032</v>
      </c>
      <c r="D1180" t="s">
        <v>85</v>
      </c>
      <c r="E1180" t="s">
        <v>86</v>
      </c>
      <c r="F1180" t="s">
        <v>58</v>
      </c>
      <c r="G1180" t="s">
        <v>59</v>
      </c>
      <c r="H1180" t="s">
        <v>60</v>
      </c>
      <c r="J1180" t="s">
        <v>86</v>
      </c>
      <c r="L1180" t="s">
        <v>62</v>
      </c>
      <c r="M1180" t="s">
        <v>63</v>
      </c>
      <c r="N1180" t="s">
        <v>64</v>
      </c>
      <c r="P1180" t="s">
        <v>100</v>
      </c>
      <c r="R1180">
        <v>33.93</v>
      </c>
      <c r="T1180">
        <v>27.61</v>
      </c>
      <c r="V1180">
        <v>43.27</v>
      </c>
      <c r="W1180" t="s">
        <v>66</v>
      </c>
      <c r="X1180" t="s">
        <v>67</v>
      </c>
      <c r="Y1180" t="s">
        <v>67</v>
      </c>
      <c r="Z1180" t="s">
        <v>68</v>
      </c>
      <c r="AB1180">
        <v>4</v>
      </c>
      <c r="AC1180" t="s">
        <v>61</v>
      </c>
      <c r="AJ1180" t="s">
        <v>69</v>
      </c>
      <c r="AY1180" t="s">
        <v>168</v>
      </c>
      <c r="AZ1180">
        <v>728</v>
      </c>
      <c r="BA1180" t="s">
        <v>426</v>
      </c>
      <c r="BB1180" t="s">
        <v>427</v>
      </c>
      <c r="BC1180">
        <v>1966</v>
      </c>
      <c r="BD1180" t="s">
        <v>90</v>
      </c>
    </row>
    <row r="1181" spans="1:56" x14ac:dyDescent="0.35">
      <c r="A1181">
        <v>108907</v>
      </c>
      <c r="B1181" t="s">
        <v>1032</v>
      </c>
      <c r="D1181" t="s">
        <v>85</v>
      </c>
      <c r="E1181" t="s">
        <v>86</v>
      </c>
      <c r="F1181" t="s">
        <v>58</v>
      </c>
      <c r="G1181" t="s">
        <v>59</v>
      </c>
      <c r="H1181" t="s">
        <v>60</v>
      </c>
      <c r="I1181" t="s">
        <v>129</v>
      </c>
      <c r="J1181" t="s">
        <v>86</v>
      </c>
      <c r="K1181" t="s">
        <v>61</v>
      </c>
      <c r="L1181" t="s">
        <v>62</v>
      </c>
      <c r="M1181" t="s">
        <v>63</v>
      </c>
      <c r="N1181" t="s">
        <v>64</v>
      </c>
      <c r="P1181" t="s">
        <v>100</v>
      </c>
      <c r="R1181">
        <v>35.4</v>
      </c>
      <c r="T1181">
        <v>31.2</v>
      </c>
      <c r="V1181">
        <v>43.3</v>
      </c>
      <c r="W1181" t="s">
        <v>66</v>
      </c>
      <c r="X1181" t="s">
        <v>67</v>
      </c>
      <c r="Y1181" t="s">
        <v>67</v>
      </c>
      <c r="Z1181" t="s">
        <v>68</v>
      </c>
      <c r="AB1181">
        <v>4</v>
      </c>
      <c r="AC1181" t="s">
        <v>61</v>
      </c>
      <c r="AJ1181" t="s">
        <v>69</v>
      </c>
      <c r="AY1181" t="s">
        <v>394</v>
      </c>
      <c r="AZ1181">
        <v>10432</v>
      </c>
      <c r="BA1181" t="s">
        <v>395</v>
      </c>
      <c r="BB1181" t="s">
        <v>396</v>
      </c>
      <c r="BC1181">
        <v>1983</v>
      </c>
      <c r="BD1181" t="s">
        <v>127</v>
      </c>
    </row>
    <row r="1182" spans="1:56" x14ac:dyDescent="0.35">
      <c r="A1182">
        <v>108907</v>
      </c>
      <c r="B1182" t="s">
        <v>1032</v>
      </c>
      <c r="C1182" t="s">
        <v>195</v>
      </c>
      <c r="E1182" t="s">
        <v>86</v>
      </c>
      <c r="F1182" t="s">
        <v>58</v>
      </c>
      <c r="G1182" t="s">
        <v>59</v>
      </c>
      <c r="H1182" t="s">
        <v>60</v>
      </c>
      <c r="I1182" t="s">
        <v>129</v>
      </c>
      <c r="J1182" t="s">
        <v>86</v>
      </c>
      <c r="K1182" t="s">
        <v>61</v>
      </c>
      <c r="L1182" t="s">
        <v>62</v>
      </c>
      <c r="M1182" t="s">
        <v>63</v>
      </c>
      <c r="N1182" t="s">
        <v>64</v>
      </c>
      <c r="O1182" t="s">
        <v>955</v>
      </c>
      <c r="P1182" t="s">
        <v>65</v>
      </c>
      <c r="R1182">
        <v>36.200000000000003</v>
      </c>
      <c r="W1182" t="s">
        <v>66</v>
      </c>
      <c r="X1182" t="s">
        <v>67</v>
      </c>
      <c r="Y1182" t="s">
        <v>67</v>
      </c>
      <c r="Z1182" t="s">
        <v>68</v>
      </c>
      <c r="AB1182">
        <v>4</v>
      </c>
      <c r="AC1182" t="s">
        <v>61</v>
      </c>
      <c r="AJ1182" t="s">
        <v>69</v>
      </c>
      <c r="AY1182" t="s">
        <v>382</v>
      </c>
      <c r="AZ1182">
        <v>91316</v>
      </c>
      <c r="BA1182" t="s">
        <v>956</v>
      </c>
      <c r="BB1182" t="s">
        <v>957</v>
      </c>
      <c r="BC1182">
        <v>1982</v>
      </c>
      <c r="BD1182" t="s">
        <v>127</v>
      </c>
    </row>
    <row r="1183" spans="1:56" x14ac:dyDescent="0.35">
      <c r="A1183">
        <v>108930</v>
      </c>
      <c r="B1183" t="s">
        <v>1033</v>
      </c>
      <c r="D1183" t="s">
        <v>57</v>
      </c>
      <c r="E1183">
        <v>99</v>
      </c>
      <c r="F1183" t="s">
        <v>58</v>
      </c>
      <c r="G1183" t="s">
        <v>59</v>
      </c>
      <c r="H1183" t="s">
        <v>60</v>
      </c>
      <c r="J1183">
        <v>29</v>
      </c>
      <c r="K1183" t="s">
        <v>61</v>
      </c>
      <c r="L1183" t="s">
        <v>74</v>
      </c>
      <c r="M1183" t="s">
        <v>63</v>
      </c>
      <c r="N1183" t="s">
        <v>64</v>
      </c>
      <c r="P1183" t="s">
        <v>65</v>
      </c>
      <c r="R1183">
        <v>704</v>
      </c>
      <c r="W1183" t="s">
        <v>66</v>
      </c>
      <c r="X1183" t="s">
        <v>67</v>
      </c>
      <c r="Y1183" t="s">
        <v>67</v>
      </c>
      <c r="Z1183" t="s">
        <v>68</v>
      </c>
      <c r="AB1183">
        <v>4</v>
      </c>
      <c r="AC1183" t="s">
        <v>61</v>
      </c>
      <c r="AJ1183" t="s">
        <v>69</v>
      </c>
      <c r="AY1183" t="s">
        <v>286</v>
      </c>
      <c r="AZ1183">
        <v>12448</v>
      </c>
      <c r="BA1183" t="s">
        <v>287</v>
      </c>
      <c r="BB1183" t="s">
        <v>288</v>
      </c>
      <c r="BC1183">
        <v>1984</v>
      </c>
      <c r="BD1183" t="s">
        <v>73</v>
      </c>
    </row>
    <row r="1184" spans="1:56" x14ac:dyDescent="0.35">
      <c r="A1184">
        <v>108930</v>
      </c>
      <c r="B1184" t="s">
        <v>1033</v>
      </c>
      <c r="D1184" t="s">
        <v>85</v>
      </c>
      <c r="E1184" t="s">
        <v>86</v>
      </c>
      <c r="F1184" t="s">
        <v>58</v>
      </c>
      <c r="G1184" t="s">
        <v>59</v>
      </c>
      <c r="H1184" t="s">
        <v>60</v>
      </c>
      <c r="I1184" t="s">
        <v>129</v>
      </c>
      <c r="J1184" t="s">
        <v>86</v>
      </c>
      <c r="K1184" t="s">
        <v>196</v>
      </c>
      <c r="L1184" t="s">
        <v>62</v>
      </c>
      <c r="M1184" t="s">
        <v>63</v>
      </c>
      <c r="N1184" t="s">
        <v>64</v>
      </c>
      <c r="P1184" t="s">
        <v>100</v>
      </c>
      <c r="R1184">
        <v>1033</v>
      </c>
      <c r="W1184" t="s">
        <v>66</v>
      </c>
      <c r="X1184" t="s">
        <v>67</v>
      </c>
      <c r="Y1184" t="s">
        <v>67</v>
      </c>
      <c r="Z1184" t="s">
        <v>68</v>
      </c>
      <c r="AB1184">
        <v>4</v>
      </c>
      <c r="AC1184" t="s">
        <v>61</v>
      </c>
      <c r="AJ1184" t="s">
        <v>69</v>
      </c>
      <c r="AY1184" t="s">
        <v>338</v>
      </c>
      <c r="AZ1184">
        <v>719</v>
      </c>
      <c r="BA1184" t="s">
        <v>339</v>
      </c>
      <c r="BB1184" t="s">
        <v>340</v>
      </c>
      <c r="BC1184">
        <v>1976</v>
      </c>
      <c r="BD1184" t="s">
        <v>341</v>
      </c>
    </row>
    <row r="1185" spans="1:56" x14ac:dyDescent="0.35">
      <c r="A1185">
        <v>108941</v>
      </c>
      <c r="B1185" t="s">
        <v>1034</v>
      </c>
      <c r="D1185" t="s">
        <v>57</v>
      </c>
      <c r="E1185">
        <v>99.8</v>
      </c>
      <c r="F1185" t="s">
        <v>58</v>
      </c>
      <c r="G1185" t="s">
        <v>59</v>
      </c>
      <c r="H1185" t="s">
        <v>60</v>
      </c>
      <c r="J1185" t="s">
        <v>86</v>
      </c>
      <c r="K1185" t="s">
        <v>61</v>
      </c>
      <c r="L1185" t="s">
        <v>74</v>
      </c>
      <c r="M1185" t="s">
        <v>63</v>
      </c>
      <c r="N1185" t="s">
        <v>64</v>
      </c>
      <c r="P1185" t="s">
        <v>65</v>
      </c>
      <c r="R1185">
        <v>732</v>
      </c>
      <c r="T1185">
        <v>696</v>
      </c>
      <c r="V1185">
        <v>770</v>
      </c>
      <c r="W1185" t="s">
        <v>66</v>
      </c>
      <c r="X1185" t="s">
        <v>67</v>
      </c>
      <c r="Y1185" t="s">
        <v>67</v>
      </c>
      <c r="Z1185" t="s">
        <v>68</v>
      </c>
      <c r="AB1185">
        <v>4</v>
      </c>
      <c r="AC1185" t="s">
        <v>61</v>
      </c>
      <c r="AJ1185" t="s">
        <v>69</v>
      </c>
      <c r="AY1185" t="s">
        <v>286</v>
      </c>
      <c r="AZ1185">
        <v>12448</v>
      </c>
      <c r="BA1185" t="s">
        <v>287</v>
      </c>
      <c r="BB1185" t="s">
        <v>288</v>
      </c>
      <c r="BC1185">
        <v>1984</v>
      </c>
      <c r="BD1185" t="s">
        <v>1035</v>
      </c>
    </row>
    <row r="1186" spans="1:56" x14ac:dyDescent="0.35">
      <c r="A1186">
        <v>108941</v>
      </c>
      <c r="B1186" t="s">
        <v>1034</v>
      </c>
      <c r="D1186" t="s">
        <v>57</v>
      </c>
      <c r="E1186">
        <v>99.8</v>
      </c>
      <c r="F1186" t="s">
        <v>58</v>
      </c>
      <c r="G1186" t="s">
        <v>59</v>
      </c>
      <c r="H1186" t="s">
        <v>60</v>
      </c>
      <c r="J1186">
        <v>30</v>
      </c>
      <c r="K1186" t="s">
        <v>61</v>
      </c>
      <c r="L1186" t="s">
        <v>74</v>
      </c>
      <c r="M1186" t="s">
        <v>63</v>
      </c>
      <c r="N1186" t="s">
        <v>64</v>
      </c>
      <c r="P1186" t="s">
        <v>65</v>
      </c>
      <c r="R1186">
        <v>527</v>
      </c>
      <c r="T1186">
        <v>481</v>
      </c>
      <c r="V1186">
        <v>578</v>
      </c>
      <c r="W1186" t="s">
        <v>66</v>
      </c>
      <c r="X1186" t="s">
        <v>67</v>
      </c>
      <c r="Y1186" t="s">
        <v>67</v>
      </c>
      <c r="Z1186" t="s">
        <v>68</v>
      </c>
      <c r="AB1186">
        <v>4</v>
      </c>
      <c r="AC1186" t="s">
        <v>61</v>
      </c>
      <c r="AJ1186" t="s">
        <v>69</v>
      </c>
      <c r="AY1186" t="s">
        <v>286</v>
      </c>
      <c r="AZ1186">
        <v>12448</v>
      </c>
      <c r="BA1186" t="s">
        <v>287</v>
      </c>
      <c r="BB1186" t="s">
        <v>288</v>
      </c>
      <c r="BC1186">
        <v>1984</v>
      </c>
      <c r="BD1186" t="s">
        <v>73</v>
      </c>
    </row>
    <row r="1187" spans="1:56" x14ac:dyDescent="0.35">
      <c r="A1187">
        <v>108941</v>
      </c>
      <c r="B1187" t="s">
        <v>1034</v>
      </c>
      <c r="D1187" t="s">
        <v>57</v>
      </c>
      <c r="E1187" t="s">
        <v>86</v>
      </c>
      <c r="F1187" t="s">
        <v>58</v>
      </c>
      <c r="G1187" t="s">
        <v>59</v>
      </c>
      <c r="H1187" t="s">
        <v>60</v>
      </c>
      <c r="J1187" t="s">
        <v>86</v>
      </c>
      <c r="L1187" t="s">
        <v>74</v>
      </c>
      <c r="M1187" t="s">
        <v>63</v>
      </c>
      <c r="N1187" t="s">
        <v>64</v>
      </c>
      <c r="P1187" t="s">
        <v>65</v>
      </c>
      <c r="R1187">
        <v>630</v>
      </c>
      <c r="W1187" t="s">
        <v>66</v>
      </c>
      <c r="X1187" t="s">
        <v>67</v>
      </c>
      <c r="Y1187" t="s">
        <v>67</v>
      </c>
      <c r="Z1187" t="s">
        <v>68</v>
      </c>
      <c r="AB1187">
        <v>4</v>
      </c>
      <c r="AC1187" t="s">
        <v>61</v>
      </c>
      <c r="AJ1187" t="s">
        <v>69</v>
      </c>
      <c r="AY1187" t="s">
        <v>364</v>
      </c>
      <c r="AZ1187">
        <v>10183</v>
      </c>
      <c r="BA1187" t="s">
        <v>365</v>
      </c>
      <c r="BB1187" t="s">
        <v>366</v>
      </c>
      <c r="BC1187">
        <v>1983</v>
      </c>
      <c r="BD1187" t="s">
        <v>90</v>
      </c>
    </row>
    <row r="1188" spans="1:56" x14ac:dyDescent="0.35">
      <c r="A1188">
        <v>108952</v>
      </c>
      <c r="B1188" t="s">
        <v>1036</v>
      </c>
      <c r="D1188" t="s">
        <v>57</v>
      </c>
      <c r="E1188" t="s">
        <v>86</v>
      </c>
      <c r="F1188" t="s">
        <v>58</v>
      </c>
      <c r="G1188" t="s">
        <v>59</v>
      </c>
      <c r="H1188" t="s">
        <v>60</v>
      </c>
      <c r="J1188" t="s">
        <v>86</v>
      </c>
      <c r="K1188" t="s">
        <v>61</v>
      </c>
      <c r="L1188" t="s">
        <v>74</v>
      </c>
      <c r="M1188" t="s">
        <v>63</v>
      </c>
      <c r="N1188" t="s">
        <v>64</v>
      </c>
      <c r="P1188" t="s">
        <v>201</v>
      </c>
      <c r="R1188">
        <v>28</v>
      </c>
      <c r="T1188">
        <v>23</v>
      </c>
      <c r="V1188">
        <v>34</v>
      </c>
      <c r="W1188" t="s">
        <v>66</v>
      </c>
      <c r="X1188" t="s">
        <v>67</v>
      </c>
      <c r="Y1188" t="s">
        <v>67</v>
      </c>
      <c r="Z1188" t="s">
        <v>68</v>
      </c>
      <c r="AB1188">
        <v>4</v>
      </c>
      <c r="AC1188" t="s">
        <v>61</v>
      </c>
      <c r="AJ1188" t="s">
        <v>69</v>
      </c>
      <c r="AY1188" t="s">
        <v>124</v>
      </c>
      <c r="AZ1188">
        <v>2189</v>
      </c>
      <c r="BA1188" t="s">
        <v>125</v>
      </c>
      <c r="BB1188" t="s">
        <v>126</v>
      </c>
      <c r="BC1188">
        <v>1981</v>
      </c>
      <c r="BD1188" t="s">
        <v>127</v>
      </c>
    </row>
    <row r="1189" spans="1:56" x14ac:dyDescent="0.35">
      <c r="A1189">
        <v>108952</v>
      </c>
      <c r="B1189" t="s">
        <v>1036</v>
      </c>
      <c r="D1189" t="s">
        <v>57</v>
      </c>
      <c r="E1189" t="s">
        <v>86</v>
      </c>
      <c r="F1189" t="s">
        <v>58</v>
      </c>
      <c r="G1189" t="s">
        <v>59</v>
      </c>
      <c r="H1189" t="s">
        <v>60</v>
      </c>
      <c r="I1189" t="s">
        <v>129</v>
      </c>
      <c r="J1189" t="s">
        <v>86</v>
      </c>
      <c r="K1189" t="s">
        <v>320</v>
      </c>
      <c r="L1189" t="s">
        <v>62</v>
      </c>
      <c r="M1189" t="s">
        <v>63</v>
      </c>
      <c r="N1189" t="s">
        <v>64</v>
      </c>
      <c r="P1189" t="s">
        <v>65</v>
      </c>
      <c r="R1189">
        <v>25.6</v>
      </c>
      <c r="T1189">
        <v>21.4</v>
      </c>
      <c r="V1189">
        <v>29.7</v>
      </c>
      <c r="W1189" t="s">
        <v>66</v>
      </c>
      <c r="X1189" t="s">
        <v>67</v>
      </c>
      <c r="Y1189" t="s">
        <v>67</v>
      </c>
      <c r="Z1189" t="s">
        <v>68</v>
      </c>
      <c r="AB1189">
        <v>4</v>
      </c>
      <c r="AC1189" t="s">
        <v>61</v>
      </c>
      <c r="AJ1189" t="s">
        <v>69</v>
      </c>
      <c r="AY1189" t="s">
        <v>748</v>
      </c>
      <c r="AZ1189">
        <v>11725</v>
      </c>
      <c r="BA1189" t="s">
        <v>749</v>
      </c>
      <c r="BB1189" t="s">
        <v>750</v>
      </c>
      <c r="BC1189">
        <v>1984</v>
      </c>
      <c r="BD1189" t="s">
        <v>751</v>
      </c>
    </row>
    <row r="1190" spans="1:56" x14ac:dyDescent="0.35">
      <c r="A1190">
        <v>108952</v>
      </c>
      <c r="B1190" t="s">
        <v>1036</v>
      </c>
      <c r="D1190" t="s">
        <v>57</v>
      </c>
      <c r="E1190">
        <v>88</v>
      </c>
      <c r="F1190" t="s">
        <v>58</v>
      </c>
      <c r="G1190" t="s">
        <v>59</v>
      </c>
      <c r="H1190" t="s">
        <v>60</v>
      </c>
      <c r="J1190">
        <v>34</v>
      </c>
      <c r="K1190" t="s">
        <v>61</v>
      </c>
      <c r="L1190" t="s">
        <v>74</v>
      </c>
      <c r="M1190" t="s">
        <v>63</v>
      </c>
      <c r="N1190" t="s">
        <v>64</v>
      </c>
      <c r="P1190" t="s">
        <v>65</v>
      </c>
      <c r="R1190">
        <v>32.4</v>
      </c>
      <c r="T1190">
        <v>28.4</v>
      </c>
      <c r="V1190">
        <v>37</v>
      </c>
      <c r="W1190" t="s">
        <v>66</v>
      </c>
      <c r="X1190" t="s">
        <v>67</v>
      </c>
      <c r="Y1190" t="s">
        <v>67</v>
      </c>
      <c r="Z1190" t="s">
        <v>68</v>
      </c>
      <c r="AB1190">
        <v>4</v>
      </c>
      <c r="AC1190" t="s">
        <v>61</v>
      </c>
      <c r="AJ1190" t="s">
        <v>69</v>
      </c>
      <c r="AY1190" t="s">
        <v>141</v>
      </c>
      <c r="AZ1190">
        <v>12447</v>
      </c>
      <c r="BA1190" t="s">
        <v>142</v>
      </c>
      <c r="BB1190" t="s">
        <v>143</v>
      </c>
      <c r="BC1190">
        <v>1985</v>
      </c>
      <c r="BD1190" t="s">
        <v>73</v>
      </c>
    </row>
    <row r="1191" spans="1:56" x14ac:dyDescent="0.35">
      <c r="A1191">
        <v>108952</v>
      </c>
      <c r="B1191" t="s">
        <v>1036</v>
      </c>
      <c r="C1191" t="s">
        <v>195</v>
      </c>
      <c r="D1191" t="s">
        <v>57</v>
      </c>
      <c r="E1191" t="s">
        <v>86</v>
      </c>
      <c r="F1191" t="s">
        <v>58</v>
      </c>
      <c r="G1191" t="s">
        <v>59</v>
      </c>
      <c r="H1191" t="s">
        <v>60</v>
      </c>
      <c r="I1191" t="s">
        <v>177</v>
      </c>
      <c r="J1191" t="s">
        <v>86</v>
      </c>
      <c r="K1191" t="s">
        <v>61</v>
      </c>
      <c r="L1191" t="s">
        <v>62</v>
      </c>
      <c r="M1191" t="s">
        <v>63</v>
      </c>
      <c r="N1191" t="s">
        <v>64</v>
      </c>
      <c r="O1191" t="s">
        <v>381</v>
      </c>
      <c r="P1191" t="s">
        <v>65</v>
      </c>
      <c r="R1191">
        <v>23</v>
      </c>
      <c r="T1191">
        <v>20.5</v>
      </c>
      <c r="V1191">
        <v>25.6</v>
      </c>
      <c r="W1191" t="s">
        <v>66</v>
      </c>
      <c r="X1191" t="s">
        <v>67</v>
      </c>
      <c r="Y1191" t="s">
        <v>67</v>
      </c>
      <c r="Z1191" t="s">
        <v>68</v>
      </c>
      <c r="AB1191">
        <v>4</v>
      </c>
      <c r="AC1191" t="s">
        <v>61</v>
      </c>
      <c r="AJ1191" t="s">
        <v>69</v>
      </c>
      <c r="AY1191" t="s">
        <v>382</v>
      </c>
      <c r="AZ1191">
        <v>163462</v>
      </c>
      <c r="BA1191" t="s">
        <v>383</v>
      </c>
      <c r="BB1191" t="s">
        <v>384</v>
      </c>
      <c r="BC1191">
        <v>1987</v>
      </c>
      <c r="BD1191" t="s">
        <v>385</v>
      </c>
    </row>
    <row r="1192" spans="1:56" x14ac:dyDescent="0.35">
      <c r="A1192">
        <v>108952</v>
      </c>
      <c r="B1192" t="s">
        <v>1036</v>
      </c>
      <c r="D1192" t="s">
        <v>85</v>
      </c>
      <c r="E1192" t="s">
        <v>86</v>
      </c>
      <c r="F1192" t="s">
        <v>58</v>
      </c>
      <c r="G1192" t="s">
        <v>59</v>
      </c>
      <c r="H1192" t="s">
        <v>60</v>
      </c>
      <c r="I1192" t="s">
        <v>177</v>
      </c>
      <c r="J1192" t="s">
        <v>86</v>
      </c>
      <c r="K1192" t="s">
        <v>61</v>
      </c>
      <c r="L1192" t="s">
        <v>62</v>
      </c>
      <c r="M1192" t="s">
        <v>63</v>
      </c>
      <c r="N1192" t="s">
        <v>64</v>
      </c>
      <c r="P1192" t="s">
        <v>100</v>
      </c>
      <c r="R1192">
        <v>23</v>
      </c>
      <c r="T1192">
        <v>20.5</v>
      </c>
      <c r="V1192">
        <v>25.6</v>
      </c>
      <c r="W1192" t="s">
        <v>66</v>
      </c>
      <c r="X1192" t="s">
        <v>67</v>
      </c>
      <c r="Y1192" t="s">
        <v>67</v>
      </c>
      <c r="Z1192" t="s">
        <v>68</v>
      </c>
      <c r="AB1192">
        <v>4</v>
      </c>
      <c r="AC1192" t="s">
        <v>61</v>
      </c>
      <c r="AJ1192" t="s">
        <v>69</v>
      </c>
      <c r="AY1192" t="s">
        <v>394</v>
      </c>
      <c r="AZ1192">
        <v>10432</v>
      </c>
      <c r="BA1192" t="s">
        <v>395</v>
      </c>
      <c r="BB1192" t="s">
        <v>396</v>
      </c>
      <c r="BC1192">
        <v>1983</v>
      </c>
      <c r="BD1192" t="s">
        <v>385</v>
      </c>
    </row>
    <row r="1193" spans="1:56" x14ac:dyDescent="0.35">
      <c r="A1193">
        <v>108952</v>
      </c>
      <c r="B1193" t="s">
        <v>1036</v>
      </c>
      <c r="C1193" t="s">
        <v>1037</v>
      </c>
      <c r="D1193" t="s">
        <v>85</v>
      </c>
      <c r="E1193">
        <v>100</v>
      </c>
      <c r="F1193" t="s">
        <v>58</v>
      </c>
      <c r="G1193" t="s">
        <v>59</v>
      </c>
      <c r="H1193" t="s">
        <v>60</v>
      </c>
      <c r="J1193" t="s">
        <v>86</v>
      </c>
      <c r="L1193" t="s">
        <v>62</v>
      </c>
      <c r="M1193" t="s">
        <v>63</v>
      </c>
      <c r="N1193" t="s">
        <v>64</v>
      </c>
      <c r="P1193" t="s">
        <v>201</v>
      </c>
      <c r="R1193">
        <v>34.270000000000003</v>
      </c>
      <c r="T1193">
        <v>22.83</v>
      </c>
      <c r="V1193">
        <v>45.86</v>
      </c>
      <c r="W1193" t="s">
        <v>66</v>
      </c>
      <c r="X1193" t="s">
        <v>67</v>
      </c>
      <c r="Y1193" t="s">
        <v>67</v>
      </c>
      <c r="Z1193" t="s">
        <v>68</v>
      </c>
      <c r="AB1193">
        <v>4</v>
      </c>
      <c r="AC1193" t="s">
        <v>61</v>
      </c>
      <c r="AJ1193" t="s">
        <v>69</v>
      </c>
      <c r="AY1193" t="s">
        <v>168</v>
      </c>
      <c r="AZ1193">
        <v>728</v>
      </c>
      <c r="BA1193" t="s">
        <v>426</v>
      </c>
      <c r="BB1193" t="s">
        <v>427</v>
      </c>
      <c r="BC1193">
        <v>1966</v>
      </c>
      <c r="BD1193" t="s">
        <v>90</v>
      </c>
    </row>
    <row r="1194" spans="1:56" x14ac:dyDescent="0.35">
      <c r="A1194">
        <v>108952</v>
      </c>
      <c r="B1194" t="s">
        <v>1036</v>
      </c>
      <c r="D1194" t="s">
        <v>57</v>
      </c>
      <c r="E1194">
        <v>88</v>
      </c>
      <c r="F1194" t="s">
        <v>58</v>
      </c>
      <c r="G1194" t="s">
        <v>59</v>
      </c>
      <c r="H1194" t="s">
        <v>60</v>
      </c>
      <c r="J1194">
        <v>35</v>
      </c>
      <c r="K1194" t="s">
        <v>61</v>
      </c>
      <c r="L1194" t="s">
        <v>74</v>
      </c>
      <c r="M1194" t="s">
        <v>63</v>
      </c>
      <c r="N1194" t="s">
        <v>64</v>
      </c>
      <c r="P1194" t="s">
        <v>65</v>
      </c>
      <c r="R1194">
        <v>28.8</v>
      </c>
      <c r="T1194">
        <v>23</v>
      </c>
      <c r="V1194">
        <v>36</v>
      </c>
      <c r="W1194" t="s">
        <v>66</v>
      </c>
      <c r="X1194" t="s">
        <v>67</v>
      </c>
      <c r="Y1194" t="s">
        <v>67</v>
      </c>
      <c r="Z1194" t="s">
        <v>68</v>
      </c>
      <c r="AB1194">
        <v>4</v>
      </c>
      <c r="AC1194" t="s">
        <v>61</v>
      </c>
      <c r="AJ1194" t="s">
        <v>69</v>
      </c>
      <c r="AY1194" t="s">
        <v>141</v>
      </c>
      <c r="AZ1194">
        <v>12447</v>
      </c>
      <c r="BA1194" t="s">
        <v>142</v>
      </c>
      <c r="BB1194" t="s">
        <v>143</v>
      </c>
      <c r="BC1194">
        <v>1985</v>
      </c>
      <c r="BD1194" t="s">
        <v>73</v>
      </c>
    </row>
    <row r="1195" spans="1:56" x14ac:dyDescent="0.35">
      <c r="A1195">
        <v>108952</v>
      </c>
      <c r="B1195" t="s">
        <v>1036</v>
      </c>
      <c r="D1195" t="s">
        <v>57</v>
      </c>
      <c r="E1195" t="s">
        <v>128</v>
      </c>
      <c r="F1195" t="s">
        <v>58</v>
      </c>
      <c r="G1195" t="s">
        <v>59</v>
      </c>
      <c r="H1195" t="s">
        <v>60</v>
      </c>
      <c r="I1195" t="s">
        <v>129</v>
      </c>
      <c r="J1195" t="s">
        <v>86</v>
      </c>
      <c r="K1195" t="s">
        <v>61</v>
      </c>
      <c r="L1195" t="s">
        <v>74</v>
      </c>
      <c r="M1195" t="s">
        <v>63</v>
      </c>
      <c r="N1195" t="s">
        <v>64</v>
      </c>
      <c r="P1195" t="s">
        <v>65</v>
      </c>
      <c r="R1195">
        <v>24.6</v>
      </c>
      <c r="W1195" t="s">
        <v>66</v>
      </c>
      <c r="X1195" t="s">
        <v>67</v>
      </c>
      <c r="Y1195" t="s">
        <v>67</v>
      </c>
      <c r="Z1195" t="s">
        <v>68</v>
      </c>
      <c r="AB1195">
        <v>4</v>
      </c>
      <c r="AC1195" t="s">
        <v>61</v>
      </c>
      <c r="AJ1195" t="s">
        <v>69</v>
      </c>
      <c r="AY1195" t="s">
        <v>134</v>
      </c>
      <c r="AZ1195">
        <v>15031</v>
      </c>
      <c r="BA1195" t="s">
        <v>135</v>
      </c>
      <c r="BB1195" t="s">
        <v>136</v>
      </c>
      <c r="BC1195">
        <v>1995</v>
      </c>
      <c r="BD1195" t="s">
        <v>133</v>
      </c>
    </row>
    <row r="1196" spans="1:56" x14ac:dyDescent="0.35">
      <c r="A1196">
        <v>108952</v>
      </c>
      <c r="B1196" t="s">
        <v>1036</v>
      </c>
      <c r="D1196" t="s">
        <v>57</v>
      </c>
      <c r="E1196" t="s">
        <v>128</v>
      </c>
      <c r="F1196" t="s">
        <v>58</v>
      </c>
      <c r="G1196" t="s">
        <v>59</v>
      </c>
      <c r="H1196" t="s">
        <v>60</v>
      </c>
      <c r="I1196" t="s">
        <v>129</v>
      </c>
      <c r="J1196" t="s">
        <v>86</v>
      </c>
      <c r="K1196" t="s">
        <v>61</v>
      </c>
      <c r="L1196" t="s">
        <v>74</v>
      </c>
      <c r="M1196" t="s">
        <v>63</v>
      </c>
      <c r="N1196" t="s">
        <v>64</v>
      </c>
      <c r="P1196" t="s">
        <v>65</v>
      </c>
      <c r="R1196">
        <v>24</v>
      </c>
      <c r="W1196" t="s">
        <v>66</v>
      </c>
      <c r="X1196" t="s">
        <v>67</v>
      </c>
      <c r="Y1196" t="s">
        <v>67</v>
      </c>
      <c r="Z1196" t="s">
        <v>68</v>
      </c>
      <c r="AB1196">
        <v>4</v>
      </c>
      <c r="AC1196" t="s">
        <v>61</v>
      </c>
      <c r="AJ1196" t="s">
        <v>69</v>
      </c>
      <c r="AY1196" t="s">
        <v>134</v>
      </c>
      <c r="AZ1196">
        <v>15031</v>
      </c>
      <c r="BA1196" t="s">
        <v>135</v>
      </c>
      <c r="BB1196" t="s">
        <v>136</v>
      </c>
      <c r="BC1196">
        <v>1995</v>
      </c>
      <c r="BD1196" t="s">
        <v>133</v>
      </c>
    </row>
    <row r="1197" spans="1:56" x14ac:dyDescent="0.35">
      <c r="A1197">
        <v>108952</v>
      </c>
      <c r="B1197" t="s">
        <v>1036</v>
      </c>
      <c r="D1197" t="s">
        <v>57</v>
      </c>
      <c r="E1197" t="s">
        <v>86</v>
      </c>
      <c r="F1197" t="s">
        <v>58</v>
      </c>
      <c r="G1197" t="s">
        <v>59</v>
      </c>
      <c r="H1197" t="s">
        <v>60</v>
      </c>
      <c r="J1197" t="s">
        <v>86</v>
      </c>
      <c r="L1197" t="s">
        <v>74</v>
      </c>
      <c r="M1197" t="s">
        <v>63</v>
      </c>
      <c r="N1197" t="s">
        <v>64</v>
      </c>
      <c r="P1197" t="s">
        <v>201</v>
      </c>
      <c r="R1197">
        <v>36</v>
      </c>
      <c r="W1197" t="s">
        <v>66</v>
      </c>
      <c r="X1197" t="s">
        <v>67</v>
      </c>
      <c r="Y1197" t="s">
        <v>67</v>
      </c>
      <c r="Z1197" t="s">
        <v>68</v>
      </c>
      <c r="AB1197">
        <v>4</v>
      </c>
      <c r="AC1197" t="s">
        <v>61</v>
      </c>
      <c r="AJ1197" t="s">
        <v>69</v>
      </c>
      <c r="AY1197" t="s">
        <v>1038</v>
      </c>
      <c r="AZ1197">
        <v>837</v>
      </c>
      <c r="BA1197" t="s">
        <v>1039</v>
      </c>
      <c r="BB1197" t="s">
        <v>1040</v>
      </c>
      <c r="BC1197">
        <v>1975</v>
      </c>
      <c r="BD1197" t="s">
        <v>90</v>
      </c>
    </row>
    <row r="1198" spans="1:56" x14ac:dyDescent="0.35">
      <c r="A1198">
        <v>108952</v>
      </c>
      <c r="B1198" t="s">
        <v>1036</v>
      </c>
      <c r="D1198" t="s">
        <v>85</v>
      </c>
      <c r="E1198" t="s">
        <v>86</v>
      </c>
      <c r="F1198" t="s">
        <v>58</v>
      </c>
      <c r="G1198" t="s">
        <v>59</v>
      </c>
      <c r="H1198" t="s">
        <v>60</v>
      </c>
      <c r="I1198" t="s">
        <v>129</v>
      </c>
      <c r="J1198" t="s">
        <v>86</v>
      </c>
      <c r="K1198" t="s">
        <v>196</v>
      </c>
      <c r="L1198" t="s">
        <v>62</v>
      </c>
      <c r="M1198" t="s">
        <v>63</v>
      </c>
      <c r="N1198" t="s">
        <v>64</v>
      </c>
      <c r="P1198" t="s">
        <v>201</v>
      </c>
      <c r="R1198">
        <v>32</v>
      </c>
      <c r="W1198" t="s">
        <v>66</v>
      </c>
      <c r="X1198" t="s">
        <v>67</v>
      </c>
      <c r="Y1198" t="s">
        <v>67</v>
      </c>
      <c r="Z1198" t="s">
        <v>68</v>
      </c>
      <c r="AB1198">
        <v>4</v>
      </c>
      <c r="AC1198" t="s">
        <v>61</v>
      </c>
      <c r="AJ1198" t="s">
        <v>69</v>
      </c>
      <c r="AY1198" t="s">
        <v>338</v>
      </c>
      <c r="AZ1198">
        <v>719</v>
      </c>
      <c r="BA1198" t="s">
        <v>339</v>
      </c>
      <c r="BB1198" t="s">
        <v>340</v>
      </c>
      <c r="BC1198">
        <v>1976</v>
      </c>
      <c r="BD1198" t="s">
        <v>341</v>
      </c>
    </row>
    <row r="1199" spans="1:56" x14ac:dyDescent="0.35">
      <c r="A1199">
        <v>108952</v>
      </c>
      <c r="B1199" t="s">
        <v>1036</v>
      </c>
      <c r="D1199" t="s">
        <v>57</v>
      </c>
      <c r="E1199" t="s">
        <v>86</v>
      </c>
      <c r="F1199" t="s">
        <v>58</v>
      </c>
      <c r="G1199" t="s">
        <v>59</v>
      </c>
      <c r="H1199" t="s">
        <v>60</v>
      </c>
      <c r="J1199" t="s">
        <v>86</v>
      </c>
      <c r="K1199" t="s">
        <v>61</v>
      </c>
      <c r="L1199" t="s">
        <v>74</v>
      </c>
      <c r="M1199" t="s">
        <v>63</v>
      </c>
      <c r="N1199" t="s">
        <v>64</v>
      </c>
      <c r="P1199" t="s">
        <v>201</v>
      </c>
      <c r="R1199">
        <v>29</v>
      </c>
      <c r="W1199" t="s">
        <v>66</v>
      </c>
      <c r="X1199" t="s">
        <v>67</v>
      </c>
      <c r="Y1199" t="s">
        <v>67</v>
      </c>
      <c r="Z1199" t="s">
        <v>68</v>
      </c>
      <c r="AB1199">
        <v>4</v>
      </c>
      <c r="AC1199" t="s">
        <v>61</v>
      </c>
      <c r="AJ1199" t="s">
        <v>69</v>
      </c>
      <c r="AY1199" t="s">
        <v>124</v>
      </c>
      <c r="AZ1199">
        <v>2189</v>
      </c>
      <c r="BA1199" t="s">
        <v>125</v>
      </c>
      <c r="BB1199" t="s">
        <v>126</v>
      </c>
      <c r="BC1199">
        <v>1981</v>
      </c>
      <c r="BD1199" t="s">
        <v>127</v>
      </c>
    </row>
    <row r="1200" spans="1:56" x14ac:dyDescent="0.35">
      <c r="A1200">
        <v>108952</v>
      </c>
      <c r="B1200" t="s">
        <v>1036</v>
      </c>
      <c r="C1200" t="s">
        <v>195</v>
      </c>
      <c r="D1200" t="s">
        <v>57</v>
      </c>
      <c r="E1200" t="s">
        <v>86</v>
      </c>
      <c r="F1200" t="s">
        <v>58</v>
      </c>
      <c r="G1200" t="s">
        <v>59</v>
      </c>
      <c r="H1200" t="s">
        <v>60</v>
      </c>
      <c r="I1200" t="s">
        <v>129</v>
      </c>
      <c r="J1200" t="s">
        <v>86</v>
      </c>
      <c r="K1200" t="s">
        <v>61</v>
      </c>
      <c r="L1200" t="s">
        <v>62</v>
      </c>
      <c r="M1200" t="s">
        <v>63</v>
      </c>
      <c r="N1200" t="s">
        <v>64</v>
      </c>
      <c r="O1200" t="s">
        <v>381</v>
      </c>
      <c r="P1200" t="s">
        <v>65</v>
      </c>
      <c r="R1200">
        <v>43.7</v>
      </c>
      <c r="T1200">
        <v>29.6</v>
      </c>
      <c r="V1200">
        <v>70.599999999999994</v>
      </c>
      <c r="W1200" t="s">
        <v>66</v>
      </c>
      <c r="X1200" t="s">
        <v>67</v>
      </c>
      <c r="Y1200" t="s">
        <v>67</v>
      </c>
      <c r="Z1200" t="s">
        <v>68</v>
      </c>
      <c r="AB1200">
        <v>4</v>
      </c>
      <c r="AC1200" t="s">
        <v>61</v>
      </c>
      <c r="AJ1200" t="s">
        <v>69</v>
      </c>
      <c r="AY1200" t="s">
        <v>382</v>
      </c>
      <c r="AZ1200">
        <v>163462</v>
      </c>
      <c r="BA1200" t="s">
        <v>383</v>
      </c>
      <c r="BB1200" t="s">
        <v>384</v>
      </c>
      <c r="BC1200">
        <v>1987</v>
      </c>
      <c r="BD1200" t="s">
        <v>127</v>
      </c>
    </row>
    <row r="1201" spans="1:56" x14ac:dyDescent="0.35">
      <c r="A1201">
        <v>108952</v>
      </c>
      <c r="B1201" t="s">
        <v>1036</v>
      </c>
      <c r="D1201" t="s">
        <v>57</v>
      </c>
      <c r="E1201" t="s">
        <v>86</v>
      </c>
      <c r="F1201" t="s">
        <v>58</v>
      </c>
      <c r="G1201" t="s">
        <v>59</v>
      </c>
      <c r="H1201" t="s">
        <v>60</v>
      </c>
      <c r="J1201" t="s">
        <v>86</v>
      </c>
      <c r="L1201" t="s">
        <v>74</v>
      </c>
      <c r="M1201" t="s">
        <v>63</v>
      </c>
      <c r="N1201" t="s">
        <v>64</v>
      </c>
      <c r="P1201" t="s">
        <v>65</v>
      </c>
      <c r="R1201">
        <v>25.3</v>
      </c>
      <c r="T1201">
        <v>11.9</v>
      </c>
      <c r="V1201">
        <v>50.5</v>
      </c>
      <c r="W1201" t="s">
        <v>66</v>
      </c>
      <c r="X1201" t="s">
        <v>67</v>
      </c>
      <c r="Y1201" t="s">
        <v>67</v>
      </c>
      <c r="Z1201" t="s">
        <v>68</v>
      </c>
      <c r="AB1201">
        <v>4</v>
      </c>
      <c r="AC1201" t="s">
        <v>61</v>
      </c>
      <c r="AJ1201" t="s">
        <v>69</v>
      </c>
      <c r="AY1201" t="s">
        <v>144</v>
      </c>
      <c r="AZ1201">
        <v>12665</v>
      </c>
      <c r="BA1201" t="s">
        <v>145</v>
      </c>
      <c r="BB1201" t="s">
        <v>146</v>
      </c>
      <c r="BC1201">
        <v>1987</v>
      </c>
      <c r="BD1201" t="s">
        <v>90</v>
      </c>
    </row>
    <row r="1202" spans="1:56" x14ac:dyDescent="0.35">
      <c r="A1202">
        <v>108952</v>
      </c>
      <c r="B1202" t="s">
        <v>1036</v>
      </c>
      <c r="D1202" t="s">
        <v>57</v>
      </c>
      <c r="E1202" t="s">
        <v>86</v>
      </c>
      <c r="F1202" t="s">
        <v>58</v>
      </c>
      <c r="G1202" t="s">
        <v>59</v>
      </c>
      <c r="H1202" t="s">
        <v>60</v>
      </c>
      <c r="J1202" t="s">
        <v>86</v>
      </c>
      <c r="L1202" t="s">
        <v>74</v>
      </c>
      <c r="M1202" t="s">
        <v>63</v>
      </c>
      <c r="N1202" t="s">
        <v>64</v>
      </c>
      <c r="P1202" t="s">
        <v>201</v>
      </c>
      <c r="R1202">
        <v>24.9</v>
      </c>
      <c r="W1202" t="s">
        <v>66</v>
      </c>
      <c r="X1202" t="s">
        <v>67</v>
      </c>
      <c r="Y1202" t="s">
        <v>67</v>
      </c>
      <c r="Z1202" t="s">
        <v>68</v>
      </c>
      <c r="AB1202">
        <v>4</v>
      </c>
      <c r="AC1202" t="s">
        <v>61</v>
      </c>
      <c r="AJ1202" t="s">
        <v>69</v>
      </c>
      <c r="AY1202" t="s">
        <v>811</v>
      </c>
      <c r="AZ1202">
        <v>569</v>
      </c>
      <c r="BA1202" t="s">
        <v>812</v>
      </c>
      <c r="BB1202" t="s">
        <v>813</v>
      </c>
      <c r="BC1202">
        <v>1980</v>
      </c>
      <c r="BD1202" t="s">
        <v>90</v>
      </c>
    </row>
    <row r="1203" spans="1:56" x14ac:dyDescent="0.35">
      <c r="A1203">
        <v>108952</v>
      </c>
      <c r="B1203" t="s">
        <v>1036</v>
      </c>
      <c r="C1203" t="s">
        <v>195</v>
      </c>
      <c r="D1203" t="s">
        <v>85</v>
      </c>
      <c r="E1203" t="s">
        <v>86</v>
      </c>
      <c r="F1203" t="s">
        <v>58</v>
      </c>
      <c r="G1203" t="s">
        <v>59</v>
      </c>
      <c r="H1203" t="s">
        <v>60</v>
      </c>
      <c r="I1203" t="s">
        <v>129</v>
      </c>
      <c r="J1203" t="s">
        <v>86</v>
      </c>
      <c r="L1203" t="s">
        <v>62</v>
      </c>
      <c r="M1203" t="s">
        <v>63</v>
      </c>
      <c r="N1203" t="s">
        <v>64</v>
      </c>
      <c r="O1203">
        <v>5</v>
      </c>
      <c r="P1203" t="s">
        <v>65</v>
      </c>
      <c r="R1203">
        <v>32</v>
      </c>
      <c r="W1203" t="s">
        <v>66</v>
      </c>
      <c r="X1203" t="s">
        <v>67</v>
      </c>
      <c r="Y1203" t="s">
        <v>67</v>
      </c>
      <c r="Z1203" t="s">
        <v>68</v>
      </c>
      <c r="AB1203">
        <v>4</v>
      </c>
      <c r="AC1203" t="s">
        <v>61</v>
      </c>
      <c r="AJ1203" t="s">
        <v>69</v>
      </c>
      <c r="AY1203" t="s">
        <v>298</v>
      </c>
      <c r="AZ1203">
        <v>11951</v>
      </c>
      <c r="BA1203" t="s">
        <v>299</v>
      </c>
      <c r="BB1203" t="s">
        <v>300</v>
      </c>
      <c r="BC1203">
        <v>1986</v>
      </c>
      <c r="BD1203" t="s">
        <v>90</v>
      </c>
    </row>
    <row r="1204" spans="1:56" x14ac:dyDescent="0.35">
      <c r="A1204">
        <v>108952</v>
      </c>
      <c r="B1204" t="s">
        <v>1036</v>
      </c>
      <c r="D1204" t="s">
        <v>57</v>
      </c>
      <c r="E1204" t="s">
        <v>128</v>
      </c>
      <c r="F1204" t="s">
        <v>58</v>
      </c>
      <c r="G1204" t="s">
        <v>59</v>
      </c>
      <c r="H1204" t="s">
        <v>60</v>
      </c>
      <c r="I1204" t="s">
        <v>129</v>
      </c>
      <c r="J1204" t="s">
        <v>86</v>
      </c>
      <c r="K1204" t="s">
        <v>61</v>
      </c>
      <c r="L1204" t="s">
        <v>74</v>
      </c>
      <c r="M1204" t="s">
        <v>63</v>
      </c>
      <c r="N1204" t="s">
        <v>64</v>
      </c>
      <c r="P1204" t="s">
        <v>65</v>
      </c>
      <c r="R1204">
        <v>27.3</v>
      </c>
      <c r="W1204" t="s">
        <v>66</v>
      </c>
      <c r="X1204" t="s">
        <v>67</v>
      </c>
      <c r="Y1204" t="s">
        <v>67</v>
      </c>
      <c r="Z1204" t="s">
        <v>68</v>
      </c>
      <c r="AB1204">
        <v>4</v>
      </c>
      <c r="AC1204" t="s">
        <v>61</v>
      </c>
      <c r="AJ1204" t="s">
        <v>69</v>
      </c>
      <c r="AY1204" t="s">
        <v>134</v>
      </c>
      <c r="AZ1204">
        <v>15031</v>
      </c>
      <c r="BA1204" t="s">
        <v>135</v>
      </c>
      <c r="BB1204" t="s">
        <v>136</v>
      </c>
      <c r="BC1204">
        <v>1995</v>
      </c>
      <c r="BD1204" t="s">
        <v>133</v>
      </c>
    </row>
    <row r="1205" spans="1:56" x14ac:dyDescent="0.35">
      <c r="A1205">
        <v>108952</v>
      </c>
      <c r="B1205" t="s">
        <v>1036</v>
      </c>
      <c r="D1205" t="s">
        <v>57</v>
      </c>
      <c r="E1205" t="s">
        <v>79</v>
      </c>
      <c r="F1205" t="s">
        <v>58</v>
      </c>
      <c r="G1205" t="s">
        <v>59</v>
      </c>
      <c r="H1205" t="s">
        <v>60</v>
      </c>
      <c r="J1205">
        <v>29</v>
      </c>
      <c r="K1205" t="s">
        <v>61</v>
      </c>
      <c r="L1205" t="s">
        <v>74</v>
      </c>
      <c r="M1205" t="s">
        <v>63</v>
      </c>
      <c r="N1205" t="s">
        <v>64</v>
      </c>
      <c r="P1205" t="s">
        <v>65</v>
      </c>
      <c r="R1205">
        <v>24.8</v>
      </c>
      <c r="T1205">
        <v>23</v>
      </c>
      <c r="V1205">
        <v>26.9</v>
      </c>
      <c r="W1205" t="s">
        <v>66</v>
      </c>
      <c r="X1205" t="s">
        <v>67</v>
      </c>
      <c r="Y1205" t="s">
        <v>67</v>
      </c>
      <c r="Z1205" t="s">
        <v>68</v>
      </c>
      <c r="AB1205">
        <v>4</v>
      </c>
      <c r="AC1205" t="s">
        <v>61</v>
      </c>
      <c r="AJ1205" t="s">
        <v>69</v>
      </c>
      <c r="AY1205" t="s">
        <v>75</v>
      </c>
      <c r="AZ1205">
        <v>3217</v>
      </c>
      <c r="BA1205" t="s">
        <v>76</v>
      </c>
      <c r="BB1205" t="s">
        <v>77</v>
      </c>
      <c r="BC1205">
        <v>1990</v>
      </c>
      <c r="BD1205" t="s">
        <v>73</v>
      </c>
    </row>
    <row r="1206" spans="1:56" x14ac:dyDescent="0.35">
      <c r="A1206">
        <v>108952</v>
      </c>
      <c r="B1206" t="s">
        <v>1036</v>
      </c>
      <c r="D1206" t="s">
        <v>57</v>
      </c>
      <c r="E1206" t="s">
        <v>79</v>
      </c>
      <c r="F1206" t="s">
        <v>58</v>
      </c>
      <c r="G1206" t="s">
        <v>59</v>
      </c>
      <c r="H1206" t="s">
        <v>60</v>
      </c>
      <c r="J1206">
        <v>29</v>
      </c>
      <c r="K1206" t="s">
        <v>61</v>
      </c>
      <c r="L1206" t="s">
        <v>74</v>
      </c>
      <c r="M1206" t="s">
        <v>63</v>
      </c>
      <c r="N1206" t="s">
        <v>64</v>
      </c>
      <c r="P1206" t="s">
        <v>65</v>
      </c>
      <c r="R1206">
        <v>24.8</v>
      </c>
      <c r="T1206">
        <v>23</v>
      </c>
      <c r="V1206">
        <v>26.9</v>
      </c>
      <c r="W1206" t="s">
        <v>66</v>
      </c>
      <c r="X1206" t="s">
        <v>67</v>
      </c>
      <c r="Y1206" t="s">
        <v>67</v>
      </c>
      <c r="Z1206" t="s">
        <v>68</v>
      </c>
      <c r="AB1206">
        <v>4</v>
      </c>
      <c r="AC1206" t="s">
        <v>61</v>
      </c>
      <c r="AJ1206" t="s">
        <v>69</v>
      </c>
      <c r="AY1206" t="s">
        <v>295</v>
      </c>
      <c r="AZ1206">
        <v>57532</v>
      </c>
      <c r="BA1206" t="s">
        <v>296</v>
      </c>
      <c r="BB1206" t="s">
        <v>297</v>
      </c>
      <c r="BC1206">
        <v>1993</v>
      </c>
      <c r="BD1206" t="s">
        <v>73</v>
      </c>
    </row>
    <row r="1207" spans="1:56" x14ac:dyDescent="0.35">
      <c r="A1207">
        <v>108952</v>
      </c>
      <c r="B1207" t="s">
        <v>1036</v>
      </c>
      <c r="D1207" t="s">
        <v>57</v>
      </c>
      <c r="E1207" t="s">
        <v>86</v>
      </c>
      <c r="F1207" t="s">
        <v>58</v>
      </c>
      <c r="G1207" t="s">
        <v>59</v>
      </c>
      <c r="H1207" t="s">
        <v>60</v>
      </c>
      <c r="J1207" t="s">
        <v>86</v>
      </c>
      <c r="K1207" t="s">
        <v>320</v>
      </c>
      <c r="L1207" t="s">
        <v>74</v>
      </c>
      <c r="M1207" t="s">
        <v>63</v>
      </c>
      <c r="N1207" t="s">
        <v>64</v>
      </c>
      <c r="P1207" t="s">
        <v>201</v>
      </c>
      <c r="R1207">
        <v>67.5</v>
      </c>
      <c r="W1207" t="s">
        <v>66</v>
      </c>
      <c r="X1207" t="s">
        <v>67</v>
      </c>
      <c r="Y1207" t="s">
        <v>67</v>
      </c>
      <c r="Z1207" t="s">
        <v>68</v>
      </c>
      <c r="AB1207">
        <v>4</v>
      </c>
      <c r="AC1207" t="s">
        <v>61</v>
      </c>
      <c r="AJ1207" t="s">
        <v>69</v>
      </c>
      <c r="AY1207" t="s">
        <v>1041</v>
      </c>
      <c r="AZ1207">
        <v>492</v>
      </c>
      <c r="BA1207" t="s">
        <v>1042</v>
      </c>
      <c r="BB1207" t="s">
        <v>1043</v>
      </c>
      <c r="BC1207">
        <v>1980</v>
      </c>
      <c r="BD1207" t="s">
        <v>1044</v>
      </c>
    </row>
    <row r="1208" spans="1:56" x14ac:dyDescent="0.35">
      <c r="A1208">
        <v>108952</v>
      </c>
      <c r="B1208" t="s">
        <v>1036</v>
      </c>
      <c r="D1208" t="s">
        <v>85</v>
      </c>
      <c r="E1208" t="s">
        <v>86</v>
      </c>
      <c r="F1208" t="s">
        <v>58</v>
      </c>
      <c r="G1208" t="s">
        <v>59</v>
      </c>
      <c r="H1208" t="s">
        <v>60</v>
      </c>
      <c r="I1208" t="s">
        <v>129</v>
      </c>
      <c r="J1208" t="s">
        <v>86</v>
      </c>
      <c r="K1208" t="s">
        <v>61</v>
      </c>
      <c r="L1208" t="s">
        <v>62</v>
      </c>
      <c r="M1208" t="s">
        <v>63</v>
      </c>
      <c r="N1208" t="s">
        <v>64</v>
      </c>
      <c r="P1208" t="s">
        <v>100</v>
      </c>
      <c r="R1208">
        <v>43.7</v>
      </c>
      <c r="T1208">
        <v>29.6</v>
      </c>
      <c r="V1208">
        <v>70.599999999999994</v>
      </c>
      <c r="W1208" t="s">
        <v>66</v>
      </c>
      <c r="X1208" t="s">
        <v>67</v>
      </c>
      <c r="Y1208" t="s">
        <v>67</v>
      </c>
      <c r="Z1208" t="s">
        <v>68</v>
      </c>
      <c r="AB1208">
        <v>4</v>
      </c>
      <c r="AC1208" t="s">
        <v>61</v>
      </c>
      <c r="AJ1208" t="s">
        <v>69</v>
      </c>
      <c r="AY1208" t="s">
        <v>394</v>
      </c>
      <c r="AZ1208">
        <v>10432</v>
      </c>
      <c r="BA1208" t="s">
        <v>395</v>
      </c>
      <c r="BB1208" t="s">
        <v>396</v>
      </c>
      <c r="BC1208">
        <v>1983</v>
      </c>
      <c r="BD1208" t="s">
        <v>127</v>
      </c>
    </row>
    <row r="1209" spans="1:56" x14ac:dyDescent="0.35">
      <c r="A1209">
        <v>108952</v>
      </c>
      <c r="B1209" t="s">
        <v>1036</v>
      </c>
      <c r="C1209" t="s">
        <v>1037</v>
      </c>
      <c r="D1209" t="s">
        <v>85</v>
      </c>
      <c r="E1209">
        <v>100</v>
      </c>
      <c r="F1209" t="s">
        <v>58</v>
      </c>
      <c r="G1209" t="s">
        <v>59</v>
      </c>
      <c r="H1209" t="s">
        <v>60</v>
      </c>
      <c r="J1209" t="s">
        <v>86</v>
      </c>
      <c r="L1209" t="s">
        <v>62</v>
      </c>
      <c r="M1209" t="s">
        <v>63</v>
      </c>
      <c r="N1209" t="s">
        <v>64</v>
      </c>
      <c r="P1209" t="s">
        <v>201</v>
      </c>
      <c r="R1209">
        <v>32</v>
      </c>
      <c r="T1209">
        <v>23.78</v>
      </c>
      <c r="V1209">
        <v>39.869999999999997</v>
      </c>
      <c r="W1209" t="s">
        <v>66</v>
      </c>
      <c r="X1209" t="s">
        <v>67</v>
      </c>
      <c r="Y1209" t="s">
        <v>67</v>
      </c>
      <c r="Z1209" t="s">
        <v>68</v>
      </c>
      <c r="AB1209">
        <v>4</v>
      </c>
      <c r="AC1209" t="s">
        <v>61</v>
      </c>
      <c r="AJ1209" t="s">
        <v>69</v>
      </c>
      <c r="AY1209" t="s">
        <v>168</v>
      </c>
      <c r="AZ1209">
        <v>728</v>
      </c>
      <c r="BA1209" t="s">
        <v>426</v>
      </c>
      <c r="BB1209" t="s">
        <v>427</v>
      </c>
      <c r="BC1209">
        <v>1966</v>
      </c>
      <c r="BD1209" t="s">
        <v>90</v>
      </c>
    </row>
    <row r="1210" spans="1:56" x14ac:dyDescent="0.35">
      <c r="A1210">
        <v>108952</v>
      </c>
      <c r="B1210" t="s">
        <v>1036</v>
      </c>
      <c r="D1210" t="s">
        <v>85</v>
      </c>
      <c r="E1210" t="s">
        <v>86</v>
      </c>
      <c r="F1210" t="s">
        <v>58</v>
      </c>
      <c r="G1210" t="s">
        <v>59</v>
      </c>
      <c r="H1210" t="s">
        <v>60</v>
      </c>
      <c r="J1210" t="s">
        <v>86</v>
      </c>
      <c r="L1210" t="s">
        <v>74</v>
      </c>
      <c r="M1210" t="s">
        <v>63</v>
      </c>
      <c r="N1210" t="s">
        <v>64</v>
      </c>
      <c r="P1210" t="s">
        <v>100</v>
      </c>
      <c r="R1210">
        <v>67.5</v>
      </c>
      <c r="W1210" t="s">
        <v>66</v>
      </c>
      <c r="X1210" t="s">
        <v>67</v>
      </c>
      <c r="Y1210" t="s">
        <v>67</v>
      </c>
      <c r="Z1210" t="s">
        <v>68</v>
      </c>
      <c r="AB1210">
        <v>4</v>
      </c>
      <c r="AC1210" t="s">
        <v>61</v>
      </c>
      <c r="AJ1210" t="s">
        <v>69</v>
      </c>
      <c r="AY1210" t="s">
        <v>745</v>
      </c>
      <c r="AZ1210">
        <v>59196</v>
      </c>
      <c r="BA1210" t="s">
        <v>746</v>
      </c>
      <c r="BB1210" t="s">
        <v>747</v>
      </c>
      <c r="BC1210">
        <v>1977</v>
      </c>
      <c r="BD1210" t="s">
        <v>90</v>
      </c>
    </row>
    <row r="1211" spans="1:56" x14ac:dyDescent="0.35">
      <c r="A1211">
        <v>108952</v>
      </c>
      <c r="B1211" t="s">
        <v>1036</v>
      </c>
      <c r="D1211" t="s">
        <v>57</v>
      </c>
      <c r="E1211">
        <v>88</v>
      </c>
      <c r="F1211" t="s">
        <v>58</v>
      </c>
      <c r="G1211" t="s">
        <v>59</v>
      </c>
      <c r="H1211" t="s">
        <v>60</v>
      </c>
      <c r="J1211">
        <v>33</v>
      </c>
      <c r="K1211" t="s">
        <v>61</v>
      </c>
      <c r="L1211" t="s">
        <v>74</v>
      </c>
      <c r="M1211" t="s">
        <v>63</v>
      </c>
      <c r="N1211" t="s">
        <v>64</v>
      </c>
      <c r="P1211" t="s">
        <v>65</v>
      </c>
      <c r="R1211">
        <v>49.7</v>
      </c>
      <c r="T1211">
        <v>42.6</v>
      </c>
      <c r="V1211">
        <v>57.6</v>
      </c>
      <c r="W1211" t="s">
        <v>66</v>
      </c>
      <c r="X1211" t="s">
        <v>67</v>
      </c>
      <c r="Y1211" t="s">
        <v>67</v>
      </c>
      <c r="Z1211" t="s">
        <v>68</v>
      </c>
      <c r="AB1211">
        <v>4</v>
      </c>
      <c r="AC1211" t="s">
        <v>61</v>
      </c>
      <c r="AJ1211" t="s">
        <v>69</v>
      </c>
      <c r="AY1211" t="s">
        <v>141</v>
      </c>
      <c r="AZ1211">
        <v>12447</v>
      </c>
      <c r="BA1211" t="s">
        <v>142</v>
      </c>
      <c r="BB1211" t="s">
        <v>143</v>
      </c>
      <c r="BC1211">
        <v>1985</v>
      </c>
      <c r="BD1211" t="s">
        <v>73</v>
      </c>
    </row>
    <row r="1212" spans="1:56" x14ac:dyDescent="0.35">
      <c r="A1212">
        <v>108952</v>
      </c>
      <c r="B1212" t="s">
        <v>1036</v>
      </c>
      <c r="D1212" t="s">
        <v>85</v>
      </c>
      <c r="E1212" t="s">
        <v>86</v>
      </c>
      <c r="F1212" t="s">
        <v>58</v>
      </c>
      <c r="G1212" t="s">
        <v>59</v>
      </c>
      <c r="H1212" t="s">
        <v>60</v>
      </c>
      <c r="I1212" t="s">
        <v>397</v>
      </c>
      <c r="J1212" t="s">
        <v>86</v>
      </c>
      <c r="K1212" t="s">
        <v>61</v>
      </c>
      <c r="L1212" t="s">
        <v>62</v>
      </c>
      <c r="M1212" t="s">
        <v>63</v>
      </c>
      <c r="N1212" t="s">
        <v>64</v>
      </c>
      <c r="P1212" t="s">
        <v>100</v>
      </c>
      <c r="R1212">
        <v>31.2</v>
      </c>
      <c r="T1212">
        <v>27.2</v>
      </c>
      <c r="V1212">
        <v>34.6</v>
      </c>
      <c r="W1212" t="s">
        <v>66</v>
      </c>
      <c r="X1212" t="s">
        <v>67</v>
      </c>
      <c r="Y1212" t="s">
        <v>67</v>
      </c>
      <c r="Z1212" t="s">
        <v>68</v>
      </c>
      <c r="AB1212">
        <v>4</v>
      </c>
      <c r="AC1212" t="s">
        <v>61</v>
      </c>
      <c r="AJ1212" t="s">
        <v>69</v>
      </c>
      <c r="AY1212" t="s">
        <v>394</v>
      </c>
      <c r="AZ1212">
        <v>10432</v>
      </c>
      <c r="BA1212" t="s">
        <v>395</v>
      </c>
      <c r="BB1212" t="s">
        <v>396</v>
      </c>
      <c r="BC1212">
        <v>1983</v>
      </c>
      <c r="BD1212" t="s">
        <v>398</v>
      </c>
    </row>
    <row r="1213" spans="1:56" x14ac:dyDescent="0.35">
      <c r="A1213">
        <v>108952</v>
      </c>
      <c r="B1213" t="s">
        <v>1036</v>
      </c>
      <c r="C1213" t="s">
        <v>195</v>
      </c>
      <c r="D1213" t="s">
        <v>85</v>
      </c>
      <c r="E1213" t="s">
        <v>86</v>
      </c>
      <c r="F1213" t="s">
        <v>58</v>
      </c>
      <c r="G1213" t="s">
        <v>59</v>
      </c>
      <c r="H1213" t="s">
        <v>60</v>
      </c>
      <c r="I1213" t="s">
        <v>129</v>
      </c>
      <c r="J1213" t="s">
        <v>86</v>
      </c>
      <c r="L1213" t="s">
        <v>62</v>
      </c>
      <c r="M1213" t="s">
        <v>63</v>
      </c>
      <c r="N1213" t="s">
        <v>64</v>
      </c>
      <c r="O1213">
        <v>5</v>
      </c>
      <c r="P1213" t="s">
        <v>65</v>
      </c>
      <c r="R1213">
        <v>40</v>
      </c>
      <c r="W1213" t="s">
        <v>66</v>
      </c>
      <c r="X1213" t="s">
        <v>67</v>
      </c>
      <c r="Y1213" t="s">
        <v>67</v>
      </c>
      <c r="Z1213" t="s">
        <v>68</v>
      </c>
      <c r="AB1213">
        <v>4</v>
      </c>
      <c r="AC1213" t="s">
        <v>61</v>
      </c>
      <c r="AJ1213" t="s">
        <v>69</v>
      </c>
      <c r="AY1213" t="s">
        <v>298</v>
      </c>
      <c r="AZ1213">
        <v>11951</v>
      </c>
      <c r="BA1213" t="s">
        <v>299</v>
      </c>
      <c r="BB1213" t="s">
        <v>300</v>
      </c>
      <c r="BC1213">
        <v>1986</v>
      </c>
      <c r="BD1213" t="s">
        <v>90</v>
      </c>
    </row>
    <row r="1214" spans="1:56" x14ac:dyDescent="0.35">
      <c r="A1214">
        <v>108952</v>
      </c>
      <c r="B1214" t="s">
        <v>1036</v>
      </c>
      <c r="C1214" t="s">
        <v>195</v>
      </c>
      <c r="D1214" t="s">
        <v>57</v>
      </c>
      <c r="E1214" t="s">
        <v>86</v>
      </c>
      <c r="F1214" t="s">
        <v>58</v>
      </c>
      <c r="G1214" t="s">
        <v>59</v>
      </c>
      <c r="H1214" t="s">
        <v>60</v>
      </c>
      <c r="I1214" t="s">
        <v>392</v>
      </c>
      <c r="J1214" t="s">
        <v>86</v>
      </c>
      <c r="K1214" t="s">
        <v>61</v>
      </c>
      <c r="L1214" t="s">
        <v>62</v>
      </c>
      <c r="M1214" t="s">
        <v>63</v>
      </c>
      <c r="N1214" t="s">
        <v>64</v>
      </c>
      <c r="O1214" t="s">
        <v>381</v>
      </c>
      <c r="P1214" t="s">
        <v>65</v>
      </c>
      <c r="R1214">
        <v>31.2</v>
      </c>
      <c r="T1214">
        <v>27.2</v>
      </c>
      <c r="V1214">
        <v>34.6</v>
      </c>
      <c r="W1214" t="s">
        <v>66</v>
      </c>
      <c r="X1214" t="s">
        <v>67</v>
      </c>
      <c r="Y1214" t="s">
        <v>67</v>
      </c>
      <c r="Z1214" t="s">
        <v>68</v>
      </c>
      <c r="AB1214">
        <v>4</v>
      </c>
      <c r="AC1214" t="s">
        <v>61</v>
      </c>
      <c r="AJ1214" t="s">
        <v>69</v>
      </c>
      <c r="AY1214" t="s">
        <v>382</v>
      </c>
      <c r="AZ1214">
        <v>163462</v>
      </c>
      <c r="BA1214" t="s">
        <v>383</v>
      </c>
      <c r="BB1214" t="s">
        <v>384</v>
      </c>
      <c r="BC1214">
        <v>1987</v>
      </c>
      <c r="BD1214" t="s">
        <v>393</v>
      </c>
    </row>
    <row r="1215" spans="1:56" x14ac:dyDescent="0.35">
      <c r="A1215">
        <v>108952</v>
      </c>
      <c r="B1215" t="s">
        <v>1036</v>
      </c>
      <c r="D1215" t="s">
        <v>57</v>
      </c>
      <c r="E1215" t="s">
        <v>86</v>
      </c>
      <c r="F1215" t="s">
        <v>58</v>
      </c>
      <c r="G1215" t="s">
        <v>59</v>
      </c>
      <c r="H1215" t="s">
        <v>60</v>
      </c>
      <c r="J1215" t="s">
        <v>86</v>
      </c>
      <c r="L1215" t="s">
        <v>74</v>
      </c>
      <c r="M1215" t="s">
        <v>63</v>
      </c>
      <c r="N1215" t="s">
        <v>64</v>
      </c>
      <c r="P1215" t="s">
        <v>201</v>
      </c>
      <c r="R1215">
        <v>24</v>
      </c>
      <c r="W1215" t="s">
        <v>66</v>
      </c>
      <c r="X1215" t="s">
        <v>67</v>
      </c>
      <c r="Y1215" t="s">
        <v>67</v>
      </c>
      <c r="Z1215" t="s">
        <v>68</v>
      </c>
      <c r="AB1215">
        <v>4</v>
      </c>
      <c r="AC1215" t="s">
        <v>61</v>
      </c>
      <c r="AJ1215" t="s">
        <v>69</v>
      </c>
      <c r="AY1215" t="s">
        <v>1038</v>
      </c>
      <c r="AZ1215">
        <v>837</v>
      </c>
      <c r="BA1215" t="s">
        <v>1039</v>
      </c>
      <c r="BB1215" t="s">
        <v>1040</v>
      </c>
      <c r="BC1215">
        <v>1975</v>
      </c>
      <c r="BD1215" t="s">
        <v>90</v>
      </c>
    </row>
    <row r="1216" spans="1:56" x14ac:dyDescent="0.35">
      <c r="A1216">
        <v>108952</v>
      </c>
      <c r="B1216" t="s">
        <v>1036</v>
      </c>
      <c r="D1216" t="s">
        <v>57</v>
      </c>
      <c r="E1216" t="s">
        <v>86</v>
      </c>
      <c r="F1216" t="s">
        <v>58</v>
      </c>
      <c r="G1216" t="s">
        <v>59</v>
      </c>
      <c r="H1216" t="s">
        <v>60</v>
      </c>
      <c r="J1216" t="s">
        <v>86</v>
      </c>
      <c r="L1216" t="s">
        <v>74</v>
      </c>
      <c r="M1216" t="s">
        <v>63</v>
      </c>
      <c r="N1216" t="s">
        <v>64</v>
      </c>
      <c r="P1216" t="s">
        <v>201</v>
      </c>
      <c r="R1216">
        <v>67.5</v>
      </c>
      <c r="W1216" t="s">
        <v>66</v>
      </c>
      <c r="X1216" t="s">
        <v>67</v>
      </c>
      <c r="Y1216" t="s">
        <v>67</v>
      </c>
      <c r="Z1216" t="s">
        <v>68</v>
      </c>
      <c r="AB1216">
        <v>4</v>
      </c>
      <c r="AC1216" t="s">
        <v>61</v>
      </c>
      <c r="AJ1216" t="s">
        <v>69</v>
      </c>
      <c r="AY1216" t="s">
        <v>811</v>
      </c>
      <c r="AZ1216">
        <v>569</v>
      </c>
      <c r="BA1216" t="s">
        <v>812</v>
      </c>
      <c r="BB1216" t="s">
        <v>813</v>
      </c>
      <c r="BC1216">
        <v>1980</v>
      </c>
      <c r="BD1216" t="s">
        <v>90</v>
      </c>
    </row>
    <row r="1217" spans="1:56" x14ac:dyDescent="0.35">
      <c r="A1217">
        <v>108996</v>
      </c>
      <c r="B1217" t="s">
        <v>1045</v>
      </c>
      <c r="D1217" t="s">
        <v>57</v>
      </c>
      <c r="E1217">
        <v>99</v>
      </c>
      <c r="F1217" t="s">
        <v>58</v>
      </c>
      <c r="G1217" t="s">
        <v>59</v>
      </c>
      <c r="H1217" t="s">
        <v>60</v>
      </c>
      <c r="J1217">
        <v>29</v>
      </c>
      <c r="K1217" t="s">
        <v>61</v>
      </c>
      <c r="L1217" t="s">
        <v>74</v>
      </c>
      <c r="M1217" t="s">
        <v>63</v>
      </c>
      <c r="N1217" t="s">
        <v>64</v>
      </c>
      <c r="P1217" t="s">
        <v>65</v>
      </c>
      <c r="R1217">
        <v>144</v>
      </c>
      <c r="T1217">
        <v>131</v>
      </c>
      <c r="V1217">
        <v>160</v>
      </c>
      <c r="W1217" t="s">
        <v>66</v>
      </c>
      <c r="X1217" t="s">
        <v>67</v>
      </c>
      <c r="Y1217" t="s">
        <v>67</v>
      </c>
      <c r="Z1217" t="s">
        <v>68</v>
      </c>
      <c r="AB1217">
        <v>4</v>
      </c>
      <c r="AC1217" t="s">
        <v>61</v>
      </c>
      <c r="AJ1217" t="s">
        <v>69</v>
      </c>
      <c r="AY1217" t="s">
        <v>75</v>
      </c>
      <c r="AZ1217">
        <v>3217</v>
      </c>
      <c r="BA1217" t="s">
        <v>76</v>
      </c>
      <c r="BB1217" t="s">
        <v>77</v>
      </c>
      <c r="BC1217">
        <v>1990</v>
      </c>
      <c r="BD1217" t="s">
        <v>73</v>
      </c>
    </row>
    <row r="1218" spans="1:56" x14ac:dyDescent="0.35">
      <c r="A1218">
        <v>109013</v>
      </c>
      <c r="B1218" t="s">
        <v>1046</v>
      </c>
      <c r="D1218" t="s">
        <v>57</v>
      </c>
      <c r="E1218">
        <v>98</v>
      </c>
      <c r="F1218" t="s">
        <v>58</v>
      </c>
      <c r="G1218" t="s">
        <v>59</v>
      </c>
      <c r="H1218" t="s">
        <v>60</v>
      </c>
      <c r="J1218">
        <v>31</v>
      </c>
      <c r="K1218" t="s">
        <v>61</v>
      </c>
      <c r="L1218" t="s">
        <v>74</v>
      </c>
      <c r="M1218" t="s">
        <v>63</v>
      </c>
      <c r="N1218" t="s">
        <v>64</v>
      </c>
      <c r="P1218" t="s">
        <v>65</v>
      </c>
      <c r="R1218">
        <v>2300</v>
      </c>
      <c r="T1218">
        <v>2070</v>
      </c>
      <c r="V1218">
        <v>2550</v>
      </c>
      <c r="W1218" t="s">
        <v>66</v>
      </c>
      <c r="X1218" t="s">
        <v>67</v>
      </c>
      <c r="Y1218" t="s">
        <v>67</v>
      </c>
      <c r="Z1218" t="s">
        <v>68</v>
      </c>
      <c r="AB1218">
        <v>4</v>
      </c>
      <c r="AC1218" t="s">
        <v>61</v>
      </c>
      <c r="AJ1218" t="s">
        <v>69</v>
      </c>
      <c r="AY1218" t="s">
        <v>263</v>
      </c>
      <c r="AZ1218">
        <v>12858</v>
      </c>
      <c r="BA1218" t="s">
        <v>264</v>
      </c>
      <c r="BB1218" t="s">
        <v>265</v>
      </c>
      <c r="BC1218">
        <v>1986</v>
      </c>
      <c r="BD1218" t="s">
        <v>73</v>
      </c>
    </row>
    <row r="1219" spans="1:56" x14ac:dyDescent="0.35">
      <c r="A1219">
        <v>109068</v>
      </c>
      <c r="B1219" t="s">
        <v>1047</v>
      </c>
      <c r="D1219" t="s">
        <v>57</v>
      </c>
      <c r="E1219">
        <v>98</v>
      </c>
      <c r="F1219" t="s">
        <v>58</v>
      </c>
      <c r="G1219" t="s">
        <v>59</v>
      </c>
      <c r="H1219" t="s">
        <v>60</v>
      </c>
      <c r="J1219" t="s">
        <v>86</v>
      </c>
      <c r="K1219" t="s">
        <v>61</v>
      </c>
      <c r="L1219" t="s">
        <v>74</v>
      </c>
      <c r="M1219" t="s">
        <v>63</v>
      </c>
      <c r="N1219" t="s">
        <v>64</v>
      </c>
      <c r="P1219" t="s">
        <v>65</v>
      </c>
      <c r="R1219">
        <v>897</v>
      </c>
      <c r="W1219" t="s">
        <v>66</v>
      </c>
      <c r="X1219" t="s">
        <v>67</v>
      </c>
      <c r="Y1219" t="s">
        <v>67</v>
      </c>
      <c r="Z1219" t="s">
        <v>68</v>
      </c>
      <c r="AB1219">
        <v>4</v>
      </c>
      <c r="AC1219" t="s">
        <v>61</v>
      </c>
      <c r="AJ1219" t="s">
        <v>69</v>
      </c>
      <c r="AY1219" t="s">
        <v>263</v>
      </c>
      <c r="AZ1219">
        <v>12858</v>
      </c>
      <c r="BA1219" t="s">
        <v>264</v>
      </c>
      <c r="BB1219" t="s">
        <v>265</v>
      </c>
      <c r="BC1219">
        <v>1986</v>
      </c>
      <c r="BD1219" t="s">
        <v>161</v>
      </c>
    </row>
    <row r="1220" spans="1:56" x14ac:dyDescent="0.35">
      <c r="A1220">
        <v>109079</v>
      </c>
      <c r="B1220" t="s">
        <v>1048</v>
      </c>
      <c r="D1220" t="s">
        <v>57</v>
      </c>
      <c r="E1220">
        <v>94</v>
      </c>
      <c r="F1220" t="s">
        <v>58</v>
      </c>
      <c r="G1220" t="s">
        <v>59</v>
      </c>
      <c r="H1220" t="s">
        <v>60</v>
      </c>
      <c r="J1220" t="s">
        <v>86</v>
      </c>
      <c r="K1220" t="s">
        <v>61</v>
      </c>
      <c r="L1220" t="s">
        <v>74</v>
      </c>
      <c r="M1220" t="s">
        <v>63</v>
      </c>
      <c r="N1220" t="s">
        <v>64</v>
      </c>
      <c r="P1220" t="s">
        <v>65</v>
      </c>
      <c r="R1220">
        <v>2240</v>
      </c>
      <c r="T1220">
        <v>1830</v>
      </c>
      <c r="V1220">
        <v>2740</v>
      </c>
      <c r="W1220" t="s">
        <v>66</v>
      </c>
      <c r="X1220" t="s">
        <v>67</v>
      </c>
      <c r="Y1220" t="s">
        <v>67</v>
      </c>
      <c r="Z1220" t="s">
        <v>68</v>
      </c>
      <c r="AB1220">
        <v>4</v>
      </c>
      <c r="AC1220" t="s">
        <v>61</v>
      </c>
      <c r="AJ1220" t="s">
        <v>69</v>
      </c>
      <c r="AY1220" t="s">
        <v>263</v>
      </c>
      <c r="AZ1220">
        <v>12858</v>
      </c>
      <c r="BA1220" t="s">
        <v>264</v>
      </c>
      <c r="BB1220" t="s">
        <v>265</v>
      </c>
      <c r="BC1220">
        <v>1986</v>
      </c>
      <c r="BD1220" t="s">
        <v>614</v>
      </c>
    </row>
    <row r="1221" spans="1:56" x14ac:dyDescent="0.35">
      <c r="A1221">
        <v>109217</v>
      </c>
      <c r="B1221" t="s">
        <v>1049</v>
      </c>
      <c r="D1221" t="s">
        <v>57</v>
      </c>
      <c r="E1221" t="s">
        <v>86</v>
      </c>
      <c r="F1221" t="s">
        <v>58</v>
      </c>
      <c r="G1221" t="s">
        <v>59</v>
      </c>
      <c r="H1221" t="s">
        <v>60</v>
      </c>
      <c r="J1221" t="s">
        <v>86</v>
      </c>
      <c r="L1221" t="s">
        <v>62</v>
      </c>
      <c r="M1221" t="s">
        <v>63</v>
      </c>
      <c r="N1221" t="s">
        <v>64</v>
      </c>
      <c r="O1221" t="s">
        <v>267</v>
      </c>
      <c r="P1221" t="s">
        <v>65</v>
      </c>
      <c r="R1221">
        <v>11.6</v>
      </c>
      <c r="T1221">
        <v>8.9</v>
      </c>
      <c r="V1221">
        <v>15.5</v>
      </c>
      <c r="W1221" t="s">
        <v>66</v>
      </c>
      <c r="X1221" t="s">
        <v>67</v>
      </c>
      <c r="Y1221" t="s">
        <v>67</v>
      </c>
      <c r="Z1221" t="s">
        <v>68</v>
      </c>
      <c r="AB1221">
        <v>4</v>
      </c>
      <c r="AC1221" t="s">
        <v>61</v>
      </c>
      <c r="AJ1221" t="s">
        <v>69</v>
      </c>
      <c r="AY1221" t="s">
        <v>268</v>
      </c>
      <c r="AZ1221">
        <v>2965</v>
      </c>
      <c r="BA1221" t="s">
        <v>269</v>
      </c>
      <c r="BB1221" t="s">
        <v>270</v>
      </c>
      <c r="BC1221">
        <v>1981</v>
      </c>
      <c r="BD1221" t="s">
        <v>90</v>
      </c>
    </row>
    <row r="1222" spans="1:56" x14ac:dyDescent="0.35">
      <c r="A1222">
        <v>109273</v>
      </c>
      <c r="B1222" t="s">
        <v>1050</v>
      </c>
      <c r="D1222" t="s">
        <v>85</v>
      </c>
      <c r="E1222">
        <v>100</v>
      </c>
      <c r="F1222" t="s">
        <v>58</v>
      </c>
      <c r="G1222" t="s">
        <v>59</v>
      </c>
      <c r="H1222" t="s">
        <v>60</v>
      </c>
      <c r="J1222" t="s">
        <v>86</v>
      </c>
      <c r="L1222" t="s">
        <v>62</v>
      </c>
      <c r="M1222" t="s">
        <v>63</v>
      </c>
      <c r="N1222" t="s">
        <v>64</v>
      </c>
      <c r="P1222" t="s">
        <v>65</v>
      </c>
      <c r="R1222">
        <v>1.9</v>
      </c>
      <c r="T1222">
        <v>1</v>
      </c>
      <c r="V1222">
        <v>3.9</v>
      </c>
      <c r="W1222" t="s">
        <v>546</v>
      </c>
      <c r="X1222" t="s">
        <v>67</v>
      </c>
      <c r="Y1222" t="s">
        <v>67</v>
      </c>
      <c r="Z1222" t="s">
        <v>68</v>
      </c>
      <c r="AB1222">
        <v>4</v>
      </c>
      <c r="AC1222" t="s">
        <v>61</v>
      </c>
      <c r="AJ1222" t="s">
        <v>69</v>
      </c>
      <c r="AY1222" t="s">
        <v>547</v>
      </c>
      <c r="AZ1222">
        <v>5968</v>
      </c>
      <c r="BA1222" t="s">
        <v>548</v>
      </c>
      <c r="BB1222" t="s">
        <v>549</v>
      </c>
      <c r="BC1222">
        <v>1975</v>
      </c>
      <c r="BD1222" t="s">
        <v>90</v>
      </c>
    </row>
    <row r="1223" spans="1:56" x14ac:dyDescent="0.35">
      <c r="A1223">
        <v>109273</v>
      </c>
      <c r="B1223" t="s">
        <v>1050</v>
      </c>
      <c r="D1223" t="s">
        <v>85</v>
      </c>
      <c r="E1223">
        <v>100</v>
      </c>
      <c r="F1223" t="s">
        <v>58</v>
      </c>
      <c r="G1223" t="s">
        <v>59</v>
      </c>
      <c r="H1223" t="s">
        <v>60</v>
      </c>
      <c r="J1223" t="s">
        <v>86</v>
      </c>
      <c r="L1223" t="s">
        <v>62</v>
      </c>
      <c r="M1223" t="s">
        <v>63</v>
      </c>
      <c r="N1223" t="s">
        <v>64</v>
      </c>
      <c r="P1223" t="s">
        <v>65</v>
      </c>
      <c r="S1223" t="s">
        <v>153</v>
      </c>
      <c r="T1223">
        <v>1</v>
      </c>
      <c r="U1223" t="s">
        <v>435</v>
      </c>
      <c r="V1223">
        <v>3.2</v>
      </c>
      <c r="W1223" t="s">
        <v>546</v>
      </c>
      <c r="X1223" t="s">
        <v>67</v>
      </c>
      <c r="Y1223" t="s">
        <v>67</v>
      </c>
      <c r="Z1223" t="s">
        <v>68</v>
      </c>
      <c r="AB1223">
        <v>4</v>
      </c>
      <c r="AC1223" t="s">
        <v>61</v>
      </c>
      <c r="AJ1223" t="s">
        <v>69</v>
      </c>
      <c r="AY1223" t="s">
        <v>547</v>
      </c>
      <c r="AZ1223">
        <v>5968</v>
      </c>
      <c r="BA1223" t="s">
        <v>548</v>
      </c>
      <c r="BB1223" t="s">
        <v>549</v>
      </c>
      <c r="BC1223">
        <v>1975</v>
      </c>
      <c r="BD1223" t="s">
        <v>90</v>
      </c>
    </row>
    <row r="1224" spans="1:56" x14ac:dyDescent="0.35">
      <c r="A1224">
        <v>109524</v>
      </c>
      <c r="B1224" t="s">
        <v>1051</v>
      </c>
      <c r="D1224" t="s">
        <v>85</v>
      </c>
      <c r="E1224" t="s">
        <v>86</v>
      </c>
      <c r="F1224" t="s">
        <v>58</v>
      </c>
      <c r="G1224" t="s">
        <v>59</v>
      </c>
      <c r="H1224" t="s">
        <v>60</v>
      </c>
      <c r="I1224" t="s">
        <v>129</v>
      </c>
      <c r="J1224" t="s">
        <v>86</v>
      </c>
      <c r="K1224" t="s">
        <v>196</v>
      </c>
      <c r="L1224" t="s">
        <v>62</v>
      </c>
      <c r="M1224" t="s">
        <v>63</v>
      </c>
      <c r="N1224" t="s">
        <v>64</v>
      </c>
      <c r="P1224" t="s">
        <v>100</v>
      </c>
      <c r="R1224">
        <v>77</v>
      </c>
      <c r="W1224" t="s">
        <v>66</v>
      </c>
      <c r="X1224" t="s">
        <v>67</v>
      </c>
      <c r="Y1224" t="s">
        <v>67</v>
      </c>
      <c r="Z1224" t="s">
        <v>68</v>
      </c>
      <c r="AB1224">
        <v>4</v>
      </c>
      <c r="AC1224" t="s">
        <v>61</v>
      </c>
      <c r="AJ1224" t="s">
        <v>69</v>
      </c>
      <c r="AY1224" t="s">
        <v>338</v>
      </c>
      <c r="AZ1224">
        <v>719</v>
      </c>
      <c r="BA1224" t="s">
        <v>339</v>
      </c>
      <c r="BB1224" t="s">
        <v>340</v>
      </c>
      <c r="BC1224">
        <v>1976</v>
      </c>
      <c r="BD1224" t="s">
        <v>341</v>
      </c>
    </row>
    <row r="1225" spans="1:56" x14ac:dyDescent="0.35">
      <c r="A1225">
        <v>109604</v>
      </c>
      <c r="B1225" t="s">
        <v>1052</v>
      </c>
      <c r="D1225" t="s">
        <v>57</v>
      </c>
      <c r="E1225" t="s">
        <v>79</v>
      </c>
      <c r="F1225" t="s">
        <v>58</v>
      </c>
      <c r="G1225" t="s">
        <v>59</v>
      </c>
      <c r="H1225" t="s">
        <v>60</v>
      </c>
      <c r="J1225">
        <v>30</v>
      </c>
      <c r="K1225" t="s">
        <v>61</v>
      </c>
      <c r="L1225" t="s">
        <v>74</v>
      </c>
      <c r="M1225" t="s">
        <v>63</v>
      </c>
      <c r="N1225" t="s">
        <v>64</v>
      </c>
      <c r="P1225" t="s">
        <v>65</v>
      </c>
      <c r="R1225">
        <v>60</v>
      </c>
      <c r="T1225">
        <v>56</v>
      </c>
      <c r="V1225">
        <v>64</v>
      </c>
      <c r="W1225" t="s">
        <v>66</v>
      </c>
      <c r="X1225" t="s">
        <v>67</v>
      </c>
      <c r="Y1225" t="s">
        <v>67</v>
      </c>
      <c r="Z1225" t="s">
        <v>68</v>
      </c>
      <c r="AB1225">
        <v>4</v>
      </c>
      <c r="AC1225" t="s">
        <v>61</v>
      </c>
      <c r="AJ1225" t="s">
        <v>69</v>
      </c>
      <c r="AY1225" t="s">
        <v>286</v>
      </c>
      <c r="AZ1225">
        <v>12448</v>
      </c>
      <c r="BA1225" t="s">
        <v>287</v>
      </c>
      <c r="BB1225" t="s">
        <v>288</v>
      </c>
      <c r="BC1225">
        <v>1984</v>
      </c>
      <c r="BD1225" t="s">
        <v>73</v>
      </c>
    </row>
    <row r="1226" spans="1:56" x14ac:dyDescent="0.35">
      <c r="A1226">
        <v>109648</v>
      </c>
      <c r="B1226" t="s">
        <v>1053</v>
      </c>
      <c r="D1226" t="s">
        <v>57</v>
      </c>
      <c r="E1226">
        <v>98</v>
      </c>
      <c r="F1226" t="s">
        <v>58</v>
      </c>
      <c r="G1226" t="s">
        <v>59</v>
      </c>
      <c r="H1226" t="s">
        <v>60</v>
      </c>
      <c r="J1226">
        <v>31</v>
      </c>
      <c r="K1226" t="s">
        <v>61</v>
      </c>
      <c r="L1226" t="s">
        <v>74</v>
      </c>
      <c r="M1226" t="s">
        <v>63</v>
      </c>
      <c r="N1226" t="s">
        <v>64</v>
      </c>
      <c r="P1226" t="s">
        <v>65</v>
      </c>
      <c r="R1226">
        <v>1.79</v>
      </c>
      <c r="T1226">
        <v>1.62</v>
      </c>
      <c r="V1226">
        <v>1.99</v>
      </c>
      <c r="W1226" t="s">
        <v>66</v>
      </c>
      <c r="X1226" t="s">
        <v>67</v>
      </c>
      <c r="Y1226" t="s">
        <v>67</v>
      </c>
      <c r="Z1226" t="s">
        <v>68</v>
      </c>
      <c r="AB1226">
        <v>4</v>
      </c>
      <c r="AC1226" t="s">
        <v>61</v>
      </c>
      <c r="AJ1226" t="s">
        <v>69</v>
      </c>
      <c r="AY1226" t="s">
        <v>263</v>
      </c>
      <c r="AZ1226">
        <v>12858</v>
      </c>
      <c r="BA1226" t="s">
        <v>264</v>
      </c>
      <c r="BB1226" t="s">
        <v>265</v>
      </c>
      <c r="BC1226">
        <v>1986</v>
      </c>
      <c r="BD1226" t="s">
        <v>73</v>
      </c>
    </row>
    <row r="1227" spans="1:56" x14ac:dyDescent="0.35">
      <c r="A1227">
        <v>109648</v>
      </c>
      <c r="B1227" t="s">
        <v>1053</v>
      </c>
      <c r="D1227" t="s">
        <v>57</v>
      </c>
      <c r="E1227">
        <v>98</v>
      </c>
      <c r="F1227" t="s">
        <v>58</v>
      </c>
      <c r="G1227" t="s">
        <v>59</v>
      </c>
      <c r="H1227" t="s">
        <v>60</v>
      </c>
      <c r="J1227">
        <v>31</v>
      </c>
      <c r="K1227" t="s">
        <v>61</v>
      </c>
      <c r="L1227" t="s">
        <v>74</v>
      </c>
      <c r="M1227" t="s">
        <v>63</v>
      </c>
      <c r="N1227" t="s">
        <v>64</v>
      </c>
      <c r="P1227" t="s">
        <v>65</v>
      </c>
      <c r="R1227">
        <v>2.44</v>
      </c>
      <c r="T1227">
        <v>2.1800000000000002</v>
      </c>
      <c r="V1227">
        <v>2.73</v>
      </c>
      <c r="W1227" t="s">
        <v>66</v>
      </c>
      <c r="X1227" t="s">
        <v>67</v>
      </c>
      <c r="Y1227" t="s">
        <v>67</v>
      </c>
      <c r="Z1227" t="s">
        <v>68</v>
      </c>
      <c r="AB1227">
        <v>4</v>
      </c>
      <c r="AC1227" t="s">
        <v>61</v>
      </c>
      <c r="AJ1227" t="s">
        <v>69</v>
      </c>
      <c r="AY1227" t="s">
        <v>286</v>
      </c>
      <c r="AZ1227">
        <v>12448</v>
      </c>
      <c r="BA1227" t="s">
        <v>287</v>
      </c>
      <c r="BB1227" t="s">
        <v>288</v>
      </c>
      <c r="BC1227">
        <v>1984</v>
      </c>
      <c r="BD1227" t="s">
        <v>73</v>
      </c>
    </row>
    <row r="1228" spans="1:56" x14ac:dyDescent="0.35">
      <c r="A1228">
        <v>109659</v>
      </c>
      <c r="B1228" t="s">
        <v>1054</v>
      </c>
      <c r="D1228" t="s">
        <v>57</v>
      </c>
      <c r="E1228">
        <v>99</v>
      </c>
      <c r="F1228" t="s">
        <v>58</v>
      </c>
      <c r="G1228" t="s">
        <v>59</v>
      </c>
      <c r="H1228" t="s">
        <v>60</v>
      </c>
      <c r="J1228" t="s">
        <v>86</v>
      </c>
      <c r="K1228" t="s">
        <v>61</v>
      </c>
      <c r="L1228" t="s">
        <v>74</v>
      </c>
      <c r="M1228" t="s">
        <v>63</v>
      </c>
      <c r="N1228" t="s">
        <v>64</v>
      </c>
      <c r="P1228" t="s">
        <v>65</v>
      </c>
      <c r="R1228">
        <v>36.700000000000003</v>
      </c>
      <c r="W1228" t="s">
        <v>66</v>
      </c>
      <c r="X1228" t="s">
        <v>67</v>
      </c>
      <c r="Y1228" t="s">
        <v>67</v>
      </c>
      <c r="Z1228" t="s">
        <v>68</v>
      </c>
      <c r="AB1228">
        <v>4</v>
      </c>
      <c r="AC1228" t="s">
        <v>61</v>
      </c>
      <c r="AJ1228" t="s">
        <v>69</v>
      </c>
      <c r="AY1228" t="s">
        <v>80</v>
      </c>
      <c r="AZ1228">
        <v>12859</v>
      </c>
      <c r="BA1228" t="s">
        <v>81</v>
      </c>
      <c r="BB1228" t="s">
        <v>82</v>
      </c>
      <c r="BC1228">
        <v>1988</v>
      </c>
      <c r="BD1228" t="s">
        <v>1055</v>
      </c>
    </row>
    <row r="1229" spans="1:56" x14ac:dyDescent="0.35">
      <c r="A1229">
        <v>109739</v>
      </c>
      <c r="B1229" t="s">
        <v>1056</v>
      </c>
      <c r="D1229" t="s">
        <v>57</v>
      </c>
      <c r="E1229" t="s">
        <v>128</v>
      </c>
      <c r="F1229" t="s">
        <v>58</v>
      </c>
      <c r="G1229" t="s">
        <v>59</v>
      </c>
      <c r="H1229" t="s">
        <v>60</v>
      </c>
      <c r="I1229" t="s">
        <v>129</v>
      </c>
      <c r="J1229" t="s">
        <v>86</v>
      </c>
      <c r="K1229" t="s">
        <v>61</v>
      </c>
      <c r="L1229" t="s">
        <v>74</v>
      </c>
      <c r="M1229" t="s">
        <v>63</v>
      </c>
      <c r="N1229" t="s">
        <v>64</v>
      </c>
      <c r="P1229" t="s">
        <v>65</v>
      </c>
      <c r="R1229">
        <v>268</v>
      </c>
      <c r="W1229" t="s">
        <v>66</v>
      </c>
      <c r="X1229" t="s">
        <v>67</v>
      </c>
      <c r="Y1229" t="s">
        <v>67</v>
      </c>
      <c r="Z1229" t="s">
        <v>68</v>
      </c>
      <c r="AB1229">
        <v>4</v>
      </c>
      <c r="AC1229" t="s">
        <v>61</v>
      </c>
      <c r="AJ1229" t="s">
        <v>69</v>
      </c>
      <c r="AY1229" t="s">
        <v>134</v>
      </c>
      <c r="AZ1229">
        <v>15031</v>
      </c>
      <c r="BA1229" t="s">
        <v>135</v>
      </c>
      <c r="BB1229" t="s">
        <v>136</v>
      </c>
      <c r="BC1229">
        <v>1995</v>
      </c>
      <c r="BD1229" t="s">
        <v>133</v>
      </c>
    </row>
    <row r="1230" spans="1:56" x14ac:dyDescent="0.35">
      <c r="A1230">
        <v>109739</v>
      </c>
      <c r="B1230" t="s">
        <v>1056</v>
      </c>
      <c r="D1230" t="s">
        <v>57</v>
      </c>
      <c r="E1230">
        <v>99</v>
      </c>
      <c r="F1230" t="s">
        <v>58</v>
      </c>
      <c r="G1230" t="s">
        <v>59</v>
      </c>
      <c r="H1230" t="s">
        <v>60</v>
      </c>
      <c r="J1230">
        <v>30</v>
      </c>
      <c r="K1230" t="s">
        <v>61</v>
      </c>
      <c r="L1230" t="s">
        <v>74</v>
      </c>
      <c r="M1230" t="s">
        <v>63</v>
      </c>
      <c r="N1230" t="s">
        <v>64</v>
      </c>
      <c r="P1230" t="s">
        <v>65</v>
      </c>
      <c r="R1230">
        <v>268</v>
      </c>
      <c r="W1230" t="s">
        <v>66</v>
      </c>
      <c r="X1230" t="s">
        <v>67</v>
      </c>
      <c r="Y1230" t="s">
        <v>67</v>
      </c>
      <c r="Z1230" t="s">
        <v>68</v>
      </c>
      <c r="AB1230">
        <v>4</v>
      </c>
      <c r="AC1230" t="s">
        <v>61</v>
      </c>
      <c r="AJ1230" t="s">
        <v>69</v>
      </c>
      <c r="AY1230" t="s">
        <v>263</v>
      </c>
      <c r="AZ1230">
        <v>12858</v>
      </c>
      <c r="BA1230" t="s">
        <v>264</v>
      </c>
      <c r="BB1230" t="s">
        <v>265</v>
      </c>
      <c r="BC1230">
        <v>1986</v>
      </c>
      <c r="BD1230" t="s">
        <v>73</v>
      </c>
    </row>
    <row r="1231" spans="1:56" x14ac:dyDescent="0.35">
      <c r="A1231">
        <v>109751</v>
      </c>
      <c r="B1231" t="s">
        <v>1057</v>
      </c>
      <c r="E1231" t="s">
        <v>86</v>
      </c>
      <c r="F1231" t="s">
        <v>58</v>
      </c>
      <c r="G1231" t="s">
        <v>59</v>
      </c>
      <c r="H1231" t="s">
        <v>60</v>
      </c>
      <c r="I1231" t="s">
        <v>129</v>
      </c>
      <c r="J1231" t="s">
        <v>86</v>
      </c>
      <c r="K1231" t="s">
        <v>61</v>
      </c>
      <c r="L1231" t="s">
        <v>74</v>
      </c>
      <c r="M1231" t="s">
        <v>63</v>
      </c>
      <c r="N1231" t="s">
        <v>64</v>
      </c>
      <c r="P1231" t="s">
        <v>100</v>
      </c>
      <c r="R1231">
        <v>182</v>
      </c>
      <c r="T1231">
        <v>171</v>
      </c>
      <c r="V1231">
        <v>195</v>
      </c>
      <c r="W1231" t="s">
        <v>66</v>
      </c>
      <c r="X1231" t="s">
        <v>67</v>
      </c>
      <c r="Y1231" t="s">
        <v>67</v>
      </c>
      <c r="Z1231" t="s">
        <v>68</v>
      </c>
      <c r="AB1231">
        <v>4</v>
      </c>
      <c r="AC1231" t="s">
        <v>61</v>
      </c>
      <c r="AJ1231" t="s">
        <v>69</v>
      </c>
      <c r="AY1231" t="s">
        <v>422</v>
      </c>
      <c r="AZ1231">
        <v>14128</v>
      </c>
      <c r="BA1231" t="s">
        <v>423</v>
      </c>
      <c r="BB1231" t="s">
        <v>424</v>
      </c>
      <c r="BC1231">
        <v>1985</v>
      </c>
      <c r="BD1231" t="s">
        <v>833</v>
      </c>
    </row>
    <row r="1232" spans="1:56" x14ac:dyDescent="0.35">
      <c r="A1232">
        <v>109751</v>
      </c>
      <c r="B1232" t="s">
        <v>1057</v>
      </c>
      <c r="D1232" t="s">
        <v>57</v>
      </c>
      <c r="E1232">
        <v>98.6</v>
      </c>
      <c r="F1232" t="s">
        <v>58</v>
      </c>
      <c r="G1232" t="s">
        <v>59</v>
      </c>
      <c r="H1232" t="s">
        <v>60</v>
      </c>
      <c r="J1232">
        <v>33</v>
      </c>
      <c r="K1232" t="s">
        <v>61</v>
      </c>
      <c r="L1232" t="s">
        <v>74</v>
      </c>
      <c r="M1232" t="s">
        <v>63</v>
      </c>
      <c r="N1232" t="s">
        <v>64</v>
      </c>
      <c r="P1232" t="s">
        <v>65</v>
      </c>
      <c r="R1232">
        <v>182</v>
      </c>
      <c r="T1232">
        <v>171</v>
      </c>
      <c r="V1232">
        <v>195</v>
      </c>
      <c r="W1232" t="s">
        <v>66</v>
      </c>
      <c r="X1232" t="s">
        <v>67</v>
      </c>
      <c r="Y1232" t="s">
        <v>67</v>
      </c>
      <c r="Z1232" t="s">
        <v>68</v>
      </c>
      <c r="AB1232">
        <v>4</v>
      </c>
      <c r="AC1232" t="s">
        <v>61</v>
      </c>
      <c r="AJ1232" t="s">
        <v>69</v>
      </c>
      <c r="AY1232" t="s">
        <v>286</v>
      </c>
      <c r="AZ1232">
        <v>12448</v>
      </c>
      <c r="BA1232" t="s">
        <v>287</v>
      </c>
      <c r="BB1232" t="s">
        <v>288</v>
      </c>
      <c r="BC1232">
        <v>1984</v>
      </c>
      <c r="BD1232" t="s">
        <v>73</v>
      </c>
    </row>
    <row r="1233" spans="1:56" x14ac:dyDescent="0.35">
      <c r="A1233">
        <v>109762</v>
      </c>
      <c r="B1233" t="s">
        <v>1058</v>
      </c>
      <c r="D1233" t="s">
        <v>57</v>
      </c>
      <c r="E1233">
        <v>99</v>
      </c>
      <c r="F1233" t="s">
        <v>58</v>
      </c>
      <c r="G1233" t="s">
        <v>59</v>
      </c>
      <c r="H1233" t="s">
        <v>60</v>
      </c>
      <c r="J1233">
        <v>32</v>
      </c>
      <c r="K1233" t="s">
        <v>61</v>
      </c>
      <c r="L1233" t="s">
        <v>74</v>
      </c>
      <c r="M1233" t="s">
        <v>63</v>
      </c>
      <c r="N1233" t="s">
        <v>64</v>
      </c>
      <c r="P1233" t="s">
        <v>65</v>
      </c>
      <c r="R1233">
        <v>1190</v>
      </c>
      <c r="T1233">
        <v>1060</v>
      </c>
      <c r="V1233">
        <v>1330</v>
      </c>
      <c r="W1233" t="s">
        <v>66</v>
      </c>
      <c r="X1233" t="s">
        <v>67</v>
      </c>
      <c r="Y1233" t="s">
        <v>67</v>
      </c>
      <c r="Z1233" t="s">
        <v>68</v>
      </c>
      <c r="AB1233">
        <v>4</v>
      </c>
      <c r="AC1233" t="s">
        <v>61</v>
      </c>
      <c r="AJ1233" t="s">
        <v>69</v>
      </c>
      <c r="AY1233" t="s">
        <v>286</v>
      </c>
      <c r="AZ1233">
        <v>12448</v>
      </c>
      <c r="BA1233" t="s">
        <v>287</v>
      </c>
      <c r="BB1233" t="s">
        <v>288</v>
      </c>
      <c r="BC1233">
        <v>1984</v>
      </c>
      <c r="BD1233" t="s">
        <v>73</v>
      </c>
    </row>
    <row r="1234" spans="1:56" x14ac:dyDescent="0.35">
      <c r="A1234">
        <v>109773</v>
      </c>
      <c r="B1234" t="s">
        <v>1059</v>
      </c>
      <c r="D1234" t="s">
        <v>85</v>
      </c>
      <c r="E1234">
        <v>99</v>
      </c>
      <c r="F1234" t="s">
        <v>58</v>
      </c>
      <c r="G1234" t="s">
        <v>59</v>
      </c>
      <c r="H1234" t="s">
        <v>60</v>
      </c>
      <c r="J1234">
        <v>30</v>
      </c>
      <c r="K1234" t="s">
        <v>61</v>
      </c>
      <c r="L1234" t="s">
        <v>74</v>
      </c>
      <c r="M1234" t="s">
        <v>63</v>
      </c>
      <c r="N1234" t="s">
        <v>64</v>
      </c>
      <c r="P1234" t="s">
        <v>65</v>
      </c>
      <c r="R1234">
        <v>0.56000000000000005</v>
      </c>
      <c r="T1234">
        <v>0.51</v>
      </c>
      <c r="V1234">
        <v>0.61</v>
      </c>
      <c r="W1234" t="s">
        <v>66</v>
      </c>
      <c r="X1234" t="s">
        <v>67</v>
      </c>
      <c r="Y1234" t="s">
        <v>67</v>
      </c>
      <c r="Z1234" t="s">
        <v>68</v>
      </c>
      <c r="AB1234">
        <v>4</v>
      </c>
      <c r="AC1234" t="s">
        <v>61</v>
      </c>
      <c r="AJ1234" t="s">
        <v>69</v>
      </c>
      <c r="AY1234" t="s">
        <v>286</v>
      </c>
      <c r="AZ1234">
        <v>12448</v>
      </c>
      <c r="BA1234" t="s">
        <v>287</v>
      </c>
      <c r="BB1234" t="s">
        <v>288</v>
      </c>
      <c r="BC1234">
        <v>1984</v>
      </c>
      <c r="BD1234" t="s">
        <v>73</v>
      </c>
    </row>
    <row r="1235" spans="1:56" x14ac:dyDescent="0.35">
      <c r="A1235">
        <v>109853</v>
      </c>
      <c r="B1235" t="s">
        <v>1060</v>
      </c>
      <c r="D1235" t="s">
        <v>57</v>
      </c>
      <c r="E1235">
        <v>98</v>
      </c>
      <c r="F1235" t="s">
        <v>58</v>
      </c>
      <c r="G1235" t="s">
        <v>59</v>
      </c>
      <c r="H1235" t="s">
        <v>60</v>
      </c>
      <c r="J1235">
        <v>28</v>
      </c>
      <c r="K1235" t="s">
        <v>61</v>
      </c>
      <c r="L1235" t="s">
        <v>74</v>
      </c>
      <c r="M1235" t="s">
        <v>63</v>
      </c>
      <c r="N1235" t="s">
        <v>64</v>
      </c>
      <c r="P1235" t="s">
        <v>65</v>
      </c>
      <c r="R1235">
        <v>524</v>
      </c>
      <c r="W1235" t="s">
        <v>66</v>
      </c>
      <c r="X1235" t="s">
        <v>67</v>
      </c>
      <c r="Y1235" t="s">
        <v>67</v>
      </c>
      <c r="Z1235" t="s">
        <v>68</v>
      </c>
      <c r="AB1235">
        <v>4</v>
      </c>
      <c r="AC1235" t="s">
        <v>61</v>
      </c>
      <c r="AJ1235" t="s">
        <v>69</v>
      </c>
      <c r="AY1235" t="s">
        <v>286</v>
      </c>
      <c r="AZ1235">
        <v>12448</v>
      </c>
      <c r="BA1235" t="s">
        <v>287</v>
      </c>
      <c r="BB1235" t="s">
        <v>288</v>
      </c>
      <c r="BC1235">
        <v>1984</v>
      </c>
      <c r="BD1235" t="s">
        <v>73</v>
      </c>
    </row>
    <row r="1236" spans="1:56" x14ac:dyDescent="0.35">
      <c r="A1236">
        <v>109853</v>
      </c>
      <c r="B1236" t="s">
        <v>1060</v>
      </c>
      <c r="D1236" t="s">
        <v>57</v>
      </c>
      <c r="E1236" t="s">
        <v>128</v>
      </c>
      <c r="F1236" t="s">
        <v>58</v>
      </c>
      <c r="G1236" t="s">
        <v>59</v>
      </c>
      <c r="H1236" t="s">
        <v>60</v>
      </c>
      <c r="I1236" t="s">
        <v>129</v>
      </c>
      <c r="J1236" t="s">
        <v>86</v>
      </c>
      <c r="K1236" t="s">
        <v>61</v>
      </c>
      <c r="L1236" t="s">
        <v>74</v>
      </c>
      <c r="M1236" t="s">
        <v>63</v>
      </c>
      <c r="N1236" t="s">
        <v>64</v>
      </c>
      <c r="P1236" t="s">
        <v>65</v>
      </c>
      <c r="R1236">
        <v>524</v>
      </c>
      <c r="W1236" t="s">
        <v>66</v>
      </c>
      <c r="X1236" t="s">
        <v>67</v>
      </c>
      <c r="Y1236" t="s">
        <v>67</v>
      </c>
      <c r="Z1236" t="s">
        <v>68</v>
      </c>
      <c r="AB1236">
        <v>4</v>
      </c>
      <c r="AC1236" t="s">
        <v>61</v>
      </c>
      <c r="AJ1236" t="s">
        <v>69</v>
      </c>
      <c r="AY1236" t="s">
        <v>134</v>
      </c>
      <c r="AZ1236">
        <v>15031</v>
      </c>
      <c r="BA1236" t="s">
        <v>135</v>
      </c>
      <c r="BB1236" t="s">
        <v>136</v>
      </c>
      <c r="BC1236">
        <v>1995</v>
      </c>
      <c r="BD1236" t="s">
        <v>133</v>
      </c>
    </row>
    <row r="1237" spans="1:56" x14ac:dyDescent="0.35">
      <c r="A1237">
        <v>109875</v>
      </c>
      <c r="B1237" t="s">
        <v>1061</v>
      </c>
      <c r="D1237" t="s">
        <v>57</v>
      </c>
      <c r="E1237">
        <v>99</v>
      </c>
      <c r="F1237" t="s">
        <v>58</v>
      </c>
      <c r="G1237" t="s">
        <v>59</v>
      </c>
      <c r="H1237" t="s">
        <v>60</v>
      </c>
      <c r="J1237" t="s">
        <v>86</v>
      </c>
      <c r="K1237" t="s">
        <v>61</v>
      </c>
      <c r="L1237" t="s">
        <v>74</v>
      </c>
      <c r="M1237" t="s">
        <v>63</v>
      </c>
      <c r="N1237" t="s">
        <v>64</v>
      </c>
      <c r="P1237" t="s">
        <v>65</v>
      </c>
      <c r="R1237">
        <v>6990</v>
      </c>
      <c r="T1237">
        <v>6260</v>
      </c>
      <c r="V1237">
        <v>7800</v>
      </c>
      <c r="W1237" t="s">
        <v>66</v>
      </c>
      <c r="X1237" t="s">
        <v>67</v>
      </c>
      <c r="Y1237" t="s">
        <v>67</v>
      </c>
      <c r="Z1237" t="s">
        <v>68</v>
      </c>
      <c r="AB1237">
        <v>4</v>
      </c>
      <c r="AC1237" t="s">
        <v>61</v>
      </c>
      <c r="AJ1237" t="s">
        <v>69</v>
      </c>
      <c r="AY1237" t="s">
        <v>75</v>
      </c>
      <c r="AZ1237">
        <v>3217</v>
      </c>
      <c r="BA1237" t="s">
        <v>76</v>
      </c>
      <c r="BB1237" t="s">
        <v>77</v>
      </c>
      <c r="BC1237">
        <v>1990</v>
      </c>
      <c r="BD1237" t="s">
        <v>760</v>
      </c>
    </row>
    <row r="1238" spans="1:56" x14ac:dyDescent="0.35">
      <c r="A1238">
        <v>109897</v>
      </c>
      <c r="B1238" t="s">
        <v>1062</v>
      </c>
      <c r="D1238" t="s">
        <v>57</v>
      </c>
      <c r="E1238">
        <v>98</v>
      </c>
      <c r="F1238" t="s">
        <v>58</v>
      </c>
      <c r="G1238" t="s">
        <v>59</v>
      </c>
      <c r="H1238" t="s">
        <v>60</v>
      </c>
      <c r="J1238">
        <v>30</v>
      </c>
      <c r="K1238" t="s">
        <v>61</v>
      </c>
      <c r="L1238" t="s">
        <v>74</v>
      </c>
      <c r="M1238" t="s">
        <v>63</v>
      </c>
      <c r="N1238" t="s">
        <v>64</v>
      </c>
      <c r="P1238" t="s">
        <v>65</v>
      </c>
      <c r="R1238">
        <v>855</v>
      </c>
      <c r="W1238" t="s">
        <v>66</v>
      </c>
      <c r="X1238" t="s">
        <v>67</v>
      </c>
      <c r="Y1238" t="s">
        <v>67</v>
      </c>
      <c r="Z1238" t="s">
        <v>68</v>
      </c>
      <c r="AB1238">
        <v>4</v>
      </c>
      <c r="AC1238" t="s">
        <v>61</v>
      </c>
      <c r="AJ1238" t="s">
        <v>69</v>
      </c>
      <c r="AY1238" t="s">
        <v>286</v>
      </c>
      <c r="AZ1238">
        <v>12448</v>
      </c>
      <c r="BA1238" t="s">
        <v>287</v>
      </c>
      <c r="BB1238" t="s">
        <v>288</v>
      </c>
      <c r="BC1238">
        <v>1984</v>
      </c>
      <c r="BD1238" t="s">
        <v>73</v>
      </c>
    </row>
    <row r="1239" spans="1:56" x14ac:dyDescent="0.35">
      <c r="A1239">
        <v>109977</v>
      </c>
      <c r="B1239" t="s">
        <v>1063</v>
      </c>
      <c r="D1239" t="s">
        <v>57</v>
      </c>
      <c r="E1239">
        <v>98</v>
      </c>
      <c r="F1239" t="s">
        <v>58</v>
      </c>
      <c r="G1239" t="s">
        <v>59</v>
      </c>
      <c r="H1239" t="s">
        <v>60</v>
      </c>
      <c r="J1239">
        <v>32</v>
      </c>
      <c r="K1239" t="s">
        <v>61</v>
      </c>
      <c r="L1239" t="s">
        <v>74</v>
      </c>
      <c r="M1239" t="s">
        <v>63</v>
      </c>
      <c r="N1239" t="s">
        <v>64</v>
      </c>
      <c r="P1239" t="s">
        <v>65</v>
      </c>
      <c r="R1239">
        <v>210</v>
      </c>
      <c r="T1239">
        <v>197</v>
      </c>
      <c r="V1239">
        <v>224</v>
      </c>
      <c r="W1239" t="s">
        <v>66</v>
      </c>
      <c r="X1239" t="s">
        <v>67</v>
      </c>
      <c r="Y1239" t="s">
        <v>67</v>
      </c>
      <c r="Z1239" t="s">
        <v>68</v>
      </c>
      <c r="AB1239">
        <v>4</v>
      </c>
      <c r="AC1239" t="s">
        <v>61</v>
      </c>
      <c r="AJ1239" t="s">
        <v>69</v>
      </c>
      <c r="AY1239" t="s">
        <v>286</v>
      </c>
      <c r="AZ1239">
        <v>12448</v>
      </c>
      <c r="BA1239" t="s">
        <v>287</v>
      </c>
      <c r="BB1239" t="s">
        <v>288</v>
      </c>
      <c r="BC1239">
        <v>1984</v>
      </c>
      <c r="BD1239" t="s">
        <v>73</v>
      </c>
    </row>
    <row r="1240" spans="1:56" x14ac:dyDescent="0.35">
      <c r="A1240">
        <v>109999</v>
      </c>
      <c r="B1240" t="s">
        <v>1064</v>
      </c>
      <c r="D1240" t="s">
        <v>57</v>
      </c>
      <c r="E1240" t="s">
        <v>79</v>
      </c>
      <c r="F1240" t="s">
        <v>58</v>
      </c>
      <c r="G1240" t="s">
        <v>59</v>
      </c>
      <c r="H1240" t="s">
        <v>60</v>
      </c>
      <c r="J1240">
        <v>34</v>
      </c>
      <c r="K1240" t="s">
        <v>61</v>
      </c>
      <c r="L1240" t="s">
        <v>74</v>
      </c>
      <c r="M1240" t="s">
        <v>63</v>
      </c>
      <c r="N1240" t="s">
        <v>64</v>
      </c>
      <c r="P1240" t="s">
        <v>65</v>
      </c>
      <c r="R1240">
        <v>2160</v>
      </c>
      <c r="T1240">
        <v>1970</v>
      </c>
      <c r="V1240">
        <v>2360</v>
      </c>
      <c r="W1240" t="s">
        <v>66</v>
      </c>
      <c r="X1240" t="s">
        <v>67</v>
      </c>
      <c r="Y1240" t="s">
        <v>67</v>
      </c>
      <c r="Z1240" t="s">
        <v>68</v>
      </c>
      <c r="AB1240">
        <v>4</v>
      </c>
      <c r="AC1240" t="s">
        <v>61</v>
      </c>
      <c r="AJ1240" t="s">
        <v>69</v>
      </c>
      <c r="AY1240" t="s">
        <v>286</v>
      </c>
      <c r="AZ1240">
        <v>12448</v>
      </c>
      <c r="BA1240" t="s">
        <v>287</v>
      </c>
      <c r="BB1240" t="s">
        <v>288</v>
      </c>
      <c r="BC1240">
        <v>1984</v>
      </c>
      <c r="BD1240" t="s">
        <v>73</v>
      </c>
    </row>
    <row r="1241" spans="1:56" x14ac:dyDescent="0.35">
      <c r="A1241">
        <v>110009</v>
      </c>
      <c r="B1241" t="s">
        <v>1065</v>
      </c>
      <c r="D1241" t="s">
        <v>57</v>
      </c>
      <c r="E1241" t="s">
        <v>79</v>
      </c>
      <c r="F1241" t="s">
        <v>58</v>
      </c>
      <c r="G1241" t="s">
        <v>59</v>
      </c>
      <c r="H1241" t="s">
        <v>60</v>
      </c>
      <c r="J1241" t="s">
        <v>86</v>
      </c>
      <c r="K1241" t="s">
        <v>61</v>
      </c>
      <c r="L1241" t="s">
        <v>74</v>
      </c>
      <c r="M1241" t="s">
        <v>63</v>
      </c>
      <c r="N1241" t="s">
        <v>64</v>
      </c>
      <c r="P1241" t="s">
        <v>65</v>
      </c>
      <c r="R1241">
        <v>61</v>
      </c>
      <c r="T1241">
        <v>57</v>
      </c>
      <c r="V1241">
        <v>66</v>
      </c>
      <c r="W1241" t="s">
        <v>66</v>
      </c>
      <c r="X1241" t="s">
        <v>67</v>
      </c>
      <c r="Y1241" t="s">
        <v>67</v>
      </c>
      <c r="Z1241" t="s">
        <v>68</v>
      </c>
      <c r="AB1241">
        <v>4</v>
      </c>
      <c r="AC1241" t="s">
        <v>61</v>
      </c>
      <c r="AJ1241" t="s">
        <v>69</v>
      </c>
      <c r="AY1241" t="s">
        <v>286</v>
      </c>
      <c r="AZ1241">
        <v>12448</v>
      </c>
      <c r="BA1241" t="s">
        <v>287</v>
      </c>
      <c r="BB1241" t="s">
        <v>288</v>
      </c>
      <c r="BC1241">
        <v>1984</v>
      </c>
      <c r="BD1241" t="s">
        <v>760</v>
      </c>
    </row>
    <row r="1242" spans="1:56" x14ac:dyDescent="0.35">
      <c r="A1242">
        <v>110065</v>
      </c>
      <c r="B1242" t="s">
        <v>1066</v>
      </c>
      <c r="D1242" t="s">
        <v>57</v>
      </c>
      <c r="E1242">
        <v>97</v>
      </c>
      <c r="F1242" t="s">
        <v>58</v>
      </c>
      <c r="G1242" t="s">
        <v>59</v>
      </c>
      <c r="H1242" t="s">
        <v>60</v>
      </c>
      <c r="J1242">
        <v>32</v>
      </c>
      <c r="K1242" t="s">
        <v>61</v>
      </c>
      <c r="L1242" t="s">
        <v>74</v>
      </c>
      <c r="M1242" t="s">
        <v>63</v>
      </c>
      <c r="N1242" t="s">
        <v>64</v>
      </c>
      <c r="O1242">
        <v>6</v>
      </c>
      <c r="P1242" t="s">
        <v>65</v>
      </c>
      <c r="R1242">
        <v>1.37</v>
      </c>
      <c r="T1242">
        <v>1.29</v>
      </c>
      <c r="V1242">
        <v>1.46</v>
      </c>
      <c r="W1242" t="s">
        <v>66</v>
      </c>
      <c r="X1242" t="s">
        <v>67</v>
      </c>
      <c r="Y1242" t="s">
        <v>67</v>
      </c>
      <c r="Z1242" t="s">
        <v>68</v>
      </c>
      <c r="AB1242">
        <v>4</v>
      </c>
      <c r="AC1242" t="s">
        <v>61</v>
      </c>
      <c r="AJ1242" t="s">
        <v>69</v>
      </c>
      <c r="AY1242" t="s">
        <v>141</v>
      </c>
      <c r="AZ1242">
        <v>12447</v>
      </c>
      <c r="BA1242" t="s">
        <v>142</v>
      </c>
      <c r="BB1242" t="s">
        <v>143</v>
      </c>
      <c r="BC1242">
        <v>1985</v>
      </c>
      <c r="BD1242" t="s">
        <v>73</v>
      </c>
    </row>
    <row r="1243" spans="1:56" x14ac:dyDescent="0.35">
      <c r="A1243">
        <v>110123</v>
      </c>
      <c r="B1243" t="s">
        <v>1067</v>
      </c>
      <c r="D1243" t="s">
        <v>57</v>
      </c>
      <c r="E1243" t="s">
        <v>810</v>
      </c>
      <c r="F1243" t="s">
        <v>58</v>
      </c>
      <c r="G1243" t="s">
        <v>59</v>
      </c>
      <c r="H1243" t="s">
        <v>60</v>
      </c>
      <c r="J1243">
        <v>30</v>
      </c>
      <c r="K1243" t="s">
        <v>61</v>
      </c>
      <c r="L1243" t="s">
        <v>74</v>
      </c>
      <c r="M1243" t="s">
        <v>63</v>
      </c>
      <c r="N1243" t="s">
        <v>64</v>
      </c>
      <c r="P1243" t="s">
        <v>65</v>
      </c>
      <c r="R1243">
        <v>159</v>
      </c>
      <c r="W1243" t="s">
        <v>66</v>
      </c>
      <c r="X1243" t="s">
        <v>67</v>
      </c>
      <c r="Y1243" t="s">
        <v>67</v>
      </c>
      <c r="Z1243" t="s">
        <v>68</v>
      </c>
      <c r="AB1243">
        <v>4</v>
      </c>
      <c r="AC1243" t="s">
        <v>61</v>
      </c>
      <c r="AJ1243" t="s">
        <v>69</v>
      </c>
      <c r="AY1243" t="s">
        <v>286</v>
      </c>
      <c r="AZ1243">
        <v>12448</v>
      </c>
      <c r="BA1243" t="s">
        <v>287</v>
      </c>
      <c r="BB1243" t="s">
        <v>288</v>
      </c>
      <c r="BC1243">
        <v>1984</v>
      </c>
      <c r="BD1243" t="s">
        <v>73</v>
      </c>
    </row>
    <row r="1244" spans="1:56" x14ac:dyDescent="0.35">
      <c r="A1244">
        <v>110167</v>
      </c>
      <c r="B1244" t="s">
        <v>1068</v>
      </c>
      <c r="D1244" t="s">
        <v>85</v>
      </c>
      <c r="E1244" t="s">
        <v>86</v>
      </c>
      <c r="F1244" t="s">
        <v>58</v>
      </c>
      <c r="G1244" t="s">
        <v>59</v>
      </c>
      <c r="H1244" t="s">
        <v>60</v>
      </c>
      <c r="J1244" t="s">
        <v>86</v>
      </c>
      <c r="L1244" t="s">
        <v>62</v>
      </c>
      <c r="M1244" t="s">
        <v>63</v>
      </c>
      <c r="N1244" t="s">
        <v>64</v>
      </c>
      <c r="P1244" t="s">
        <v>100</v>
      </c>
      <c r="R1244">
        <v>5</v>
      </c>
      <c r="W1244" t="s">
        <v>66</v>
      </c>
      <c r="X1244" t="s">
        <v>67</v>
      </c>
      <c r="Y1244" t="s">
        <v>67</v>
      </c>
      <c r="Z1244" t="s">
        <v>68</v>
      </c>
      <c r="AB1244">
        <v>4</v>
      </c>
      <c r="AC1244" t="s">
        <v>61</v>
      </c>
      <c r="AJ1244" t="s">
        <v>69</v>
      </c>
      <c r="AY1244" t="s">
        <v>412</v>
      </c>
      <c r="AZ1244">
        <v>901</v>
      </c>
      <c r="BA1244" t="s">
        <v>413</v>
      </c>
      <c r="BB1244" t="s">
        <v>414</v>
      </c>
      <c r="BC1244">
        <v>1969</v>
      </c>
      <c r="BD1244" t="s">
        <v>90</v>
      </c>
    </row>
    <row r="1245" spans="1:56" x14ac:dyDescent="0.35">
      <c r="A1245">
        <v>110407</v>
      </c>
      <c r="B1245" t="s">
        <v>1069</v>
      </c>
      <c r="D1245" t="s">
        <v>57</v>
      </c>
      <c r="E1245" t="s">
        <v>86</v>
      </c>
      <c r="F1245" t="s">
        <v>58</v>
      </c>
      <c r="G1245" t="s">
        <v>59</v>
      </c>
      <c r="H1245" t="s">
        <v>60</v>
      </c>
      <c r="J1245">
        <v>34</v>
      </c>
      <c r="K1245" t="s">
        <v>61</v>
      </c>
      <c r="L1245" t="s">
        <v>74</v>
      </c>
      <c r="M1245" t="s">
        <v>63</v>
      </c>
      <c r="N1245" t="s">
        <v>64</v>
      </c>
      <c r="P1245" t="s">
        <v>65</v>
      </c>
      <c r="R1245">
        <v>2.73</v>
      </c>
      <c r="T1245">
        <v>2.63</v>
      </c>
      <c r="V1245">
        <v>2.82</v>
      </c>
      <c r="W1245" t="s">
        <v>66</v>
      </c>
      <c r="X1245" t="s">
        <v>67</v>
      </c>
      <c r="Y1245" t="s">
        <v>67</v>
      </c>
      <c r="Z1245" t="s">
        <v>68</v>
      </c>
      <c r="AB1245">
        <v>4</v>
      </c>
      <c r="AC1245" t="s">
        <v>61</v>
      </c>
      <c r="AJ1245" t="s">
        <v>69</v>
      </c>
      <c r="AY1245" t="s">
        <v>141</v>
      </c>
      <c r="AZ1245">
        <v>12447</v>
      </c>
      <c r="BA1245" t="s">
        <v>142</v>
      </c>
      <c r="BB1245" t="s">
        <v>143</v>
      </c>
      <c r="BC1245">
        <v>1985</v>
      </c>
      <c r="BD1245" t="s">
        <v>73</v>
      </c>
    </row>
    <row r="1246" spans="1:56" x14ac:dyDescent="0.35">
      <c r="A1246">
        <v>110407</v>
      </c>
      <c r="B1246" t="s">
        <v>1069</v>
      </c>
      <c r="D1246" t="s">
        <v>57</v>
      </c>
      <c r="E1246" t="s">
        <v>128</v>
      </c>
      <c r="F1246" t="s">
        <v>58</v>
      </c>
      <c r="G1246" t="s">
        <v>59</v>
      </c>
      <c r="H1246" t="s">
        <v>60</v>
      </c>
      <c r="I1246" t="s">
        <v>129</v>
      </c>
      <c r="J1246" t="s">
        <v>86</v>
      </c>
      <c r="K1246" t="s">
        <v>61</v>
      </c>
      <c r="L1246" t="s">
        <v>74</v>
      </c>
      <c r="M1246" t="s">
        <v>63</v>
      </c>
      <c r="N1246" t="s">
        <v>64</v>
      </c>
      <c r="P1246" t="s">
        <v>65</v>
      </c>
      <c r="R1246">
        <v>2.9</v>
      </c>
      <c r="W1246" t="s">
        <v>66</v>
      </c>
      <c r="X1246" t="s">
        <v>67</v>
      </c>
      <c r="Y1246" t="s">
        <v>67</v>
      </c>
      <c r="Z1246" t="s">
        <v>68</v>
      </c>
      <c r="AB1246">
        <v>4</v>
      </c>
      <c r="AC1246" t="s">
        <v>61</v>
      </c>
      <c r="AJ1246" t="s">
        <v>69</v>
      </c>
      <c r="AY1246" t="s">
        <v>134</v>
      </c>
      <c r="AZ1246">
        <v>15031</v>
      </c>
      <c r="BA1246" t="s">
        <v>135</v>
      </c>
      <c r="BB1246" t="s">
        <v>136</v>
      </c>
      <c r="BC1246">
        <v>1995</v>
      </c>
      <c r="BD1246" t="s">
        <v>133</v>
      </c>
    </row>
    <row r="1247" spans="1:56" x14ac:dyDescent="0.35">
      <c r="A1247">
        <v>110407</v>
      </c>
      <c r="B1247" t="s">
        <v>1069</v>
      </c>
      <c r="D1247" t="s">
        <v>57</v>
      </c>
      <c r="E1247" t="s">
        <v>86</v>
      </c>
      <c r="F1247" t="s">
        <v>58</v>
      </c>
      <c r="G1247" t="s">
        <v>59</v>
      </c>
      <c r="H1247" t="s">
        <v>60</v>
      </c>
      <c r="J1247">
        <v>32</v>
      </c>
      <c r="K1247" t="s">
        <v>61</v>
      </c>
      <c r="L1247" t="s">
        <v>74</v>
      </c>
      <c r="M1247" t="s">
        <v>63</v>
      </c>
      <c r="N1247" t="s">
        <v>64</v>
      </c>
      <c r="P1247" t="s">
        <v>65</v>
      </c>
      <c r="R1247">
        <v>2.7</v>
      </c>
      <c r="T1247">
        <v>2.4900000000000002</v>
      </c>
      <c r="V1247">
        <v>2.92</v>
      </c>
      <c r="W1247" t="s">
        <v>66</v>
      </c>
      <c r="X1247" t="s">
        <v>67</v>
      </c>
      <c r="Y1247" t="s">
        <v>67</v>
      </c>
      <c r="Z1247" t="s">
        <v>68</v>
      </c>
      <c r="AB1247">
        <v>4</v>
      </c>
      <c r="AC1247" t="s">
        <v>61</v>
      </c>
      <c r="AJ1247" t="s">
        <v>69</v>
      </c>
      <c r="AY1247" t="s">
        <v>286</v>
      </c>
      <c r="AZ1247">
        <v>12448</v>
      </c>
      <c r="BA1247" t="s">
        <v>287</v>
      </c>
      <c r="BB1247" t="s">
        <v>288</v>
      </c>
      <c r="BC1247">
        <v>1984</v>
      </c>
      <c r="BD1247" t="s">
        <v>73</v>
      </c>
    </row>
    <row r="1248" spans="1:56" x14ac:dyDescent="0.35">
      <c r="A1248">
        <v>110430</v>
      </c>
      <c r="B1248" t="s">
        <v>1070</v>
      </c>
      <c r="D1248" t="s">
        <v>57</v>
      </c>
      <c r="E1248">
        <v>98</v>
      </c>
      <c r="F1248" t="s">
        <v>58</v>
      </c>
      <c r="G1248" t="s">
        <v>59</v>
      </c>
      <c r="H1248" t="s">
        <v>60</v>
      </c>
      <c r="J1248">
        <v>32</v>
      </c>
      <c r="K1248" t="s">
        <v>61</v>
      </c>
      <c r="L1248" t="s">
        <v>74</v>
      </c>
      <c r="M1248" t="s">
        <v>63</v>
      </c>
      <c r="N1248" t="s">
        <v>64</v>
      </c>
      <c r="P1248" t="s">
        <v>65</v>
      </c>
      <c r="R1248">
        <v>131</v>
      </c>
      <c r="T1248">
        <v>126</v>
      </c>
      <c r="V1248">
        <v>137</v>
      </c>
      <c r="W1248" t="s">
        <v>66</v>
      </c>
      <c r="X1248" t="s">
        <v>67</v>
      </c>
      <c r="Y1248" t="s">
        <v>67</v>
      </c>
      <c r="Z1248" t="s">
        <v>68</v>
      </c>
      <c r="AB1248">
        <v>4</v>
      </c>
      <c r="AC1248" t="s">
        <v>61</v>
      </c>
      <c r="AJ1248" t="s">
        <v>69</v>
      </c>
      <c r="AY1248" t="s">
        <v>263</v>
      </c>
      <c r="AZ1248">
        <v>12858</v>
      </c>
      <c r="BA1248" t="s">
        <v>264</v>
      </c>
      <c r="BB1248" t="s">
        <v>265</v>
      </c>
      <c r="BC1248">
        <v>1986</v>
      </c>
      <c r="BD1248" t="s">
        <v>73</v>
      </c>
    </row>
    <row r="1249" spans="1:56" x14ac:dyDescent="0.35">
      <c r="A1249">
        <v>110543</v>
      </c>
      <c r="B1249" t="s">
        <v>1071</v>
      </c>
      <c r="D1249" t="s">
        <v>57</v>
      </c>
      <c r="E1249" t="s">
        <v>79</v>
      </c>
      <c r="F1249" t="s">
        <v>58</v>
      </c>
      <c r="G1249" t="s">
        <v>59</v>
      </c>
      <c r="H1249" t="s">
        <v>60</v>
      </c>
      <c r="J1249">
        <v>31</v>
      </c>
      <c r="K1249" t="s">
        <v>61</v>
      </c>
      <c r="L1249" t="s">
        <v>74</v>
      </c>
      <c r="M1249" t="s">
        <v>63</v>
      </c>
      <c r="N1249" t="s">
        <v>64</v>
      </c>
      <c r="P1249" t="s">
        <v>65</v>
      </c>
      <c r="R1249">
        <v>2.5</v>
      </c>
      <c r="T1249">
        <v>2.1</v>
      </c>
      <c r="V1249">
        <v>2.98</v>
      </c>
      <c r="W1249" t="s">
        <v>66</v>
      </c>
      <c r="X1249" t="s">
        <v>67</v>
      </c>
      <c r="Y1249" t="s">
        <v>67</v>
      </c>
      <c r="Z1249" t="s">
        <v>68</v>
      </c>
      <c r="AB1249">
        <v>4</v>
      </c>
      <c r="AC1249" t="s">
        <v>61</v>
      </c>
      <c r="AJ1249" t="s">
        <v>69</v>
      </c>
      <c r="AY1249" t="s">
        <v>75</v>
      </c>
      <c r="AZ1249">
        <v>3217</v>
      </c>
      <c r="BA1249" t="s">
        <v>76</v>
      </c>
      <c r="BB1249" t="s">
        <v>77</v>
      </c>
      <c r="BC1249">
        <v>1990</v>
      </c>
      <c r="BD1249" t="s">
        <v>73</v>
      </c>
    </row>
    <row r="1250" spans="1:56" x14ac:dyDescent="0.35">
      <c r="A1250">
        <v>110565</v>
      </c>
      <c r="B1250" t="s">
        <v>1072</v>
      </c>
      <c r="D1250" t="s">
        <v>57</v>
      </c>
      <c r="E1250">
        <v>97</v>
      </c>
      <c r="F1250" t="s">
        <v>58</v>
      </c>
      <c r="G1250" t="s">
        <v>59</v>
      </c>
      <c r="H1250" t="s">
        <v>60</v>
      </c>
      <c r="J1250" t="s">
        <v>86</v>
      </c>
      <c r="K1250" t="s">
        <v>61</v>
      </c>
      <c r="L1250" t="s">
        <v>74</v>
      </c>
      <c r="M1250" t="s">
        <v>63</v>
      </c>
      <c r="N1250" t="s">
        <v>64</v>
      </c>
      <c r="P1250" t="s">
        <v>65</v>
      </c>
      <c r="R1250">
        <v>51.6</v>
      </c>
      <c r="T1250">
        <v>47.8</v>
      </c>
      <c r="V1250">
        <v>55.6</v>
      </c>
      <c r="W1250" t="s">
        <v>66</v>
      </c>
      <c r="X1250" t="s">
        <v>67</v>
      </c>
      <c r="Y1250" t="s">
        <v>67</v>
      </c>
      <c r="Z1250" t="s">
        <v>68</v>
      </c>
      <c r="AB1250">
        <v>4</v>
      </c>
      <c r="AC1250" t="s">
        <v>61</v>
      </c>
      <c r="AJ1250" t="s">
        <v>69</v>
      </c>
      <c r="AY1250" t="s">
        <v>286</v>
      </c>
      <c r="AZ1250">
        <v>12448</v>
      </c>
      <c r="BA1250" t="s">
        <v>287</v>
      </c>
      <c r="BB1250" t="s">
        <v>288</v>
      </c>
      <c r="BC1250">
        <v>1984</v>
      </c>
      <c r="BD1250" t="s">
        <v>161</v>
      </c>
    </row>
    <row r="1251" spans="1:56" x14ac:dyDescent="0.35">
      <c r="A1251">
        <v>110587</v>
      </c>
      <c r="B1251" t="s">
        <v>1073</v>
      </c>
      <c r="D1251" t="s">
        <v>57</v>
      </c>
      <c r="E1251">
        <v>99</v>
      </c>
      <c r="F1251" t="s">
        <v>58</v>
      </c>
      <c r="G1251" t="s">
        <v>59</v>
      </c>
      <c r="H1251" t="s">
        <v>60</v>
      </c>
      <c r="J1251">
        <v>29</v>
      </c>
      <c r="K1251" t="s">
        <v>61</v>
      </c>
      <c r="L1251" t="s">
        <v>74</v>
      </c>
      <c r="M1251" t="s">
        <v>63</v>
      </c>
      <c r="N1251" t="s">
        <v>64</v>
      </c>
      <c r="P1251" t="s">
        <v>65</v>
      </c>
      <c r="R1251">
        <v>177</v>
      </c>
      <c r="T1251">
        <v>160</v>
      </c>
      <c r="V1251">
        <v>195</v>
      </c>
      <c r="W1251" t="s">
        <v>66</v>
      </c>
      <c r="X1251" t="s">
        <v>67</v>
      </c>
      <c r="Y1251" t="s">
        <v>67</v>
      </c>
      <c r="Z1251" t="s">
        <v>68</v>
      </c>
      <c r="AB1251">
        <v>4</v>
      </c>
      <c r="AC1251" t="s">
        <v>61</v>
      </c>
      <c r="AJ1251" t="s">
        <v>69</v>
      </c>
      <c r="AY1251" t="s">
        <v>263</v>
      </c>
      <c r="AZ1251">
        <v>12858</v>
      </c>
      <c r="BA1251" t="s">
        <v>264</v>
      </c>
      <c r="BB1251" t="s">
        <v>265</v>
      </c>
      <c r="BC1251">
        <v>1986</v>
      </c>
      <c r="BD1251" t="s">
        <v>73</v>
      </c>
    </row>
    <row r="1252" spans="1:56" x14ac:dyDescent="0.35">
      <c r="A1252">
        <v>110587</v>
      </c>
      <c r="B1252" t="s">
        <v>1073</v>
      </c>
      <c r="D1252" t="s">
        <v>57</v>
      </c>
      <c r="E1252" t="s">
        <v>128</v>
      </c>
      <c r="F1252" t="s">
        <v>58</v>
      </c>
      <c r="G1252" t="s">
        <v>59</v>
      </c>
      <c r="H1252" t="s">
        <v>60</v>
      </c>
      <c r="I1252" t="s">
        <v>129</v>
      </c>
      <c r="J1252" t="s">
        <v>86</v>
      </c>
      <c r="K1252" t="s">
        <v>61</v>
      </c>
      <c r="L1252" t="s">
        <v>74</v>
      </c>
      <c r="M1252" t="s">
        <v>63</v>
      </c>
      <c r="N1252" t="s">
        <v>64</v>
      </c>
      <c r="P1252" t="s">
        <v>65</v>
      </c>
      <c r="R1252">
        <v>177</v>
      </c>
      <c r="W1252" t="s">
        <v>66</v>
      </c>
      <c r="X1252" t="s">
        <v>67</v>
      </c>
      <c r="Y1252" t="s">
        <v>67</v>
      </c>
      <c r="Z1252" t="s">
        <v>68</v>
      </c>
      <c r="AB1252">
        <v>4</v>
      </c>
      <c r="AC1252" t="s">
        <v>61</v>
      </c>
      <c r="AJ1252" t="s">
        <v>69</v>
      </c>
      <c r="AY1252" t="s">
        <v>134</v>
      </c>
      <c r="AZ1252">
        <v>15031</v>
      </c>
      <c r="BA1252" t="s">
        <v>135</v>
      </c>
      <c r="BB1252" t="s">
        <v>136</v>
      </c>
      <c r="BC1252">
        <v>1995</v>
      </c>
      <c r="BD1252" t="s">
        <v>133</v>
      </c>
    </row>
    <row r="1253" spans="1:56" x14ac:dyDescent="0.35">
      <c r="A1253">
        <v>110623</v>
      </c>
      <c r="B1253" t="s">
        <v>1074</v>
      </c>
      <c r="D1253" t="s">
        <v>85</v>
      </c>
      <c r="E1253" t="s">
        <v>86</v>
      </c>
      <c r="F1253" t="s">
        <v>58</v>
      </c>
      <c r="G1253" t="s">
        <v>59</v>
      </c>
      <c r="H1253" t="s">
        <v>60</v>
      </c>
      <c r="J1253" t="s">
        <v>86</v>
      </c>
      <c r="L1253" t="s">
        <v>62</v>
      </c>
      <c r="M1253" t="s">
        <v>63</v>
      </c>
      <c r="N1253" t="s">
        <v>64</v>
      </c>
      <c r="P1253" t="s">
        <v>100</v>
      </c>
      <c r="R1253">
        <v>42</v>
      </c>
      <c r="W1253" t="s">
        <v>66</v>
      </c>
      <c r="X1253" t="s">
        <v>67</v>
      </c>
      <c r="Y1253" t="s">
        <v>67</v>
      </c>
      <c r="Z1253" t="s">
        <v>68</v>
      </c>
      <c r="AB1253">
        <v>4</v>
      </c>
      <c r="AC1253" t="s">
        <v>61</v>
      </c>
      <c r="AJ1253" t="s">
        <v>69</v>
      </c>
      <c r="AY1253" t="s">
        <v>1075</v>
      </c>
      <c r="AZ1253">
        <v>177942</v>
      </c>
      <c r="BA1253" t="s">
        <v>1076</v>
      </c>
      <c r="BB1253" t="s">
        <v>1077</v>
      </c>
      <c r="BC1253">
        <v>1993</v>
      </c>
      <c r="BD1253" t="s">
        <v>90</v>
      </c>
    </row>
    <row r="1254" spans="1:56" x14ac:dyDescent="0.35">
      <c r="A1254">
        <v>110623</v>
      </c>
      <c r="B1254" t="s">
        <v>1074</v>
      </c>
      <c r="D1254" t="s">
        <v>57</v>
      </c>
      <c r="E1254">
        <v>99</v>
      </c>
      <c r="F1254" t="s">
        <v>58</v>
      </c>
      <c r="G1254" t="s">
        <v>59</v>
      </c>
      <c r="H1254" t="s">
        <v>60</v>
      </c>
      <c r="J1254">
        <v>31</v>
      </c>
      <c r="K1254" t="s">
        <v>61</v>
      </c>
      <c r="L1254" t="s">
        <v>74</v>
      </c>
      <c r="M1254" t="s">
        <v>63</v>
      </c>
      <c r="N1254" t="s">
        <v>64</v>
      </c>
      <c r="P1254" t="s">
        <v>65</v>
      </c>
      <c r="R1254">
        <v>12.4</v>
      </c>
      <c r="T1254">
        <v>11.3</v>
      </c>
      <c r="V1254">
        <v>13.6</v>
      </c>
      <c r="W1254" t="s">
        <v>66</v>
      </c>
      <c r="X1254" t="s">
        <v>67</v>
      </c>
      <c r="Y1254" t="s">
        <v>67</v>
      </c>
      <c r="Z1254" t="s">
        <v>68</v>
      </c>
      <c r="AB1254">
        <v>4</v>
      </c>
      <c r="AC1254" t="s">
        <v>61</v>
      </c>
      <c r="AJ1254" t="s">
        <v>69</v>
      </c>
      <c r="AY1254" t="s">
        <v>141</v>
      </c>
      <c r="AZ1254">
        <v>12447</v>
      </c>
      <c r="BA1254" t="s">
        <v>142</v>
      </c>
      <c r="BB1254" t="s">
        <v>143</v>
      </c>
      <c r="BC1254">
        <v>1985</v>
      </c>
      <c r="BD1254" t="s">
        <v>73</v>
      </c>
    </row>
    <row r="1255" spans="1:56" x14ac:dyDescent="0.35">
      <c r="A1255">
        <v>110623</v>
      </c>
      <c r="B1255" t="s">
        <v>1074</v>
      </c>
      <c r="D1255" t="s">
        <v>57</v>
      </c>
      <c r="E1255">
        <v>99</v>
      </c>
      <c r="F1255" t="s">
        <v>58</v>
      </c>
      <c r="G1255" t="s">
        <v>59</v>
      </c>
      <c r="H1255" t="s">
        <v>60</v>
      </c>
      <c r="J1255">
        <v>28</v>
      </c>
      <c r="K1255" t="s">
        <v>61</v>
      </c>
      <c r="L1255" t="s">
        <v>74</v>
      </c>
      <c r="M1255" t="s">
        <v>63</v>
      </c>
      <c r="N1255" t="s">
        <v>64</v>
      </c>
      <c r="P1255" t="s">
        <v>65</v>
      </c>
      <c r="R1255">
        <v>13.4</v>
      </c>
      <c r="T1255">
        <v>12.8</v>
      </c>
      <c r="V1255">
        <v>14</v>
      </c>
      <c r="W1255" t="s">
        <v>66</v>
      </c>
      <c r="X1255" t="s">
        <v>67</v>
      </c>
      <c r="Y1255" t="s">
        <v>67</v>
      </c>
      <c r="Z1255" t="s">
        <v>68</v>
      </c>
      <c r="AB1255">
        <v>4</v>
      </c>
      <c r="AC1255" t="s">
        <v>61</v>
      </c>
      <c r="AJ1255" t="s">
        <v>69</v>
      </c>
      <c r="AY1255" t="s">
        <v>263</v>
      </c>
      <c r="AZ1255">
        <v>12858</v>
      </c>
      <c r="BA1255" t="s">
        <v>264</v>
      </c>
      <c r="BB1255" t="s">
        <v>265</v>
      </c>
      <c r="BC1255">
        <v>1986</v>
      </c>
      <c r="BD1255" t="s">
        <v>73</v>
      </c>
    </row>
    <row r="1256" spans="1:56" x14ac:dyDescent="0.35">
      <c r="A1256">
        <v>110656</v>
      </c>
      <c r="B1256" t="s">
        <v>1078</v>
      </c>
      <c r="D1256" t="s">
        <v>57</v>
      </c>
      <c r="E1256" t="s">
        <v>128</v>
      </c>
      <c r="F1256" t="s">
        <v>58</v>
      </c>
      <c r="G1256" t="s">
        <v>59</v>
      </c>
      <c r="H1256" t="s">
        <v>60</v>
      </c>
      <c r="I1256" t="s">
        <v>129</v>
      </c>
      <c r="J1256" t="s">
        <v>86</v>
      </c>
      <c r="K1256" t="s">
        <v>61</v>
      </c>
      <c r="L1256" t="s">
        <v>74</v>
      </c>
      <c r="M1256" t="s">
        <v>63</v>
      </c>
      <c r="N1256" t="s">
        <v>64</v>
      </c>
      <c r="P1256" t="s">
        <v>65</v>
      </c>
      <c r="R1256">
        <v>53.6</v>
      </c>
      <c r="T1256">
        <v>49.3</v>
      </c>
      <c r="V1256">
        <v>58.3</v>
      </c>
      <c r="W1256" t="s">
        <v>66</v>
      </c>
      <c r="X1256" t="s">
        <v>67</v>
      </c>
      <c r="Y1256" t="s">
        <v>67</v>
      </c>
      <c r="Z1256" t="s">
        <v>68</v>
      </c>
      <c r="AB1256">
        <v>4</v>
      </c>
      <c r="AC1256" t="s">
        <v>61</v>
      </c>
      <c r="AJ1256" t="s">
        <v>69</v>
      </c>
      <c r="AY1256" t="s">
        <v>541</v>
      </c>
      <c r="AZ1256">
        <v>2721</v>
      </c>
      <c r="BA1256" t="s">
        <v>542</v>
      </c>
      <c r="BB1256" t="s">
        <v>543</v>
      </c>
      <c r="BC1256">
        <v>1989</v>
      </c>
      <c r="BD1256" t="s">
        <v>544</v>
      </c>
    </row>
    <row r="1257" spans="1:56" x14ac:dyDescent="0.35">
      <c r="A1257">
        <v>110656</v>
      </c>
      <c r="B1257" t="s">
        <v>1078</v>
      </c>
      <c r="D1257" t="s">
        <v>57</v>
      </c>
      <c r="E1257">
        <v>99</v>
      </c>
      <c r="F1257" t="s">
        <v>58</v>
      </c>
      <c r="G1257" t="s">
        <v>59</v>
      </c>
      <c r="H1257" t="s">
        <v>60</v>
      </c>
      <c r="J1257">
        <v>31</v>
      </c>
      <c r="K1257" t="s">
        <v>61</v>
      </c>
      <c r="L1257" t="s">
        <v>74</v>
      </c>
      <c r="M1257" t="s">
        <v>63</v>
      </c>
      <c r="N1257" t="s">
        <v>64</v>
      </c>
      <c r="P1257" t="s">
        <v>65</v>
      </c>
      <c r="R1257">
        <v>53.6</v>
      </c>
      <c r="T1257">
        <v>49.3</v>
      </c>
      <c r="V1257">
        <v>58.3</v>
      </c>
      <c r="W1257" t="s">
        <v>66</v>
      </c>
      <c r="X1257" t="s">
        <v>67</v>
      </c>
      <c r="Y1257" t="s">
        <v>67</v>
      </c>
      <c r="Z1257" t="s">
        <v>68</v>
      </c>
      <c r="AB1257">
        <v>4</v>
      </c>
      <c r="AC1257" t="s">
        <v>61</v>
      </c>
      <c r="AJ1257" t="s">
        <v>69</v>
      </c>
      <c r="AY1257" t="s">
        <v>80</v>
      </c>
      <c r="AZ1257">
        <v>12859</v>
      </c>
      <c r="BA1257" t="s">
        <v>81</v>
      </c>
      <c r="BB1257" t="s">
        <v>82</v>
      </c>
      <c r="BC1257">
        <v>1988</v>
      </c>
      <c r="BD1257" t="s">
        <v>73</v>
      </c>
    </row>
    <row r="1258" spans="1:56" x14ac:dyDescent="0.35">
      <c r="A1258">
        <v>110736</v>
      </c>
      <c r="B1258" t="s">
        <v>1079</v>
      </c>
      <c r="D1258" t="s">
        <v>57</v>
      </c>
      <c r="E1258">
        <v>98</v>
      </c>
      <c r="F1258" t="s">
        <v>58</v>
      </c>
      <c r="G1258" t="s">
        <v>59</v>
      </c>
      <c r="H1258" t="s">
        <v>60</v>
      </c>
      <c r="J1258">
        <v>36</v>
      </c>
      <c r="K1258" t="s">
        <v>61</v>
      </c>
      <c r="L1258" t="s">
        <v>74</v>
      </c>
      <c r="M1258" t="s">
        <v>63</v>
      </c>
      <c r="N1258" t="s">
        <v>64</v>
      </c>
      <c r="P1258" t="s">
        <v>65</v>
      </c>
      <c r="R1258">
        <v>1480</v>
      </c>
      <c r="T1258">
        <v>1290</v>
      </c>
      <c r="V1258">
        <v>1700</v>
      </c>
      <c r="W1258" t="s">
        <v>66</v>
      </c>
      <c r="X1258" t="s">
        <v>67</v>
      </c>
      <c r="Y1258" t="s">
        <v>67</v>
      </c>
      <c r="Z1258" t="s">
        <v>68</v>
      </c>
      <c r="AB1258">
        <v>4</v>
      </c>
      <c r="AC1258" t="s">
        <v>61</v>
      </c>
      <c r="AJ1258" t="s">
        <v>69</v>
      </c>
      <c r="AY1258" t="s">
        <v>286</v>
      </c>
      <c r="AZ1258">
        <v>12448</v>
      </c>
      <c r="BA1258" t="s">
        <v>287</v>
      </c>
      <c r="BB1258" t="s">
        <v>288</v>
      </c>
      <c r="BC1258">
        <v>1984</v>
      </c>
      <c r="BD1258" t="s">
        <v>73</v>
      </c>
    </row>
    <row r="1259" spans="1:56" x14ac:dyDescent="0.35">
      <c r="A1259">
        <v>110827</v>
      </c>
      <c r="B1259" t="s">
        <v>1080</v>
      </c>
      <c r="D1259" t="s">
        <v>85</v>
      </c>
      <c r="E1259" t="s">
        <v>86</v>
      </c>
      <c r="F1259" t="s">
        <v>58</v>
      </c>
      <c r="G1259" t="s">
        <v>59</v>
      </c>
      <c r="H1259" t="s">
        <v>60</v>
      </c>
      <c r="I1259" t="s">
        <v>129</v>
      </c>
      <c r="J1259" t="s">
        <v>86</v>
      </c>
      <c r="K1259" t="s">
        <v>196</v>
      </c>
      <c r="L1259" t="s">
        <v>62</v>
      </c>
      <c r="M1259" t="s">
        <v>63</v>
      </c>
      <c r="N1259" t="s">
        <v>64</v>
      </c>
      <c r="P1259" t="s">
        <v>100</v>
      </c>
      <c r="R1259">
        <v>117</v>
      </c>
      <c r="W1259" t="s">
        <v>66</v>
      </c>
      <c r="X1259" t="s">
        <v>67</v>
      </c>
      <c r="Y1259" t="s">
        <v>67</v>
      </c>
      <c r="Z1259" t="s">
        <v>68</v>
      </c>
      <c r="AB1259">
        <v>4</v>
      </c>
      <c r="AC1259" t="s">
        <v>61</v>
      </c>
      <c r="AJ1259" t="s">
        <v>69</v>
      </c>
      <c r="AY1259" t="s">
        <v>338</v>
      </c>
      <c r="AZ1259">
        <v>719</v>
      </c>
      <c r="BA1259" t="s">
        <v>339</v>
      </c>
      <c r="BB1259" t="s">
        <v>340</v>
      </c>
      <c r="BC1259">
        <v>1976</v>
      </c>
      <c r="BD1259" t="s">
        <v>341</v>
      </c>
    </row>
    <row r="1260" spans="1:56" x14ac:dyDescent="0.35">
      <c r="A1260">
        <v>110827</v>
      </c>
      <c r="B1260" t="s">
        <v>1080</v>
      </c>
      <c r="D1260" t="s">
        <v>85</v>
      </c>
      <c r="E1260" t="s">
        <v>86</v>
      </c>
      <c r="F1260" t="s">
        <v>58</v>
      </c>
      <c r="G1260" t="s">
        <v>59</v>
      </c>
      <c r="H1260" t="s">
        <v>60</v>
      </c>
      <c r="J1260" t="s">
        <v>86</v>
      </c>
      <c r="L1260" t="s">
        <v>62</v>
      </c>
      <c r="M1260" t="s">
        <v>63</v>
      </c>
      <c r="N1260" t="s">
        <v>64</v>
      </c>
      <c r="P1260" t="s">
        <v>100</v>
      </c>
      <c r="R1260">
        <v>32.71</v>
      </c>
      <c r="T1260">
        <v>23.03</v>
      </c>
      <c r="V1260">
        <v>42.07</v>
      </c>
      <c r="W1260" t="s">
        <v>66</v>
      </c>
      <c r="X1260" t="s">
        <v>67</v>
      </c>
      <c r="Y1260" t="s">
        <v>67</v>
      </c>
      <c r="Z1260" t="s">
        <v>68</v>
      </c>
      <c r="AB1260">
        <v>4</v>
      </c>
      <c r="AC1260" t="s">
        <v>61</v>
      </c>
      <c r="AJ1260" t="s">
        <v>69</v>
      </c>
      <c r="AY1260" t="s">
        <v>168</v>
      </c>
      <c r="AZ1260">
        <v>728</v>
      </c>
      <c r="BA1260" t="s">
        <v>426</v>
      </c>
      <c r="BB1260" t="s">
        <v>427</v>
      </c>
      <c r="BC1260">
        <v>1966</v>
      </c>
      <c r="BD1260" t="s">
        <v>90</v>
      </c>
    </row>
    <row r="1261" spans="1:56" x14ac:dyDescent="0.35">
      <c r="A1261">
        <v>110827</v>
      </c>
      <c r="B1261" t="s">
        <v>1080</v>
      </c>
      <c r="D1261" t="s">
        <v>57</v>
      </c>
      <c r="E1261" t="s">
        <v>79</v>
      </c>
      <c r="F1261" t="s">
        <v>58</v>
      </c>
      <c r="G1261" t="s">
        <v>59</v>
      </c>
      <c r="H1261" t="s">
        <v>60</v>
      </c>
      <c r="J1261">
        <v>30</v>
      </c>
      <c r="K1261" t="s">
        <v>61</v>
      </c>
      <c r="L1261" t="s">
        <v>74</v>
      </c>
      <c r="M1261" t="s">
        <v>63</v>
      </c>
      <c r="N1261" t="s">
        <v>64</v>
      </c>
      <c r="P1261" t="s">
        <v>65</v>
      </c>
      <c r="R1261">
        <v>4.53</v>
      </c>
      <c r="T1261">
        <v>3.96</v>
      </c>
      <c r="V1261">
        <v>5.18</v>
      </c>
      <c r="W1261" t="s">
        <v>66</v>
      </c>
      <c r="X1261" t="s">
        <v>67</v>
      </c>
      <c r="Y1261" t="s">
        <v>67</v>
      </c>
      <c r="Z1261" t="s">
        <v>68</v>
      </c>
      <c r="AB1261">
        <v>4</v>
      </c>
      <c r="AC1261" t="s">
        <v>61</v>
      </c>
      <c r="AJ1261" t="s">
        <v>69</v>
      </c>
      <c r="AY1261" t="s">
        <v>75</v>
      </c>
      <c r="AZ1261">
        <v>3217</v>
      </c>
      <c r="BA1261" t="s">
        <v>76</v>
      </c>
      <c r="BB1261" t="s">
        <v>77</v>
      </c>
      <c r="BC1261">
        <v>1990</v>
      </c>
      <c r="BD1261" t="s">
        <v>73</v>
      </c>
    </row>
    <row r="1262" spans="1:56" x14ac:dyDescent="0.35">
      <c r="A1262">
        <v>110827</v>
      </c>
      <c r="B1262" t="s">
        <v>1080</v>
      </c>
      <c r="D1262" t="s">
        <v>85</v>
      </c>
      <c r="E1262" t="s">
        <v>86</v>
      </c>
      <c r="F1262" t="s">
        <v>58</v>
      </c>
      <c r="G1262" t="s">
        <v>59</v>
      </c>
      <c r="H1262" t="s">
        <v>60</v>
      </c>
      <c r="I1262" t="s">
        <v>129</v>
      </c>
      <c r="J1262" t="s">
        <v>86</v>
      </c>
      <c r="K1262" t="s">
        <v>196</v>
      </c>
      <c r="L1262" t="s">
        <v>62</v>
      </c>
      <c r="M1262" t="s">
        <v>63</v>
      </c>
      <c r="N1262" t="s">
        <v>64</v>
      </c>
      <c r="P1262" t="s">
        <v>100</v>
      </c>
      <c r="R1262">
        <v>93</v>
      </c>
      <c r="W1262" t="s">
        <v>66</v>
      </c>
      <c r="X1262" t="s">
        <v>67</v>
      </c>
      <c r="Y1262" t="s">
        <v>67</v>
      </c>
      <c r="Z1262" t="s">
        <v>68</v>
      </c>
      <c r="AB1262">
        <v>4</v>
      </c>
      <c r="AC1262" t="s">
        <v>61</v>
      </c>
      <c r="AJ1262" t="s">
        <v>69</v>
      </c>
      <c r="AY1262" t="s">
        <v>338</v>
      </c>
      <c r="AZ1262">
        <v>719</v>
      </c>
      <c r="BA1262" t="s">
        <v>339</v>
      </c>
      <c r="BB1262" t="s">
        <v>340</v>
      </c>
      <c r="BC1262">
        <v>1976</v>
      </c>
      <c r="BD1262" t="s">
        <v>341</v>
      </c>
    </row>
    <row r="1263" spans="1:56" x14ac:dyDescent="0.35">
      <c r="A1263">
        <v>110827</v>
      </c>
      <c r="B1263" t="s">
        <v>1080</v>
      </c>
      <c r="D1263" t="s">
        <v>85</v>
      </c>
      <c r="E1263" t="s">
        <v>86</v>
      </c>
      <c r="F1263" t="s">
        <v>58</v>
      </c>
      <c r="G1263" t="s">
        <v>59</v>
      </c>
      <c r="H1263" t="s">
        <v>60</v>
      </c>
      <c r="J1263" t="s">
        <v>86</v>
      </c>
      <c r="L1263" t="s">
        <v>62</v>
      </c>
      <c r="M1263" t="s">
        <v>63</v>
      </c>
      <c r="N1263" t="s">
        <v>64</v>
      </c>
      <c r="P1263" t="s">
        <v>100</v>
      </c>
      <c r="R1263">
        <v>42.33</v>
      </c>
      <c r="T1263">
        <v>33.520000000000003</v>
      </c>
      <c r="V1263">
        <v>53.47</v>
      </c>
      <c r="W1263" t="s">
        <v>66</v>
      </c>
      <c r="X1263" t="s">
        <v>67</v>
      </c>
      <c r="Y1263" t="s">
        <v>67</v>
      </c>
      <c r="Z1263" t="s">
        <v>68</v>
      </c>
      <c r="AB1263">
        <v>4</v>
      </c>
      <c r="AC1263" t="s">
        <v>61</v>
      </c>
      <c r="AJ1263" t="s">
        <v>69</v>
      </c>
      <c r="AY1263" t="s">
        <v>168</v>
      </c>
      <c r="AZ1263">
        <v>728</v>
      </c>
      <c r="BA1263" t="s">
        <v>426</v>
      </c>
      <c r="BB1263" t="s">
        <v>427</v>
      </c>
      <c r="BC1263">
        <v>1966</v>
      </c>
      <c r="BD1263" t="s">
        <v>90</v>
      </c>
    </row>
    <row r="1264" spans="1:56" x14ac:dyDescent="0.35">
      <c r="A1264">
        <v>110861</v>
      </c>
      <c r="B1264" t="s">
        <v>1081</v>
      </c>
      <c r="D1264" t="s">
        <v>57</v>
      </c>
      <c r="E1264" t="s">
        <v>128</v>
      </c>
      <c r="F1264" t="s">
        <v>58</v>
      </c>
      <c r="G1264" t="s">
        <v>59</v>
      </c>
      <c r="H1264" t="s">
        <v>60</v>
      </c>
      <c r="I1264" t="s">
        <v>129</v>
      </c>
      <c r="J1264" t="s">
        <v>86</v>
      </c>
      <c r="K1264" t="s">
        <v>61</v>
      </c>
      <c r="L1264" t="s">
        <v>74</v>
      </c>
      <c r="M1264" t="s">
        <v>63</v>
      </c>
      <c r="N1264" t="s">
        <v>64</v>
      </c>
      <c r="P1264" t="s">
        <v>65</v>
      </c>
      <c r="R1264">
        <v>99</v>
      </c>
      <c r="W1264" t="s">
        <v>66</v>
      </c>
      <c r="X1264" t="s">
        <v>67</v>
      </c>
      <c r="Y1264" t="s">
        <v>67</v>
      </c>
      <c r="Z1264" t="s">
        <v>68</v>
      </c>
      <c r="AB1264">
        <v>4</v>
      </c>
      <c r="AC1264" t="s">
        <v>61</v>
      </c>
      <c r="AJ1264" t="s">
        <v>69</v>
      </c>
      <c r="AY1264" t="s">
        <v>134</v>
      </c>
      <c r="AZ1264">
        <v>15031</v>
      </c>
      <c r="BA1264" t="s">
        <v>135</v>
      </c>
      <c r="BB1264" t="s">
        <v>136</v>
      </c>
      <c r="BC1264">
        <v>1995</v>
      </c>
      <c r="BD1264" t="s">
        <v>133</v>
      </c>
    </row>
    <row r="1265" spans="1:56" x14ac:dyDescent="0.35">
      <c r="A1265">
        <v>110861</v>
      </c>
      <c r="B1265" t="s">
        <v>1081</v>
      </c>
      <c r="D1265" t="s">
        <v>57</v>
      </c>
      <c r="E1265" t="s">
        <v>79</v>
      </c>
      <c r="F1265" t="s">
        <v>58</v>
      </c>
      <c r="G1265" t="s">
        <v>59</v>
      </c>
      <c r="H1265" t="s">
        <v>60</v>
      </c>
      <c r="J1265">
        <v>32</v>
      </c>
      <c r="K1265" t="s">
        <v>61</v>
      </c>
      <c r="L1265" t="s">
        <v>74</v>
      </c>
      <c r="M1265" t="s">
        <v>63</v>
      </c>
      <c r="N1265" t="s">
        <v>64</v>
      </c>
      <c r="P1265" t="s">
        <v>65</v>
      </c>
      <c r="R1265">
        <v>106</v>
      </c>
      <c r="W1265" t="s">
        <v>66</v>
      </c>
      <c r="X1265" t="s">
        <v>67</v>
      </c>
      <c r="Y1265" t="s">
        <v>67</v>
      </c>
      <c r="Z1265" t="s">
        <v>68</v>
      </c>
      <c r="AB1265">
        <v>4</v>
      </c>
      <c r="AC1265" t="s">
        <v>61</v>
      </c>
      <c r="AJ1265" t="s">
        <v>69</v>
      </c>
      <c r="AY1265" t="s">
        <v>263</v>
      </c>
      <c r="AZ1265">
        <v>12858</v>
      </c>
      <c r="BA1265" t="s">
        <v>264</v>
      </c>
      <c r="BB1265" t="s">
        <v>265</v>
      </c>
      <c r="BC1265">
        <v>1986</v>
      </c>
      <c r="BD1265" t="s">
        <v>73</v>
      </c>
    </row>
    <row r="1266" spans="1:56" x14ac:dyDescent="0.35">
      <c r="A1266">
        <v>110861</v>
      </c>
      <c r="B1266" t="s">
        <v>1081</v>
      </c>
      <c r="D1266" t="s">
        <v>57</v>
      </c>
      <c r="E1266" t="s">
        <v>86</v>
      </c>
      <c r="F1266" t="s">
        <v>58</v>
      </c>
      <c r="G1266" t="s">
        <v>59</v>
      </c>
      <c r="H1266" t="s">
        <v>60</v>
      </c>
      <c r="J1266">
        <v>30</v>
      </c>
      <c r="K1266" t="s">
        <v>61</v>
      </c>
      <c r="L1266" t="s">
        <v>62</v>
      </c>
      <c r="M1266" t="s">
        <v>63</v>
      </c>
      <c r="N1266" t="s">
        <v>64</v>
      </c>
      <c r="P1266" t="s">
        <v>65</v>
      </c>
      <c r="R1266">
        <v>68.3</v>
      </c>
      <c r="T1266">
        <v>63.4</v>
      </c>
      <c r="V1266">
        <v>73.599999999999994</v>
      </c>
      <c r="W1266" t="s">
        <v>66</v>
      </c>
      <c r="X1266" t="s">
        <v>67</v>
      </c>
      <c r="Y1266" t="s">
        <v>67</v>
      </c>
      <c r="Z1266" t="s">
        <v>68</v>
      </c>
      <c r="AB1266">
        <v>4</v>
      </c>
      <c r="AC1266" t="s">
        <v>61</v>
      </c>
      <c r="AJ1266" t="s">
        <v>69</v>
      </c>
      <c r="AY1266" t="s">
        <v>70</v>
      </c>
      <c r="AZ1266">
        <v>14339</v>
      </c>
      <c r="BA1266" t="s">
        <v>71</v>
      </c>
      <c r="BB1266" t="s">
        <v>72</v>
      </c>
      <c r="BC1266">
        <v>1987</v>
      </c>
      <c r="BD1266" t="s">
        <v>1082</v>
      </c>
    </row>
    <row r="1267" spans="1:56" x14ac:dyDescent="0.35">
      <c r="A1267">
        <v>110861</v>
      </c>
      <c r="B1267" t="s">
        <v>1081</v>
      </c>
      <c r="D1267" t="s">
        <v>57</v>
      </c>
      <c r="E1267" t="s">
        <v>79</v>
      </c>
      <c r="F1267" t="s">
        <v>58</v>
      </c>
      <c r="G1267" t="s">
        <v>59</v>
      </c>
      <c r="H1267" t="s">
        <v>60</v>
      </c>
      <c r="J1267">
        <v>31</v>
      </c>
      <c r="K1267" t="s">
        <v>61</v>
      </c>
      <c r="L1267" t="s">
        <v>74</v>
      </c>
      <c r="M1267" t="s">
        <v>63</v>
      </c>
      <c r="N1267" t="s">
        <v>64</v>
      </c>
      <c r="P1267" t="s">
        <v>65</v>
      </c>
      <c r="R1267">
        <v>93.8</v>
      </c>
      <c r="T1267">
        <v>85.5</v>
      </c>
      <c r="V1267">
        <v>103</v>
      </c>
      <c r="W1267" t="s">
        <v>66</v>
      </c>
      <c r="X1267" t="s">
        <v>67</v>
      </c>
      <c r="Y1267" t="s">
        <v>67</v>
      </c>
      <c r="Z1267" t="s">
        <v>68</v>
      </c>
      <c r="AB1267">
        <v>4</v>
      </c>
      <c r="AC1267" t="s">
        <v>61</v>
      </c>
      <c r="AJ1267" t="s">
        <v>69</v>
      </c>
      <c r="AY1267" t="s">
        <v>263</v>
      </c>
      <c r="AZ1267">
        <v>12858</v>
      </c>
      <c r="BA1267" t="s">
        <v>264</v>
      </c>
      <c r="BB1267" t="s">
        <v>265</v>
      </c>
      <c r="BC1267">
        <v>1986</v>
      </c>
      <c r="BD1267" t="s">
        <v>73</v>
      </c>
    </row>
    <row r="1268" spans="1:56" x14ac:dyDescent="0.35">
      <c r="A1268">
        <v>110883</v>
      </c>
      <c r="B1268" t="s">
        <v>1083</v>
      </c>
      <c r="D1268" t="s">
        <v>57</v>
      </c>
      <c r="E1268">
        <v>98</v>
      </c>
      <c r="F1268" t="s">
        <v>58</v>
      </c>
      <c r="G1268" t="s">
        <v>59</v>
      </c>
      <c r="H1268" t="s">
        <v>60</v>
      </c>
      <c r="J1268">
        <v>28</v>
      </c>
      <c r="K1268" t="s">
        <v>61</v>
      </c>
      <c r="L1268" t="s">
        <v>74</v>
      </c>
      <c r="M1268" t="s">
        <v>63</v>
      </c>
      <c r="N1268" t="s">
        <v>64</v>
      </c>
      <c r="P1268" t="s">
        <v>65</v>
      </c>
      <c r="R1268">
        <v>5950</v>
      </c>
      <c r="T1268">
        <v>5520</v>
      </c>
      <c r="V1268">
        <v>6420</v>
      </c>
      <c r="W1268" t="s">
        <v>66</v>
      </c>
      <c r="X1268" t="s">
        <v>67</v>
      </c>
      <c r="Y1268" t="s">
        <v>67</v>
      </c>
      <c r="Z1268" t="s">
        <v>68</v>
      </c>
      <c r="AB1268">
        <v>4</v>
      </c>
      <c r="AC1268" t="s">
        <v>61</v>
      </c>
      <c r="AJ1268" t="s">
        <v>69</v>
      </c>
      <c r="AY1268" t="s">
        <v>286</v>
      </c>
      <c r="AZ1268">
        <v>12448</v>
      </c>
      <c r="BA1268" t="s">
        <v>287</v>
      </c>
      <c r="BB1268" t="s">
        <v>288</v>
      </c>
      <c r="BC1268">
        <v>1984</v>
      </c>
      <c r="BD1268" t="s">
        <v>73</v>
      </c>
    </row>
    <row r="1269" spans="1:56" x14ac:dyDescent="0.35">
      <c r="A1269">
        <v>110930</v>
      </c>
      <c r="B1269" t="s">
        <v>1084</v>
      </c>
      <c r="D1269" t="s">
        <v>57</v>
      </c>
      <c r="E1269">
        <v>98</v>
      </c>
      <c r="F1269" t="s">
        <v>58</v>
      </c>
      <c r="G1269" t="s">
        <v>59</v>
      </c>
      <c r="H1269" t="s">
        <v>60</v>
      </c>
      <c r="J1269">
        <v>31</v>
      </c>
      <c r="K1269" t="s">
        <v>61</v>
      </c>
      <c r="L1269" t="s">
        <v>74</v>
      </c>
      <c r="M1269" t="s">
        <v>63</v>
      </c>
      <c r="N1269" t="s">
        <v>64</v>
      </c>
      <c r="P1269" t="s">
        <v>65</v>
      </c>
      <c r="R1269">
        <v>85.7</v>
      </c>
      <c r="T1269">
        <v>83.3</v>
      </c>
      <c r="V1269">
        <v>88.2</v>
      </c>
      <c r="W1269" t="s">
        <v>66</v>
      </c>
      <c r="X1269" t="s">
        <v>67</v>
      </c>
      <c r="Y1269" t="s">
        <v>67</v>
      </c>
      <c r="Z1269" t="s">
        <v>68</v>
      </c>
      <c r="AB1269">
        <v>4</v>
      </c>
      <c r="AC1269" t="s">
        <v>61</v>
      </c>
      <c r="AJ1269" t="s">
        <v>69</v>
      </c>
      <c r="AY1269" t="s">
        <v>286</v>
      </c>
      <c r="AZ1269">
        <v>12448</v>
      </c>
      <c r="BA1269" t="s">
        <v>287</v>
      </c>
      <c r="BB1269" t="s">
        <v>288</v>
      </c>
      <c r="BC1269">
        <v>1984</v>
      </c>
      <c r="BD1269" t="s">
        <v>73</v>
      </c>
    </row>
    <row r="1270" spans="1:56" x14ac:dyDescent="0.35">
      <c r="A1270">
        <v>111137</v>
      </c>
      <c r="B1270" t="s">
        <v>1085</v>
      </c>
      <c r="E1270" t="s">
        <v>86</v>
      </c>
      <c r="F1270" t="s">
        <v>58</v>
      </c>
      <c r="G1270" t="s">
        <v>59</v>
      </c>
      <c r="H1270" t="s">
        <v>60</v>
      </c>
      <c r="I1270" t="s">
        <v>129</v>
      </c>
      <c r="J1270" t="s">
        <v>86</v>
      </c>
      <c r="K1270" t="s">
        <v>61</v>
      </c>
      <c r="L1270" t="s">
        <v>74</v>
      </c>
      <c r="M1270" t="s">
        <v>63</v>
      </c>
      <c r="N1270" t="s">
        <v>64</v>
      </c>
      <c r="P1270" t="s">
        <v>100</v>
      </c>
      <c r="R1270">
        <v>45.9</v>
      </c>
      <c r="T1270">
        <v>43.5</v>
      </c>
      <c r="V1270">
        <v>48.4</v>
      </c>
      <c r="W1270" t="s">
        <v>66</v>
      </c>
      <c r="X1270" t="s">
        <v>67</v>
      </c>
      <c r="Y1270" t="s">
        <v>67</v>
      </c>
      <c r="Z1270" t="s">
        <v>68</v>
      </c>
      <c r="AB1270">
        <v>4</v>
      </c>
      <c r="AC1270" t="s">
        <v>61</v>
      </c>
      <c r="AJ1270" t="s">
        <v>69</v>
      </c>
      <c r="AY1270" t="s">
        <v>422</v>
      </c>
      <c r="AZ1270">
        <v>14128</v>
      </c>
      <c r="BA1270" t="s">
        <v>423</v>
      </c>
      <c r="BB1270" t="s">
        <v>424</v>
      </c>
      <c r="BC1270">
        <v>1985</v>
      </c>
      <c r="BD1270" t="s">
        <v>833</v>
      </c>
    </row>
    <row r="1271" spans="1:56" x14ac:dyDescent="0.35">
      <c r="A1271">
        <v>111137</v>
      </c>
      <c r="B1271" t="s">
        <v>1085</v>
      </c>
      <c r="E1271" t="s">
        <v>86</v>
      </c>
      <c r="F1271" t="s">
        <v>58</v>
      </c>
      <c r="G1271" t="s">
        <v>59</v>
      </c>
      <c r="H1271" t="s">
        <v>60</v>
      </c>
      <c r="I1271" t="s">
        <v>129</v>
      </c>
      <c r="J1271" t="s">
        <v>86</v>
      </c>
      <c r="K1271" t="s">
        <v>61</v>
      </c>
      <c r="L1271" t="s">
        <v>74</v>
      </c>
      <c r="M1271" t="s">
        <v>63</v>
      </c>
      <c r="N1271" t="s">
        <v>64</v>
      </c>
      <c r="P1271" t="s">
        <v>100</v>
      </c>
      <c r="R1271">
        <v>35.299999999999997</v>
      </c>
      <c r="T1271">
        <v>33.4</v>
      </c>
      <c r="V1271">
        <v>37.200000000000003</v>
      </c>
      <c r="W1271" t="s">
        <v>66</v>
      </c>
      <c r="X1271" t="s">
        <v>67</v>
      </c>
      <c r="Y1271" t="s">
        <v>67</v>
      </c>
      <c r="Z1271" t="s">
        <v>68</v>
      </c>
      <c r="AB1271">
        <v>4</v>
      </c>
      <c r="AC1271" t="s">
        <v>61</v>
      </c>
      <c r="AJ1271" t="s">
        <v>69</v>
      </c>
      <c r="AY1271" t="s">
        <v>422</v>
      </c>
      <c r="AZ1271">
        <v>14128</v>
      </c>
      <c r="BA1271" t="s">
        <v>423</v>
      </c>
      <c r="BB1271" t="s">
        <v>424</v>
      </c>
      <c r="BC1271">
        <v>1985</v>
      </c>
      <c r="BD1271" t="s">
        <v>833</v>
      </c>
    </row>
    <row r="1272" spans="1:56" x14ac:dyDescent="0.35">
      <c r="A1272">
        <v>111137</v>
      </c>
      <c r="B1272" t="s">
        <v>1085</v>
      </c>
      <c r="D1272" t="s">
        <v>57</v>
      </c>
      <c r="E1272">
        <v>99</v>
      </c>
      <c r="F1272" t="s">
        <v>58</v>
      </c>
      <c r="G1272" t="s">
        <v>59</v>
      </c>
      <c r="H1272" t="s">
        <v>60</v>
      </c>
      <c r="J1272" t="s">
        <v>86</v>
      </c>
      <c r="K1272" t="s">
        <v>61</v>
      </c>
      <c r="L1272" t="s">
        <v>74</v>
      </c>
      <c r="M1272" t="s">
        <v>63</v>
      </c>
      <c r="N1272" t="s">
        <v>64</v>
      </c>
      <c r="P1272" t="s">
        <v>65</v>
      </c>
      <c r="R1272">
        <v>36</v>
      </c>
      <c r="T1272">
        <v>35</v>
      </c>
      <c r="V1272">
        <v>37</v>
      </c>
      <c r="W1272" t="s">
        <v>66</v>
      </c>
      <c r="X1272" t="s">
        <v>67</v>
      </c>
      <c r="Y1272" t="s">
        <v>67</v>
      </c>
      <c r="Z1272" t="s">
        <v>68</v>
      </c>
      <c r="AB1272">
        <v>4</v>
      </c>
      <c r="AC1272" t="s">
        <v>61</v>
      </c>
      <c r="AJ1272" t="s">
        <v>69</v>
      </c>
      <c r="AY1272" t="s">
        <v>286</v>
      </c>
      <c r="AZ1272">
        <v>12448</v>
      </c>
      <c r="BA1272" t="s">
        <v>287</v>
      </c>
      <c r="BB1272" t="s">
        <v>288</v>
      </c>
      <c r="BC1272">
        <v>1984</v>
      </c>
      <c r="BD1272" t="s">
        <v>370</v>
      </c>
    </row>
    <row r="1273" spans="1:56" x14ac:dyDescent="0.35">
      <c r="A1273">
        <v>111137</v>
      </c>
      <c r="B1273" t="s">
        <v>1085</v>
      </c>
      <c r="E1273" t="s">
        <v>86</v>
      </c>
      <c r="F1273" t="s">
        <v>58</v>
      </c>
      <c r="G1273" t="s">
        <v>59</v>
      </c>
      <c r="H1273" t="s">
        <v>60</v>
      </c>
      <c r="I1273" t="s">
        <v>129</v>
      </c>
      <c r="J1273" t="s">
        <v>86</v>
      </c>
      <c r="K1273" t="s">
        <v>61</v>
      </c>
      <c r="L1273" t="s">
        <v>74</v>
      </c>
      <c r="M1273" t="s">
        <v>63</v>
      </c>
      <c r="N1273" t="s">
        <v>64</v>
      </c>
      <c r="P1273" t="s">
        <v>100</v>
      </c>
      <c r="R1273">
        <v>46.4</v>
      </c>
      <c r="T1273">
        <v>44.3</v>
      </c>
      <c r="V1273">
        <v>48.7</v>
      </c>
      <c r="W1273" t="s">
        <v>66</v>
      </c>
      <c r="X1273" t="s">
        <v>67</v>
      </c>
      <c r="Y1273" t="s">
        <v>67</v>
      </c>
      <c r="Z1273" t="s">
        <v>68</v>
      </c>
      <c r="AB1273">
        <v>4</v>
      </c>
      <c r="AC1273" t="s">
        <v>61</v>
      </c>
      <c r="AJ1273" t="s">
        <v>69</v>
      </c>
      <c r="AY1273" t="s">
        <v>422</v>
      </c>
      <c r="AZ1273">
        <v>14128</v>
      </c>
      <c r="BA1273" t="s">
        <v>423</v>
      </c>
      <c r="BB1273" t="s">
        <v>424</v>
      </c>
      <c r="BC1273">
        <v>1985</v>
      </c>
      <c r="BD1273" t="s">
        <v>833</v>
      </c>
    </row>
    <row r="1274" spans="1:56" x14ac:dyDescent="0.35">
      <c r="A1274">
        <v>111137</v>
      </c>
      <c r="B1274" t="s">
        <v>1085</v>
      </c>
      <c r="E1274" t="s">
        <v>86</v>
      </c>
      <c r="F1274" t="s">
        <v>58</v>
      </c>
      <c r="G1274" t="s">
        <v>59</v>
      </c>
      <c r="H1274" t="s">
        <v>60</v>
      </c>
      <c r="I1274" t="s">
        <v>129</v>
      </c>
      <c r="J1274" t="s">
        <v>86</v>
      </c>
      <c r="K1274" t="s">
        <v>61</v>
      </c>
      <c r="L1274" t="s">
        <v>74</v>
      </c>
      <c r="M1274" t="s">
        <v>63</v>
      </c>
      <c r="N1274" t="s">
        <v>64</v>
      </c>
      <c r="P1274" t="s">
        <v>100</v>
      </c>
      <c r="R1274">
        <v>63</v>
      </c>
      <c r="T1274">
        <v>60.9</v>
      </c>
      <c r="V1274">
        <v>65.2</v>
      </c>
      <c r="W1274" t="s">
        <v>66</v>
      </c>
      <c r="X1274" t="s">
        <v>67</v>
      </c>
      <c r="Y1274" t="s">
        <v>67</v>
      </c>
      <c r="Z1274" t="s">
        <v>68</v>
      </c>
      <c r="AB1274">
        <v>4</v>
      </c>
      <c r="AC1274" t="s">
        <v>61</v>
      </c>
      <c r="AJ1274" t="s">
        <v>69</v>
      </c>
      <c r="AY1274" t="s">
        <v>422</v>
      </c>
      <c r="AZ1274">
        <v>14128</v>
      </c>
      <c r="BA1274" t="s">
        <v>423</v>
      </c>
      <c r="BB1274" t="s">
        <v>424</v>
      </c>
      <c r="BC1274">
        <v>1985</v>
      </c>
      <c r="BD1274" t="s">
        <v>833</v>
      </c>
    </row>
    <row r="1275" spans="1:56" x14ac:dyDescent="0.35">
      <c r="A1275">
        <v>111159</v>
      </c>
      <c r="B1275" t="s">
        <v>1086</v>
      </c>
      <c r="D1275" t="s">
        <v>57</v>
      </c>
      <c r="E1275" t="s">
        <v>128</v>
      </c>
      <c r="F1275" t="s">
        <v>58</v>
      </c>
      <c r="G1275" t="s">
        <v>59</v>
      </c>
      <c r="H1275" t="s">
        <v>60</v>
      </c>
      <c r="I1275" t="s">
        <v>129</v>
      </c>
      <c r="J1275" t="s">
        <v>86</v>
      </c>
      <c r="K1275" t="s">
        <v>61</v>
      </c>
      <c r="L1275" t="s">
        <v>74</v>
      </c>
      <c r="M1275" t="s">
        <v>63</v>
      </c>
      <c r="N1275" t="s">
        <v>64</v>
      </c>
      <c r="P1275" t="s">
        <v>65</v>
      </c>
      <c r="R1275">
        <v>42.8</v>
      </c>
      <c r="W1275" t="s">
        <v>66</v>
      </c>
      <c r="X1275" t="s">
        <v>67</v>
      </c>
      <c r="Y1275" t="s">
        <v>67</v>
      </c>
      <c r="Z1275" t="s">
        <v>68</v>
      </c>
      <c r="AB1275">
        <v>4</v>
      </c>
      <c r="AC1275" t="s">
        <v>61</v>
      </c>
      <c r="AJ1275" t="s">
        <v>69</v>
      </c>
      <c r="AY1275" t="s">
        <v>134</v>
      </c>
      <c r="AZ1275">
        <v>15031</v>
      </c>
      <c r="BA1275" t="s">
        <v>135</v>
      </c>
      <c r="BB1275" t="s">
        <v>136</v>
      </c>
      <c r="BC1275">
        <v>1995</v>
      </c>
      <c r="BD1275" t="s">
        <v>133</v>
      </c>
    </row>
    <row r="1276" spans="1:56" x14ac:dyDescent="0.35">
      <c r="A1276">
        <v>111159</v>
      </c>
      <c r="B1276" t="s">
        <v>1086</v>
      </c>
      <c r="D1276" t="s">
        <v>57</v>
      </c>
      <c r="E1276">
        <v>97</v>
      </c>
      <c r="F1276" t="s">
        <v>58</v>
      </c>
      <c r="G1276" t="s">
        <v>59</v>
      </c>
      <c r="H1276" t="s">
        <v>60</v>
      </c>
      <c r="J1276">
        <v>34</v>
      </c>
      <c r="K1276" t="s">
        <v>61</v>
      </c>
      <c r="L1276" t="s">
        <v>74</v>
      </c>
      <c r="M1276" t="s">
        <v>63</v>
      </c>
      <c r="N1276" t="s">
        <v>64</v>
      </c>
      <c r="P1276" t="s">
        <v>65</v>
      </c>
      <c r="R1276">
        <v>42.1</v>
      </c>
      <c r="T1276">
        <v>40.700000000000003</v>
      </c>
      <c r="V1276">
        <v>43.6</v>
      </c>
      <c r="W1276" t="s">
        <v>66</v>
      </c>
      <c r="X1276" t="s">
        <v>67</v>
      </c>
      <c r="Y1276" t="s">
        <v>67</v>
      </c>
      <c r="Z1276" t="s">
        <v>68</v>
      </c>
      <c r="AB1276">
        <v>4</v>
      </c>
      <c r="AC1276" t="s">
        <v>61</v>
      </c>
      <c r="AJ1276" t="s">
        <v>69</v>
      </c>
      <c r="AY1276" t="s">
        <v>141</v>
      </c>
      <c r="AZ1276">
        <v>12447</v>
      </c>
      <c r="BA1276" t="s">
        <v>142</v>
      </c>
      <c r="BB1276" t="s">
        <v>143</v>
      </c>
      <c r="BC1276">
        <v>1985</v>
      </c>
      <c r="BD1276" t="s">
        <v>73</v>
      </c>
    </row>
    <row r="1277" spans="1:56" x14ac:dyDescent="0.35">
      <c r="A1277">
        <v>111159</v>
      </c>
      <c r="B1277" t="s">
        <v>1086</v>
      </c>
      <c r="D1277" t="s">
        <v>57</v>
      </c>
      <c r="E1277">
        <v>99</v>
      </c>
      <c r="F1277" t="s">
        <v>58</v>
      </c>
      <c r="G1277" t="s">
        <v>59</v>
      </c>
      <c r="H1277" t="s">
        <v>60</v>
      </c>
      <c r="J1277" t="s">
        <v>86</v>
      </c>
      <c r="K1277" t="s">
        <v>61</v>
      </c>
      <c r="L1277" t="s">
        <v>74</v>
      </c>
      <c r="M1277" t="s">
        <v>63</v>
      </c>
      <c r="N1277" t="s">
        <v>64</v>
      </c>
      <c r="P1277" t="s">
        <v>65</v>
      </c>
      <c r="R1277">
        <v>42.2</v>
      </c>
      <c r="T1277">
        <v>40.700000000000003</v>
      </c>
      <c r="V1277">
        <v>43.6</v>
      </c>
      <c r="W1277" t="s">
        <v>66</v>
      </c>
      <c r="X1277" t="s">
        <v>67</v>
      </c>
      <c r="Y1277" t="s">
        <v>67</v>
      </c>
      <c r="Z1277" t="s">
        <v>68</v>
      </c>
      <c r="AB1277">
        <v>4</v>
      </c>
      <c r="AC1277" t="s">
        <v>61</v>
      </c>
      <c r="AJ1277" t="s">
        <v>69</v>
      </c>
      <c r="AY1277" t="s">
        <v>258</v>
      </c>
      <c r="AZ1277">
        <v>10954</v>
      </c>
      <c r="BA1277" t="s">
        <v>259</v>
      </c>
      <c r="BB1277" t="s">
        <v>260</v>
      </c>
      <c r="BC1277">
        <v>1984</v>
      </c>
      <c r="BD1277" t="s">
        <v>261</v>
      </c>
    </row>
    <row r="1278" spans="1:56" x14ac:dyDescent="0.35">
      <c r="A1278">
        <v>111251</v>
      </c>
      <c r="B1278" t="s">
        <v>1087</v>
      </c>
      <c r="D1278" t="s">
        <v>57</v>
      </c>
      <c r="E1278">
        <v>99</v>
      </c>
      <c r="F1278" t="s">
        <v>58</v>
      </c>
      <c r="G1278" t="s">
        <v>59</v>
      </c>
      <c r="H1278" t="s">
        <v>60</v>
      </c>
      <c r="J1278">
        <v>30</v>
      </c>
      <c r="K1278" t="s">
        <v>61</v>
      </c>
      <c r="L1278" t="s">
        <v>74</v>
      </c>
      <c r="M1278" t="s">
        <v>63</v>
      </c>
      <c r="N1278" t="s">
        <v>64</v>
      </c>
      <c r="P1278" t="s">
        <v>65</v>
      </c>
      <c r="R1278">
        <v>3.45</v>
      </c>
      <c r="W1278" t="s">
        <v>66</v>
      </c>
      <c r="X1278" t="s">
        <v>67</v>
      </c>
      <c r="Y1278" t="s">
        <v>67</v>
      </c>
      <c r="Z1278" t="s">
        <v>68</v>
      </c>
      <c r="AB1278">
        <v>4</v>
      </c>
      <c r="AC1278" t="s">
        <v>61</v>
      </c>
      <c r="AJ1278" t="s">
        <v>69</v>
      </c>
      <c r="AY1278" t="s">
        <v>80</v>
      </c>
      <c r="AZ1278">
        <v>12859</v>
      </c>
      <c r="BA1278" t="s">
        <v>81</v>
      </c>
      <c r="BB1278" t="s">
        <v>82</v>
      </c>
      <c r="BC1278">
        <v>1988</v>
      </c>
      <c r="BD1278" t="s">
        <v>73</v>
      </c>
    </row>
    <row r="1279" spans="1:56" x14ac:dyDescent="0.35">
      <c r="A1279">
        <v>111262</v>
      </c>
      <c r="B1279" t="s">
        <v>1088</v>
      </c>
      <c r="D1279" t="s">
        <v>57</v>
      </c>
      <c r="E1279">
        <v>99</v>
      </c>
      <c r="F1279" t="s">
        <v>58</v>
      </c>
      <c r="G1279" t="s">
        <v>59</v>
      </c>
      <c r="H1279" t="s">
        <v>60</v>
      </c>
      <c r="J1279">
        <v>30</v>
      </c>
      <c r="K1279" t="s">
        <v>61</v>
      </c>
      <c r="L1279" t="s">
        <v>74</v>
      </c>
      <c r="M1279" t="s">
        <v>63</v>
      </c>
      <c r="N1279" t="s">
        <v>64</v>
      </c>
      <c r="P1279" t="s">
        <v>65</v>
      </c>
      <c r="R1279">
        <v>56.6</v>
      </c>
      <c r="T1279">
        <v>53.8</v>
      </c>
      <c r="V1279">
        <v>59.6</v>
      </c>
      <c r="W1279" t="s">
        <v>66</v>
      </c>
      <c r="X1279" t="s">
        <v>67</v>
      </c>
      <c r="Y1279" t="s">
        <v>67</v>
      </c>
      <c r="Z1279" t="s">
        <v>68</v>
      </c>
      <c r="AB1279">
        <v>4</v>
      </c>
      <c r="AC1279" t="s">
        <v>61</v>
      </c>
      <c r="AJ1279" t="s">
        <v>69</v>
      </c>
      <c r="AY1279" t="s">
        <v>263</v>
      </c>
      <c r="AZ1279">
        <v>12858</v>
      </c>
      <c r="BA1279" t="s">
        <v>264</v>
      </c>
      <c r="BB1279" t="s">
        <v>265</v>
      </c>
      <c r="BC1279">
        <v>1986</v>
      </c>
      <c r="BD1279" t="s">
        <v>73</v>
      </c>
    </row>
    <row r="1280" spans="1:56" x14ac:dyDescent="0.35">
      <c r="A1280">
        <v>111262</v>
      </c>
      <c r="B1280" t="s">
        <v>1088</v>
      </c>
      <c r="D1280" t="s">
        <v>57</v>
      </c>
      <c r="E1280" t="s">
        <v>128</v>
      </c>
      <c r="F1280" t="s">
        <v>58</v>
      </c>
      <c r="G1280" t="s">
        <v>59</v>
      </c>
      <c r="H1280" t="s">
        <v>60</v>
      </c>
      <c r="I1280" t="s">
        <v>129</v>
      </c>
      <c r="J1280" t="s">
        <v>86</v>
      </c>
      <c r="K1280" t="s">
        <v>61</v>
      </c>
      <c r="L1280" t="s">
        <v>74</v>
      </c>
      <c r="M1280" t="s">
        <v>63</v>
      </c>
      <c r="N1280" t="s">
        <v>64</v>
      </c>
      <c r="P1280" t="s">
        <v>65</v>
      </c>
      <c r="R1280">
        <v>56.6</v>
      </c>
      <c r="W1280" t="s">
        <v>66</v>
      </c>
      <c r="X1280" t="s">
        <v>67</v>
      </c>
      <c r="Y1280" t="s">
        <v>67</v>
      </c>
      <c r="Z1280" t="s">
        <v>68</v>
      </c>
      <c r="AB1280">
        <v>4</v>
      </c>
      <c r="AC1280" t="s">
        <v>61</v>
      </c>
      <c r="AJ1280" t="s">
        <v>69</v>
      </c>
      <c r="AY1280" t="s">
        <v>134</v>
      </c>
      <c r="AZ1280">
        <v>15031</v>
      </c>
      <c r="BA1280" t="s">
        <v>135</v>
      </c>
      <c r="BB1280" t="s">
        <v>136</v>
      </c>
      <c r="BC1280">
        <v>1995</v>
      </c>
      <c r="BD1280" t="s">
        <v>133</v>
      </c>
    </row>
    <row r="1281" spans="1:56" x14ac:dyDescent="0.35">
      <c r="A1281">
        <v>111273</v>
      </c>
      <c r="B1281" t="s">
        <v>1089</v>
      </c>
      <c r="D1281" t="s">
        <v>57</v>
      </c>
      <c r="E1281">
        <v>99</v>
      </c>
      <c r="F1281" t="s">
        <v>58</v>
      </c>
      <c r="G1281" t="s">
        <v>59</v>
      </c>
      <c r="H1281" t="s">
        <v>60</v>
      </c>
      <c r="J1281">
        <v>28</v>
      </c>
      <c r="K1281" t="s">
        <v>61</v>
      </c>
      <c r="L1281" t="s">
        <v>74</v>
      </c>
      <c r="M1281" t="s">
        <v>63</v>
      </c>
      <c r="N1281" t="s">
        <v>64</v>
      </c>
      <c r="P1281" t="s">
        <v>65</v>
      </c>
      <c r="R1281">
        <v>97.7</v>
      </c>
      <c r="T1281">
        <v>89.7</v>
      </c>
      <c r="V1281">
        <v>106</v>
      </c>
      <c r="W1281" t="s">
        <v>66</v>
      </c>
      <c r="X1281" t="s">
        <v>67</v>
      </c>
      <c r="Y1281" t="s">
        <v>67</v>
      </c>
      <c r="Z1281" t="s">
        <v>68</v>
      </c>
      <c r="AB1281">
        <v>4</v>
      </c>
      <c r="AC1281" t="s">
        <v>61</v>
      </c>
      <c r="AJ1281" t="s">
        <v>69</v>
      </c>
      <c r="AY1281" t="s">
        <v>286</v>
      </c>
      <c r="AZ1281">
        <v>12448</v>
      </c>
      <c r="BA1281" t="s">
        <v>287</v>
      </c>
      <c r="BB1281" t="s">
        <v>288</v>
      </c>
      <c r="BC1281">
        <v>1984</v>
      </c>
      <c r="BD1281" t="s">
        <v>73</v>
      </c>
    </row>
    <row r="1282" spans="1:56" x14ac:dyDescent="0.35">
      <c r="A1282">
        <v>111273</v>
      </c>
      <c r="B1282" t="s">
        <v>1089</v>
      </c>
      <c r="E1282" t="s">
        <v>86</v>
      </c>
      <c r="F1282" t="s">
        <v>58</v>
      </c>
      <c r="G1282" t="s">
        <v>59</v>
      </c>
      <c r="H1282" t="s">
        <v>60</v>
      </c>
      <c r="I1282" t="s">
        <v>129</v>
      </c>
      <c r="J1282" t="s">
        <v>86</v>
      </c>
      <c r="K1282" t="s">
        <v>61</v>
      </c>
      <c r="L1282" t="s">
        <v>74</v>
      </c>
      <c r="M1282" t="s">
        <v>63</v>
      </c>
      <c r="N1282" t="s">
        <v>64</v>
      </c>
      <c r="P1282" t="s">
        <v>100</v>
      </c>
      <c r="R1282">
        <v>117</v>
      </c>
      <c r="T1282">
        <v>112</v>
      </c>
      <c r="V1282">
        <v>123</v>
      </c>
      <c r="W1282" t="s">
        <v>66</v>
      </c>
      <c r="X1282" t="s">
        <v>67</v>
      </c>
      <c r="Y1282" t="s">
        <v>67</v>
      </c>
      <c r="Z1282" t="s">
        <v>68</v>
      </c>
      <c r="AB1282">
        <v>4</v>
      </c>
      <c r="AC1282" t="s">
        <v>61</v>
      </c>
      <c r="AJ1282" t="s">
        <v>69</v>
      </c>
      <c r="AY1282" t="s">
        <v>422</v>
      </c>
      <c r="AZ1282">
        <v>14128</v>
      </c>
      <c r="BA1282" t="s">
        <v>423</v>
      </c>
      <c r="BB1282" t="s">
        <v>424</v>
      </c>
      <c r="BC1282">
        <v>1985</v>
      </c>
      <c r="BD1282" t="s">
        <v>833</v>
      </c>
    </row>
    <row r="1283" spans="1:56" x14ac:dyDescent="0.35">
      <c r="A1283">
        <v>111273</v>
      </c>
      <c r="B1283" t="s">
        <v>1089</v>
      </c>
      <c r="E1283" t="s">
        <v>86</v>
      </c>
      <c r="F1283" t="s">
        <v>58</v>
      </c>
      <c r="G1283" t="s">
        <v>59</v>
      </c>
      <c r="H1283" t="s">
        <v>60</v>
      </c>
      <c r="I1283" t="s">
        <v>177</v>
      </c>
      <c r="J1283" t="s">
        <v>289</v>
      </c>
      <c r="K1283" t="s">
        <v>184</v>
      </c>
      <c r="L1283" t="s">
        <v>74</v>
      </c>
      <c r="M1283" t="s">
        <v>63</v>
      </c>
      <c r="N1283" t="s">
        <v>64</v>
      </c>
      <c r="P1283" t="s">
        <v>100</v>
      </c>
      <c r="R1283">
        <v>126</v>
      </c>
      <c r="T1283">
        <v>114</v>
      </c>
      <c r="V1283">
        <v>140</v>
      </c>
      <c r="W1283" t="s">
        <v>66</v>
      </c>
      <c r="X1283" t="s">
        <v>67</v>
      </c>
      <c r="Y1283" t="s">
        <v>67</v>
      </c>
      <c r="Z1283" t="s">
        <v>68</v>
      </c>
      <c r="AB1283">
        <v>4</v>
      </c>
      <c r="AC1283" t="s">
        <v>61</v>
      </c>
      <c r="AJ1283" t="s">
        <v>69</v>
      </c>
      <c r="AY1283" t="s">
        <v>422</v>
      </c>
      <c r="AZ1283">
        <v>14128</v>
      </c>
      <c r="BA1283" t="s">
        <v>423</v>
      </c>
      <c r="BB1283" t="s">
        <v>424</v>
      </c>
      <c r="BC1283">
        <v>1985</v>
      </c>
      <c r="BD1283" t="s">
        <v>185</v>
      </c>
    </row>
    <row r="1284" spans="1:56" x14ac:dyDescent="0.35">
      <c r="A1284">
        <v>111308</v>
      </c>
      <c r="B1284" t="s">
        <v>1090</v>
      </c>
      <c r="E1284">
        <v>100</v>
      </c>
      <c r="F1284" t="s">
        <v>58</v>
      </c>
      <c r="G1284" t="s">
        <v>59</v>
      </c>
      <c r="H1284" t="s">
        <v>60</v>
      </c>
      <c r="J1284" t="s">
        <v>86</v>
      </c>
      <c r="L1284" t="s">
        <v>62</v>
      </c>
      <c r="M1284" t="s">
        <v>63</v>
      </c>
      <c r="N1284" t="s">
        <v>64</v>
      </c>
      <c r="P1284" t="s">
        <v>65</v>
      </c>
      <c r="R1284">
        <v>11.6</v>
      </c>
      <c r="T1284">
        <v>7.2</v>
      </c>
      <c r="V1284">
        <v>22</v>
      </c>
      <c r="W1284" t="s">
        <v>66</v>
      </c>
      <c r="X1284" t="s">
        <v>67</v>
      </c>
      <c r="Y1284" t="s">
        <v>67</v>
      </c>
      <c r="Z1284" t="s">
        <v>68</v>
      </c>
      <c r="AB1284">
        <v>4</v>
      </c>
      <c r="AC1284" t="s">
        <v>61</v>
      </c>
      <c r="AJ1284" t="s">
        <v>69</v>
      </c>
      <c r="AY1284" t="s">
        <v>116</v>
      </c>
      <c r="AZ1284">
        <v>344</v>
      </c>
      <c r="BA1284" t="s">
        <v>117</v>
      </c>
      <c r="BB1284" t="s">
        <v>118</v>
      </c>
      <c r="BC1284">
        <v>1992</v>
      </c>
      <c r="BD1284" t="s">
        <v>90</v>
      </c>
    </row>
    <row r="1285" spans="1:56" x14ac:dyDescent="0.35">
      <c r="A1285">
        <v>111308</v>
      </c>
      <c r="B1285" t="s">
        <v>1090</v>
      </c>
      <c r="E1285">
        <v>50</v>
      </c>
      <c r="F1285" t="s">
        <v>58</v>
      </c>
      <c r="G1285" t="s">
        <v>59</v>
      </c>
      <c r="H1285" t="s">
        <v>60</v>
      </c>
      <c r="J1285" t="s">
        <v>86</v>
      </c>
      <c r="L1285" t="s">
        <v>62</v>
      </c>
      <c r="M1285" t="s">
        <v>63</v>
      </c>
      <c r="N1285" t="s">
        <v>64</v>
      </c>
      <c r="P1285" t="s">
        <v>100</v>
      </c>
      <c r="R1285">
        <v>5.4</v>
      </c>
      <c r="W1285" t="s">
        <v>66</v>
      </c>
      <c r="X1285" t="s">
        <v>67</v>
      </c>
      <c r="Y1285" t="s">
        <v>67</v>
      </c>
      <c r="Z1285" t="s">
        <v>68</v>
      </c>
      <c r="AB1285">
        <v>4</v>
      </c>
      <c r="AC1285" t="s">
        <v>61</v>
      </c>
      <c r="AJ1285" t="s">
        <v>69</v>
      </c>
      <c r="AY1285" t="s">
        <v>116</v>
      </c>
      <c r="AZ1285">
        <v>344</v>
      </c>
      <c r="BA1285" t="s">
        <v>117</v>
      </c>
      <c r="BB1285" t="s">
        <v>118</v>
      </c>
      <c r="BC1285">
        <v>1992</v>
      </c>
      <c r="BD1285" t="s">
        <v>90</v>
      </c>
    </row>
    <row r="1286" spans="1:56" x14ac:dyDescent="0.35">
      <c r="A1286">
        <v>111319</v>
      </c>
      <c r="B1286" t="s">
        <v>1091</v>
      </c>
      <c r="D1286" t="s">
        <v>57</v>
      </c>
      <c r="E1286">
        <v>95</v>
      </c>
      <c r="F1286" t="s">
        <v>58</v>
      </c>
      <c r="G1286" t="s">
        <v>59</v>
      </c>
      <c r="H1286" t="s">
        <v>60</v>
      </c>
      <c r="I1286" t="s">
        <v>129</v>
      </c>
      <c r="J1286">
        <v>33</v>
      </c>
      <c r="K1286" t="s">
        <v>61</v>
      </c>
      <c r="L1286" t="s">
        <v>74</v>
      </c>
      <c r="M1286" t="s">
        <v>63</v>
      </c>
      <c r="N1286" t="s">
        <v>64</v>
      </c>
      <c r="O1286">
        <v>6</v>
      </c>
      <c r="P1286" t="s">
        <v>65</v>
      </c>
      <c r="R1286">
        <v>0.4</v>
      </c>
      <c r="W1286" t="s">
        <v>66</v>
      </c>
      <c r="X1286" t="s">
        <v>67</v>
      </c>
      <c r="Y1286" t="s">
        <v>67</v>
      </c>
      <c r="Z1286" t="s">
        <v>68</v>
      </c>
      <c r="AB1286">
        <v>4</v>
      </c>
      <c r="AC1286" t="s">
        <v>61</v>
      </c>
      <c r="AJ1286" t="s">
        <v>69</v>
      </c>
      <c r="AY1286" t="s">
        <v>223</v>
      </c>
      <c r="AZ1286">
        <v>164628</v>
      </c>
      <c r="BA1286" t="s">
        <v>224</v>
      </c>
      <c r="BB1286" t="s">
        <v>225</v>
      </c>
      <c r="BC1286">
        <v>1990</v>
      </c>
      <c r="BD1286" t="s">
        <v>73</v>
      </c>
    </row>
    <row r="1287" spans="1:56" x14ac:dyDescent="0.35">
      <c r="A1287">
        <v>111422</v>
      </c>
      <c r="B1287" t="s">
        <v>1092</v>
      </c>
      <c r="D1287" t="s">
        <v>85</v>
      </c>
      <c r="E1287" t="s">
        <v>86</v>
      </c>
      <c r="F1287" t="s">
        <v>58</v>
      </c>
      <c r="G1287" t="s">
        <v>59</v>
      </c>
      <c r="H1287" t="s">
        <v>60</v>
      </c>
      <c r="I1287" t="s">
        <v>129</v>
      </c>
      <c r="J1287" t="s">
        <v>86</v>
      </c>
      <c r="K1287" t="s">
        <v>61</v>
      </c>
      <c r="L1287" t="s">
        <v>62</v>
      </c>
      <c r="M1287" t="s">
        <v>63</v>
      </c>
      <c r="N1287" t="s">
        <v>64</v>
      </c>
      <c r="P1287" t="s">
        <v>100</v>
      </c>
      <c r="R1287">
        <v>1550</v>
      </c>
      <c r="T1287">
        <v>1300</v>
      </c>
      <c r="V1287">
        <v>1990</v>
      </c>
      <c r="W1287" t="s">
        <v>66</v>
      </c>
      <c r="X1287" t="s">
        <v>67</v>
      </c>
      <c r="Y1287" t="s">
        <v>67</v>
      </c>
      <c r="Z1287" t="s">
        <v>68</v>
      </c>
      <c r="AB1287">
        <v>4</v>
      </c>
      <c r="AC1287" t="s">
        <v>61</v>
      </c>
      <c r="AJ1287" t="s">
        <v>69</v>
      </c>
      <c r="AY1287" t="s">
        <v>394</v>
      </c>
      <c r="AZ1287">
        <v>10432</v>
      </c>
      <c r="BA1287" t="s">
        <v>395</v>
      </c>
      <c r="BB1287" t="s">
        <v>396</v>
      </c>
      <c r="BC1287">
        <v>1983</v>
      </c>
      <c r="BD1287" t="s">
        <v>127</v>
      </c>
    </row>
    <row r="1288" spans="1:56" x14ac:dyDescent="0.35">
      <c r="A1288">
        <v>111422</v>
      </c>
      <c r="B1288" t="s">
        <v>1092</v>
      </c>
      <c r="C1288" t="s">
        <v>195</v>
      </c>
      <c r="D1288" t="s">
        <v>57</v>
      </c>
      <c r="E1288" t="s">
        <v>86</v>
      </c>
      <c r="F1288" t="s">
        <v>58</v>
      </c>
      <c r="G1288" t="s">
        <v>59</v>
      </c>
      <c r="H1288" t="s">
        <v>60</v>
      </c>
      <c r="I1288" t="s">
        <v>392</v>
      </c>
      <c r="J1288" t="s">
        <v>86</v>
      </c>
      <c r="K1288" t="s">
        <v>61</v>
      </c>
      <c r="L1288" t="s">
        <v>62</v>
      </c>
      <c r="M1288" t="s">
        <v>63</v>
      </c>
      <c r="N1288" t="s">
        <v>64</v>
      </c>
      <c r="O1288" t="s">
        <v>381</v>
      </c>
      <c r="P1288" t="s">
        <v>65</v>
      </c>
      <c r="R1288">
        <v>1370</v>
      </c>
      <c r="T1288">
        <v>1200</v>
      </c>
      <c r="V1288">
        <v>1580</v>
      </c>
      <c r="W1288" t="s">
        <v>66</v>
      </c>
      <c r="X1288" t="s">
        <v>67</v>
      </c>
      <c r="Y1288" t="s">
        <v>67</v>
      </c>
      <c r="Z1288" t="s">
        <v>68</v>
      </c>
      <c r="AB1288">
        <v>4</v>
      </c>
      <c r="AC1288" t="s">
        <v>61</v>
      </c>
      <c r="AJ1288" t="s">
        <v>69</v>
      </c>
      <c r="AY1288" t="s">
        <v>382</v>
      </c>
      <c r="AZ1288">
        <v>163462</v>
      </c>
      <c r="BA1288" t="s">
        <v>383</v>
      </c>
      <c r="BB1288" t="s">
        <v>384</v>
      </c>
      <c r="BC1288">
        <v>1987</v>
      </c>
      <c r="BD1288" t="s">
        <v>393</v>
      </c>
    </row>
    <row r="1289" spans="1:56" x14ac:dyDescent="0.35">
      <c r="A1289">
        <v>111422</v>
      </c>
      <c r="B1289" t="s">
        <v>1092</v>
      </c>
      <c r="C1289" t="s">
        <v>195</v>
      </c>
      <c r="D1289" t="s">
        <v>57</v>
      </c>
      <c r="E1289" t="s">
        <v>86</v>
      </c>
      <c r="F1289" t="s">
        <v>58</v>
      </c>
      <c r="G1289" t="s">
        <v>59</v>
      </c>
      <c r="H1289" t="s">
        <v>60</v>
      </c>
      <c r="I1289" t="s">
        <v>129</v>
      </c>
      <c r="J1289" t="s">
        <v>86</v>
      </c>
      <c r="K1289" t="s">
        <v>61</v>
      </c>
      <c r="L1289" t="s">
        <v>62</v>
      </c>
      <c r="M1289" t="s">
        <v>63</v>
      </c>
      <c r="N1289" t="s">
        <v>64</v>
      </c>
      <c r="O1289" t="s">
        <v>381</v>
      </c>
      <c r="P1289" t="s">
        <v>65</v>
      </c>
      <c r="R1289">
        <v>1550</v>
      </c>
      <c r="T1289">
        <v>1300</v>
      </c>
      <c r="V1289">
        <v>1990</v>
      </c>
      <c r="W1289" t="s">
        <v>66</v>
      </c>
      <c r="X1289" t="s">
        <v>67</v>
      </c>
      <c r="Y1289" t="s">
        <v>67</v>
      </c>
      <c r="Z1289" t="s">
        <v>68</v>
      </c>
      <c r="AB1289">
        <v>4</v>
      </c>
      <c r="AC1289" t="s">
        <v>61</v>
      </c>
      <c r="AJ1289" t="s">
        <v>69</v>
      </c>
      <c r="AY1289" t="s">
        <v>382</v>
      </c>
      <c r="AZ1289">
        <v>163462</v>
      </c>
      <c r="BA1289" t="s">
        <v>383</v>
      </c>
      <c r="BB1289" t="s">
        <v>384</v>
      </c>
      <c r="BC1289">
        <v>1987</v>
      </c>
      <c r="BD1289" t="s">
        <v>127</v>
      </c>
    </row>
    <row r="1290" spans="1:56" x14ac:dyDescent="0.35">
      <c r="A1290">
        <v>111422</v>
      </c>
      <c r="B1290" t="s">
        <v>1092</v>
      </c>
      <c r="D1290" t="s">
        <v>85</v>
      </c>
      <c r="E1290" t="s">
        <v>86</v>
      </c>
      <c r="F1290" t="s">
        <v>58</v>
      </c>
      <c r="G1290" t="s">
        <v>59</v>
      </c>
      <c r="H1290" t="s">
        <v>60</v>
      </c>
      <c r="I1290" t="s">
        <v>177</v>
      </c>
      <c r="J1290" t="s">
        <v>86</v>
      </c>
      <c r="K1290" t="s">
        <v>61</v>
      </c>
      <c r="L1290" t="s">
        <v>62</v>
      </c>
      <c r="M1290" t="s">
        <v>63</v>
      </c>
      <c r="N1290" t="s">
        <v>64</v>
      </c>
      <c r="P1290" t="s">
        <v>100</v>
      </c>
      <c r="R1290">
        <v>1480</v>
      </c>
      <c r="T1290">
        <v>1360</v>
      </c>
      <c r="V1290">
        <v>1630</v>
      </c>
      <c r="W1290" t="s">
        <v>66</v>
      </c>
      <c r="X1290" t="s">
        <v>67</v>
      </c>
      <c r="Y1290" t="s">
        <v>67</v>
      </c>
      <c r="Z1290" t="s">
        <v>68</v>
      </c>
      <c r="AB1290">
        <v>4</v>
      </c>
      <c r="AC1290" t="s">
        <v>61</v>
      </c>
      <c r="AJ1290" t="s">
        <v>69</v>
      </c>
      <c r="AY1290" t="s">
        <v>394</v>
      </c>
      <c r="AZ1290">
        <v>10432</v>
      </c>
      <c r="BA1290" t="s">
        <v>395</v>
      </c>
      <c r="BB1290" t="s">
        <v>396</v>
      </c>
      <c r="BC1290">
        <v>1983</v>
      </c>
      <c r="BD1290" t="s">
        <v>385</v>
      </c>
    </row>
    <row r="1291" spans="1:56" x14ac:dyDescent="0.35">
      <c r="A1291">
        <v>111422</v>
      </c>
      <c r="B1291" t="s">
        <v>1092</v>
      </c>
      <c r="C1291" t="s">
        <v>195</v>
      </c>
      <c r="D1291" t="s">
        <v>85</v>
      </c>
      <c r="E1291" t="s">
        <v>86</v>
      </c>
      <c r="F1291" t="s">
        <v>58</v>
      </c>
      <c r="G1291" t="s">
        <v>59</v>
      </c>
      <c r="H1291" t="s">
        <v>60</v>
      </c>
      <c r="I1291" t="s">
        <v>129</v>
      </c>
      <c r="J1291" t="s">
        <v>86</v>
      </c>
      <c r="L1291" t="s">
        <v>62</v>
      </c>
      <c r="M1291" t="s">
        <v>63</v>
      </c>
      <c r="N1291" t="s">
        <v>64</v>
      </c>
      <c r="O1291">
        <v>5</v>
      </c>
      <c r="P1291" t="s">
        <v>65</v>
      </c>
      <c r="Q1291" t="s">
        <v>153</v>
      </c>
      <c r="R1291">
        <v>100</v>
      </c>
      <c r="W1291" t="s">
        <v>66</v>
      </c>
      <c r="X1291" t="s">
        <v>67</v>
      </c>
      <c r="Y1291" t="s">
        <v>67</v>
      </c>
      <c r="Z1291" t="s">
        <v>68</v>
      </c>
      <c r="AB1291">
        <v>4</v>
      </c>
      <c r="AC1291" t="s">
        <v>61</v>
      </c>
      <c r="AJ1291" t="s">
        <v>69</v>
      </c>
      <c r="AY1291" t="s">
        <v>298</v>
      </c>
      <c r="AZ1291">
        <v>11951</v>
      </c>
      <c r="BA1291" t="s">
        <v>299</v>
      </c>
      <c r="BB1291" t="s">
        <v>300</v>
      </c>
      <c r="BC1291">
        <v>1986</v>
      </c>
      <c r="BD1291" t="s">
        <v>90</v>
      </c>
    </row>
    <row r="1292" spans="1:56" x14ac:dyDescent="0.35">
      <c r="A1292">
        <v>111422</v>
      </c>
      <c r="B1292" t="s">
        <v>1092</v>
      </c>
      <c r="D1292" t="s">
        <v>57</v>
      </c>
      <c r="E1292">
        <v>97</v>
      </c>
      <c r="F1292" t="s">
        <v>58</v>
      </c>
      <c r="G1292" t="s">
        <v>59</v>
      </c>
      <c r="H1292" t="s">
        <v>60</v>
      </c>
      <c r="J1292">
        <v>31</v>
      </c>
      <c r="K1292" t="s">
        <v>61</v>
      </c>
      <c r="L1292" t="s">
        <v>74</v>
      </c>
      <c r="M1292" t="s">
        <v>63</v>
      </c>
      <c r="N1292" t="s">
        <v>64</v>
      </c>
      <c r="P1292" t="s">
        <v>65</v>
      </c>
      <c r="R1292">
        <v>4710</v>
      </c>
      <c r="T1292">
        <v>4460</v>
      </c>
      <c r="V1292">
        <v>4980</v>
      </c>
      <c r="W1292" t="s">
        <v>66</v>
      </c>
      <c r="X1292" t="s">
        <v>67</v>
      </c>
      <c r="Y1292" t="s">
        <v>67</v>
      </c>
      <c r="Z1292" t="s">
        <v>68</v>
      </c>
      <c r="AB1292">
        <v>4</v>
      </c>
      <c r="AC1292" t="s">
        <v>61</v>
      </c>
      <c r="AJ1292" t="s">
        <v>69</v>
      </c>
      <c r="AY1292" t="s">
        <v>75</v>
      </c>
      <c r="AZ1292">
        <v>3217</v>
      </c>
      <c r="BA1292" t="s">
        <v>76</v>
      </c>
      <c r="BB1292" t="s">
        <v>77</v>
      </c>
      <c r="BC1292">
        <v>1990</v>
      </c>
      <c r="BD1292" t="s">
        <v>73</v>
      </c>
    </row>
    <row r="1293" spans="1:56" x14ac:dyDescent="0.35">
      <c r="A1293">
        <v>111422</v>
      </c>
      <c r="B1293" t="s">
        <v>1092</v>
      </c>
      <c r="C1293" t="s">
        <v>195</v>
      </c>
      <c r="D1293" t="s">
        <v>85</v>
      </c>
      <c r="E1293" t="s">
        <v>86</v>
      </c>
      <c r="F1293" t="s">
        <v>58</v>
      </c>
      <c r="G1293" t="s">
        <v>59</v>
      </c>
      <c r="H1293" t="s">
        <v>60</v>
      </c>
      <c r="I1293" t="s">
        <v>129</v>
      </c>
      <c r="J1293" t="s">
        <v>86</v>
      </c>
      <c r="L1293" t="s">
        <v>62</v>
      </c>
      <c r="M1293" t="s">
        <v>63</v>
      </c>
      <c r="N1293" t="s">
        <v>64</v>
      </c>
      <c r="O1293">
        <v>5</v>
      </c>
      <c r="P1293" t="s">
        <v>65</v>
      </c>
      <c r="Q1293" t="s">
        <v>1093</v>
      </c>
      <c r="R1293">
        <v>100</v>
      </c>
      <c r="W1293" t="s">
        <v>66</v>
      </c>
      <c r="X1293" t="s">
        <v>67</v>
      </c>
      <c r="Y1293" t="s">
        <v>67</v>
      </c>
      <c r="Z1293" t="s">
        <v>68</v>
      </c>
      <c r="AB1293">
        <v>4</v>
      </c>
      <c r="AC1293" t="s">
        <v>61</v>
      </c>
      <c r="AJ1293" t="s">
        <v>69</v>
      </c>
      <c r="AY1293" t="s">
        <v>298</v>
      </c>
      <c r="AZ1293">
        <v>11951</v>
      </c>
      <c r="BA1293" t="s">
        <v>299</v>
      </c>
      <c r="BB1293" t="s">
        <v>300</v>
      </c>
      <c r="BC1293">
        <v>1986</v>
      </c>
      <c r="BD1293" t="s">
        <v>90</v>
      </c>
    </row>
    <row r="1294" spans="1:56" x14ac:dyDescent="0.35">
      <c r="A1294">
        <v>111422</v>
      </c>
      <c r="B1294" t="s">
        <v>1092</v>
      </c>
      <c r="D1294" t="s">
        <v>85</v>
      </c>
      <c r="E1294" t="s">
        <v>86</v>
      </c>
      <c r="F1294" t="s">
        <v>58</v>
      </c>
      <c r="G1294" t="s">
        <v>59</v>
      </c>
      <c r="H1294" t="s">
        <v>60</v>
      </c>
      <c r="I1294" t="s">
        <v>397</v>
      </c>
      <c r="J1294" t="s">
        <v>86</v>
      </c>
      <c r="K1294" t="s">
        <v>61</v>
      </c>
      <c r="L1294" t="s">
        <v>62</v>
      </c>
      <c r="M1294" t="s">
        <v>63</v>
      </c>
      <c r="N1294" t="s">
        <v>64</v>
      </c>
      <c r="P1294" t="s">
        <v>100</v>
      </c>
      <c r="R1294">
        <v>1370</v>
      </c>
      <c r="T1294">
        <v>1200</v>
      </c>
      <c r="V1294">
        <v>1580</v>
      </c>
      <c r="W1294" t="s">
        <v>66</v>
      </c>
      <c r="X1294" t="s">
        <v>67</v>
      </c>
      <c r="Y1294" t="s">
        <v>67</v>
      </c>
      <c r="Z1294" t="s">
        <v>68</v>
      </c>
      <c r="AB1294">
        <v>4</v>
      </c>
      <c r="AC1294" t="s">
        <v>61</v>
      </c>
      <c r="AJ1294" t="s">
        <v>69</v>
      </c>
      <c r="AY1294" t="s">
        <v>394</v>
      </c>
      <c r="AZ1294">
        <v>10432</v>
      </c>
      <c r="BA1294" t="s">
        <v>395</v>
      </c>
      <c r="BB1294" t="s">
        <v>396</v>
      </c>
      <c r="BC1294">
        <v>1983</v>
      </c>
      <c r="BD1294" t="s">
        <v>398</v>
      </c>
    </row>
    <row r="1295" spans="1:56" x14ac:dyDescent="0.35">
      <c r="A1295">
        <v>111422</v>
      </c>
      <c r="B1295" t="s">
        <v>1092</v>
      </c>
      <c r="D1295" t="s">
        <v>85</v>
      </c>
      <c r="E1295" t="s">
        <v>86</v>
      </c>
      <c r="F1295" t="s">
        <v>58</v>
      </c>
      <c r="G1295" t="s">
        <v>59</v>
      </c>
      <c r="H1295" t="s">
        <v>60</v>
      </c>
      <c r="J1295" t="s">
        <v>86</v>
      </c>
      <c r="L1295" t="s">
        <v>62</v>
      </c>
      <c r="M1295" t="s">
        <v>63</v>
      </c>
      <c r="N1295" t="s">
        <v>64</v>
      </c>
      <c r="O1295">
        <v>4</v>
      </c>
      <c r="P1295" t="s">
        <v>100</v>
      </c>
      <c r="Q1295" t="s">
        <v>153</v>
      </c>
      <c r="R1295">
        <v>100</v>
      </c>
      <c r="W1295" t="s">
        <v>66</v>
      </c>
      <c r="X1295" t="s">
        <v>67</v>
      </c>
      <c r="Y1295" t="s">
        <v>67</v>
      </c>
      <c r="Z1295" t="s">
        <v>68</v>
      </c>
      <c r="AB1295">
        <v>4</v>
      </c>
      <c r="AC1295" t="s">
        <v>61</v>
      </c>
      <c r="AJ1295" t="s">
        <v>69</v>
      </c>
      <c r="AY1295" t="s">
        <v>173</v>
      </c>
      <c r="AZ1295">
        <v>167113</v>
      </c>
      <c r="BA1295" t="s">
        <v>174</v>
      </c>
      <c r="BB1295" t="s">
        <v>175</v>
      </c>
      <c r="BC1295">
        <v>1974</v>
      </c>
      <c r="BD1295" t="s">
        <v>90</v>
      </c>
    </row>
    <row r="1296" spans="1:56" x14ac:dyDescent="0.35">
      <c r="A1296">
        <v>111422</v>
      </c>
      <c r="B1296" t="s">
        <v>1092</v>
      </c>
      <c r="C1296" t="s">
        <v>195</v>
      </c>
      <c r="D1296" t="s">
        <v>57</v>
      </c>
      <c r="E1296" t="s">
        <v>86</v>
      </c>
      <c r="F1296" t="s">
        <v>58</v>
      </c>
      <c r="G1296" t="s">
        <v>59</v>
      </c>
      <c r="H1296" t="s">
        <v>60</v>
      </c>
      <c r="I1296" t="s">
        <v>177</v>
      </c>
      <c r="J1296" t="s">
        <v>86</v>
      </c>
      <c r="K1296" t="s">
        <v>61</v>
      </c>
      <c r="L1296" t="s">
        <v>62</v>
      </c>
      <c r="M1296" t="s">
        <v>63</v>
      </c>
      <c r="N1296" t="s">
        <v>64</v>
      </c>
      <c r="O1296" t="s">
        <v>381</v>
      </c>
      <c r="P1296" t="s">
        <v>65</v>
      </c>
      <c r="R1296">
        <v>1480</v>
      </c>
      <c r="T1296">
        <v>1360</v>
      </c>
      <c r="V1296">
        <v>1630</v>
      </c>
      <c r="W1296" t="s">
        <v>66</v>
      </c>
      <c r="X1296" t="s">
        <v>67</v>
      </c>
      <c r="Y1296" t="s">
        <v>67</v>
      </c>
      <c r="Z1296" t="s">
        <v>68</v>
      </c>
      <c r="AB1296">
        <v>4</v>
      </c>
      <c r="AC1296" t="s">
        <v>61</v>
      </c>
      <c r="AJ1296" t="s">
        <v>69</v>
      </c>
      <c r="AY1296" t="s">
        <v>382</v>
      </c>
      <c r="AZ1296">
        <v>163462</v>
      </c>
      <c r="BA1296" t="s">
        <v>383</v>
      </c>
      <c r="BB1296" t="s">
        <v>384</v>
      </c>
      <c r="BC1296">
        <v>1987</v>
      </c>
      <c r="BD1296" t="s">
        <v>385</v>
      </c>
    </row>
    <row r="1297" spans="1:56" x14ac:dyDescent="0.35">
      <c r="A1297">
        <v>111466</v>
      </c>
      <c r="B1297" t="s">
        <v>1094</v>
      </c>
      <c r="D1297" t="s">
        <v>85</v>
      </c>
      <c r="E1297" t="s">
        <v>86</v>
      </c>
      <c r="F1297" t="s">
        <v>58</v>
      </c>
      <c r="G1297" t="s">
        <v>59</v>
      </c>
      <c r="H1297" t="s">
        <v>60</v>
      </c>
      <c r="J1297" t="s">
        <v>86</v>
      </c>
      <c r="L1297" t="s">
        <v>62</v>
      </c>
      <c r="M1297" t="s">
        <v>63</v>
      </c>
      <c r="N1297" t="s">
        <v>64</v>
      </c>
      <c r="O1297">
        <v>4</v>
      </c>
      <c r="P1297" t="s">
        <v>100</v>
      </c>
      <c r="Q1297" t="s">
        <v>153</v>
      </c>
      <c r="R1297">
        <v>100</v>
      </c>
      <c r="W1297" t="s">
        <v>66</v>
      </c>
      <c r="X1297" t="s">
        <v>67</v>
      </c>
      <c r="Y1297" t="s">
        <v>67</v>
      </c>
      <c r="Z1297" t="s">
        <v>68</v>
      </c>
      <c r="AB1297">
        <v>4</v>
      </c>
      <c r="AC1297" t="s">
        <v>61</v>
      </c>
      <c r="AJ1297" t="s">
        <v>69</v>
      </c>
      <c r="AY1297" t="s">
        <v>173</v>
      </c>
      <c r="AZ1297">
        <v>167113</v>
      </c>
      <c r="BA1297" t="s">
        <v>174</v>
      </c>
      <c r="BB1297" t="s">
        <v>175</v>
      </c>
      <c r="BC1297">
        <v>1974</v>
      </c>
      <c r="BD1297" t="s">
        <v>90</v>
      </c>
    </row>
    <row r="1298" spans="1:56" x14ac:dyDescent="0.35">
      <c r="A1298">
        <v>111466</v>
      </c>
      <c r="B1298" t="s">
        <v>1094</v>
      </c>
      <c r="D1298" t="s">
        <v>57</v>
      </c>
      <c r="E1298">
        <v>99</v>
      </c>
      <c r="F1298" t="s">
        <v>58</v>
      </c>
      <c r="G1298" t="s">
        <v>59</v>
      </c>
      <c r="H1298" t="s">
        <v>60</v>
      </c>
      <c r="J1298">
        <v>34</v>
      </c>
      <c r="K1298" t="s">
        <v>61</v>
      </c>
      <c r="L1298" t="s">
        <v>74</v>
      </c>
      <c r="M1298" t="s">
        <v>63</v>
      </c>
      <c r="N1298" t="s">
        <v>64</v>
      </c>
      <c r="P1298" t="s">
        <v>65</v>
      </c>
      <c r="R1298">
        <v>75200</v>
      </c>
      <c r="W1298" t="s">
        <v>66</v>
      </c>
      <c r="X1298" t="s">
        <v>67</v>
      </c>
      <c r="Y1298" t="s">
        <v>67</v>
      </c>
      <c r="Z1298" t="s">
        <v>68</v>
      </c>
      <c r="AB1298">
        <v>4</v>
      </c>
      <c r="AC1298" t="s">
        <v>61</v>
      </c>
      <c r="AJ1298" t="s">
        <v>69</v>
      </c>
      <c r="AY1298" t="s">
        <v>75</v>
      </c>
      <c r="AZ1298">
        <v>3217</v>
      </c>
      <c r="BA1298" t="s">
        <v>76</v>
      </c>
      <c r="BB1298" t="s">
        <v>77</v>
      </c>
      <c r="BC1298">
        <v>1990</v>
      </c>
      <c r="BD1298" t="s">
        <v>73</v>
      </c>
    </row>
    <row r="1299" spans="1:56" x14ac:dyDescent="0.35">
      <c r="A1299">
        <v>111477</v>
      </c>
      <c r="B1299" t="s">
        <v>1095</v>
      </c>
      <c r="D1299" t="s">
        <v>57</v>
      </c>
      <c r="E1299">
        <v>99</v>
      </c>
      <c r="F1299" t="s">
        <v>58</v>
      </c>
      <c r="G1299" t="s">
        <v>59</v>
      </c>
      <c r="H1299" t="s">
        <v>60</v>
      </c>
      <c r="J1299">
        <v>33</v>
      </c>
      <c r="K1299" t="s">
        <v>61</v>
      </c>
      <c r="L1299" t="s">
        <v>74</v>
      </c>
      <c r="M1299" t="s">
        <v>63</v>
      </c>
      <c r="N1299" t="s">
        <v>64</v>
      </c>
      <c r="P1299" t="s">
        <v>65</v>
      </c>
      <c r="R1299">
        <v>21.7</v>
      </c>
      <c r="W1299" t="s">
        <v>66</v>
      </c>
      <c r="X1299" t="s">
        <v>67</v>
      </c>
      <c r="Y1299" t="s">
        <v>67</v>
      </c>
      <c r="Z1299" t="s">
        <v>68</v>
      </c>
      <c r="AB1299">
        <v>4</v>
      </c>
      <c r="AC1299" t="s">
        <v>61</v>
      </c>
      <c r="AJ1299" t="s">
        <v>69</v>
      </c>
      <c r="AY1299" t="s">
        <v>286</v>
      </c>
      <c r="AZ1299">
        <v>12448</v>
      </c>
      <c r="BA1299" t="s">
        <v>287</v>
      </c>
      <c r="BB1299" t="s">
        <v>288</v>
      </c>
      <c r="BC1299">
        <v>1984</v>
      </c>
      <c r="BD1299" t="s">
        <v>73</v>
      </c>
    </row>
    <row r="1300" spans="1:56" x14ac:dyDescent="0.35">
      <c r="A1300">
        <v>111682</v>
      </c>
      <c r="B1300" t="s">
        <v>1096</v>
      </c>
      <c r="D1300" t="s">
        <v>57</v>
      </c>
      <c r="E1300" t="s">
        <v>638</v>
      </c>
      <c r="F1300" t="s">
        <v>58</v>
      </c>
      <c r="G1300" t="s">
        <v>59</v>
      </c>
      <c r="H1300" t="s">
        <v>60</v>
      </c>
      <c r="J1300" t="s">
        <v>86</v>
      </c>
      <c r="K1300" t="s">
        <v>61</v>
      </c>
      <c r="L1300" t="s">
        <v>74</v>
      </c>
      <c r="M1300" t="s">
        <v>63</v>
      </c>
      <c r="N1300" t="s">
        <v>64</v>
      </c>
      <c r="O1300">
        <v>6</v>
      </c>
      <c r="P1300" t="s">
        <v>65</v>
      </c>
      <c r="R1300">
        <v>21.8</v>
      </c>
      <c r="T1300">
        <v>19.7</v>
      </c>
      <c r="V1300">
        <v>24.1</v>
      </c>
      <c r="W1300" t="s">
        <v>66</v>
      </c>
      <c r="X1300" t="s">
        <v>67</v>
      </c>
      <c r="Y1300" t="s">
        <v>67</v>
      </c>
      <c r="Z1300" t="s">
        <v>68</v>
      </c>
      <c r="AB1300">
        <v>4</v>
      </c>
      <c r="AC1300" t="s">
        <v>61</v>
      </c>
      <c r="AJ1300" t="s">
        <v>69</v>
      </c>
      <c r="AY1300" t="s">
        <v>286</v>
      </c>
      <c r="AZ1300">
        <v>12448</v>
      </c>
      <c r="BA1300" t="s">
        <v>287</v>
      </c>
      <c r="BB1300" t="s">
        <v>288</v>
      </c>
      <c r="BC1300">
        <v>1984</v>
      </c>
      <c r="BD1300" t="s">
        <v>855</v>
      </c>
    </row>
    <row r="1301" spans="1:56" x14ac:dyDescent="0.35">
      <c r="A1301">
        <v>111693</v>
      </c>
      <c r="B1301" t="s">
        <v>1097</v>
      </c>
      <c r="C1301" t="s">
        <v>464</v>
      </c>
      <c r="D1301" t="s">
        <v>85</v>
      </c>
      <c r="E1301" t="s">
        <v>86</v>
      </c>
      <c r="F1301" t="s">
        <v>58</v>
      </c>
      <c r="G1301" t="s">
        <v>59</v>
      </c>
      <c r="H1301" t="s">
        <v>60</v>
      </c>
      <c r="J1301" t="s">
        <v>86</v>
      </c>
      <c r="L1301" t="s">
        <v>62</v>
      </c>
      <c r="M1301" t="s">
        <v>63</v>
      </c>
      <c r="N1301" t="s">
        <v>64</v>
      </c>
      <c r="P1301" t="s">
        <v>65</v>
      </c>
      <c r="R1301">
        <v>820</v>
      </c>
      <c r="W1301" t="s">
        <v>66</v>
      </c>
      <c r="X1301" t="s">
        <v>67</v>
      </c>
      <c r="Y1301" t="s">
        <v>67</v>
      </c>
      <c r="Z1301" t="s">
        <v>68</v>
      </c>
      <c r="AB1301">
        <v>4</v>
      </c>
      <c r="AC1301" t="s">
        <v>61</v>
      </c>
      <c r="AJ1301" t="s">
        <v>69</v>
      </c>
      <c r="AY1301" t="s">
        <v>465</v>
      </c>
      <c r="AZ1301">
        <v>923</v>
      </c>
      <c r="BA1301" t="s">
        <v>466</v>
      </c>
      <c r="BB1301" t="s">
        <v>467</v>
      </c>
      <c r="BC1301">
        <v>1961</v>
      </c>
      <c r="BD1301" t="s">
        <v>468</v>
      </c>
    </row>
    <row r="1302" spans="1:56" x14ac:dyDescent="0.35">
      <c r="A1302">
        <v>111693</v>
      </c>
      <c r="B1302" t="s">
        <v>1097</v>
      </c>
      <c r="C1302" t="s">
        <v>464</v>
      </c>
      <c r="D1302" t="s">
        <v>85</v>
      </c>
      <c r="E1302" t="s">
        <v>86</v>
      </c>
      <c r="F1302" t="s">
        <v>58</v>
      </c>
      <c r="G1302" t="s">
        <v>59</v>
      </c>
      <c r="H1302" t="s">
        <v>60</v>
      </c>
      <c r="J1302" t="s">
        <v>86</v>
      </c>
      <c r="L1302" t="s">
        <v>62</v>
      </c>
      <c r="M1302" t="s">
        <v>63</v>
      </c>
      <c r="N1302" t="s">
        <v>64</v>
      </c>
      <c r="P1302" t="s">
        <v>65</v>
      </c>
      <c r="R1302">
        <v>1250</v>
      </c>
      <c r="W1302" t="s">
        <v>66</v>
      </c>
      <c r="X1302" t="s">
        <v>67</v>
      </c>
      <c r="Y1302" t="s">
        <v>67</v>
      </c>
      <c r="Z1302" t="s">
        <v>68</v>
      </c>
      <c r="AB1302">
        <v>4</v>
      </c>
      <c r="AC1302" t="s">
        <v>61</v>
      </c>
      <c r="AJ1302" t="s">
        <v>69</v>
      </c>
      <c r="AY1302" t="s">
        <v>465</v>
      </c>
      <c r="AZ1302">
        <v>923</v>
      </c>
      <c r="BA1302" t="s">
        <v>466</v>
      </c>
      <c r="BB1302" t="s">
        <v>467</v>
      </c>
      <c r="BC1302">
        <v>1961</v>
      </c>
      <c r="BD1302" t="s">
        <v>468</v>
      </c>
    </row>
    <row r="1303" spans="1:56" x14ac:dyDescent="0.35">
      <c r="A1303">
        <v>111693</v>
      </c>
      <c r="B1303" t="s">
        <v>1097</v>
      </c>
      <c r="D1303" t="s">
        <v>57</v>
      </c>
      <c r="E1303">
        <v>99</v>
      </c>
      <c r="F1303" t="s">
        <v>58</v>
      </c>
      <c r="G1303" t="s">
        <v>59</v>
      </c>
      <c r="H1303" t="s">
        <v>60</v>
      </c>
      <c r="J1303">
        <v>28</v>
      </c>
      <c r="K1303" t="s">
        <v>61</v>
      </c>
      <c r="L1303" t="s">
        <v>74</v>
      </c>
      <c r="M1303" t="s">
        <v>63</v>
      </c>
      <c r="N1303" t="s">
        <v>64</v>
      </c>
      <c r="P1303" t="s">
        <v>65</v>
      </c>
      <c r="R1303">
        <v>1930</v>
      </c>
      <c r="T1303">
        <v>1850</v>
      </c>
      <c r="V1303">
        <v>2020</v>
      </c>
      <c r="W1303" t="s">
        <v>66</v>
      </c>
      <c r="X1303" t="s">
        <v>67</v>
      </c>
      <c r="Y1303" t="s">
        <v>67</v>
      </c>
      <c r="Z1303" t="s">
        <v>68</v>
      </c>
      <c r="AB1303">
        <v>4</v>
      </c>
      <c r="AC1303" t="s">
        <v>61</v>
      </c>
      <c r="AJ1303" t="s">
        <v>69</v>
      </c>
      <c r="AY1303" t="s">
        <v>286</v>
      </c>
      <c r="AZ1303">
        <v>12448</v>
      </c>
      <c r="BA1303" t="s">
        <v>287</v>
      </c>
      <c r="BB1303" t="s">
        <v>288</v>
      </c>
      <c r="BC1303">
        <v>1984</v>
      </c>
      <c r="BD1303" t="s">
        <v>73</v>
      </c>
    </row>
    <row r="1304" spans="1:56" x14ac:dyDescent="0.35">
      <c r="A1304">
        <v>111706</v>
      </c>
      <c r="B1304" t="s">
        <v>1098</v>
      </c>
      <c r="E1304" t="s">
        <v>86</v>
      </c>
      <c r="F1304" t="s">
        <v>58</v>
      </c>
      <c r="G1304" t="s">
        <v>59</v>
      </c>
      <c r="H1304" t="s">
        <v>60</v>
      </c>
      <c r="I1304" t="s">
        <v>177</v>
      </c>
      <c r="J1304" t="s">
        <v>289</v>
      </c>
      <c r="K1304" t="s">
        <v>184</v>
      </c>
      <c r="L1304" t="s">
        <v>74</v>
      </c>
      <c r="M1304" t="s">
        <v>63</v>
      </c>
      <c r="N1304" t="s">
        <v>64</v>
      </c>
      <c r="P1304" t="s">
        <v>100</v>
      </c>
      <c r="R1304">
        <v>37.9</v>
      </c>
      <c r="T1304">
        <v>37.299999999999997</v>
      </c>
      <c r="V1304">
        <v>38.5</v>
      </c>
      <c r="W1304" t="s">
        <v>66</v>
      </c>
      <c r="X1304" t="s">
        <v>67</v>
      </c>
      <c r="Y1304" t="s">
        <v>67</v>
      </c>
      <c r="Z1304" t="s">
        <v>68</v>
      </c>
      <c r="AB1304">
        <v>4</v>
      </c>
      <c r="AC1304" t="s">
        <v>61</v>
      </c>
      <c r="AJ1304" t="s">
        <v>69</v>
      </c>
      <c r="AY1304" t="s">
        <v>422</v>
      </c>
      <c r="AZ1304">
        <v>14128</v>
      </c>
      <c r="BA1304" t="s">
        <v>423</v>
      </c>
      <c r="BB1304" t="s">
        <v>424</v>
      </c>
      <c r="BC1304">
        <v>1985</v>
      </c>
      <c r="BD1304" t="s">
        <v>185</v>
      </c>
    </row>
    <row r="1305" spans="1:56" x14ac:dyDescent="0.35">
      <c r="A1305">
        <v>111706</v>
      </c>
      <c r="B1305" t="s">
        <v>1098</v>
      </c>
      <c r="D1305" t="s">
        <v>57</v>
      </c>
      <c r="E1305">
        <v>98</v>
      </c>
      <c r="F1305" t="s">
        <v>58</v>
      </c>
      <c r="G1305" t="s">
        <v>59</v>
      </c>
      <c r="H1305" t="s">
        <v>60</v>
      </c>
      <c r="J1305">
        <v>31</v>
      </c>
      <c r="K1305" t="s">
        <v>61</v>
      </c>
      <c r="L1305" t="s">
        <v>74</v>
      </c>
      <c r="M1305" t="s">
        <v>63</v>
      </c>
      <c r="N1305" t="s">
        <v>64</v>
      </c>
      <c r="P1305" t="s">
        <v>65</v>
      </c>
      <c r="R1305">
        <v>34.5</v>
      </c>
      <c r="T1305">
        <v>33.1</v>
      </c>
      <c r="V1305">
        <v>36</v>
      </c>
      <c r="W1305" t="s">
        <v>66</v>
      </c>
      <c r="X1305" t="s">
        <v>67</v>
      </c>
      <c r="Y1305" t="s">
        <v>67</v>
      </c>
      <c r="Z1305" t="s">
        <v>68</v>
      </c>
      <c r="AB1305">
        <v>4</v>
      </c>
      <c r="AC1305" t="s">
        <v>61</v>
      </c>
      <c r="AJ1305" t="s">
        <v>69</v>
      </c>
      <c r="AY1305" t="s">
        <v>263</v>
      </c>
      <c r="AZ1305">
        <v>12858</v>
      </c>
      <c r="BA1305" t="s">
        <v>264</v>
      </c>
      <c r="BB1305" t="s">
        <v>265</v>
      </c>
      <c r="BC1305">
        <v>1986</v>
      </c>
      <c r="BD1305" t="s">
        <v>73</v>
      </c>
    </row>
    <row r="1306" spans="1:56" x14ac:dyDescent="0.35">
      <c r="A1306">
        <v>111831</v>
      </c>
      <c r="B1306" t="s">
        <v>1099</v>
      </c>
      <c r="D1306" t="s">
        <v>57</v>
      </c>
      <c r="E1306">
        <v>99</v>
      </c>
      <c r="F1306" t="s">
        <v>58</v>
      </c>
      <c r="G1306" t="s">
        <v>59</v>
      </c>
      <c r="H1306" t="s">
        <v>60</v>
      </c>
      <c r="J1306">
        <v>30</v>
      </c>
      <c r="K1306" t="s">
        <v>61</v>
      </c>
      <c r="L1306" t="s">
        <v>74</v>
      </c>
      <c r="M1306" t="s">
        <v>63</v>
      </c>
      <c r="N1306" t="s">
        <v>64</v>
      </c>
      <c r="P1306" t="s">
        <v>65</v>
      </c>
      <c r="R1306">
        <v>0.83799999999999997</v>
      </c>
      <c r="W1306" t="s">
        <v>66</v>
      </c>
      <c r="X1306" t="s">
        <v>67</v>
      </c>
      <c r="Y1306" t="s">
        <v>67</v>
      </c>
      <c r="Z1306" t="s">
        <v>68</v>
      </c>
      <c r="AB1306">
        <v>4</v>
      </c>
      <c r="AC1306" t="s">
        <v>61</v>
      </c>
      <c r="AJ1306" t="s">
        <v>69</v>
      </c>
      <c r="AY1306" t="s">
        <v>80</v>
      </c>
      <c r="AZ1306">
        <v>12859</v>
      </c>
      <c r="BA1306" t="s">
        <v>81</v>
      </c>
      <c r="BB1306" t="s">
        <v>82</v>
      </c>
      <c r="BC1306">
        <v>1988</v>
      </c>
      <c r="BD1306" t="s">
        <v>73</v>
      </c>
    </row>
    <row r="1307" spans="1:56" x14ac:dyDescent="0.35">
      <c r="A1307">
        <v>111864</v>
      </c>
      <c r="B1307" t="s">
        <v>1100</v>
      </c>
      <c r="D1307" t="s">
        <v>57</v>
      </c>
      <c r="E1307">
        <v>97</v>
      </c>
      <c r="F1307" t="s">
        <v>58</v>
      </c>
      <c r="G1307" t="s">
        <v>59</v>
      </c>
      <c r="H1307" t="s">
        <v>60</v>
      </c>
      <c r="J1307">
        <v>30</v>
      </c>
      <c r="K1307" t="s">
        <v>61</v>
      </c>
      <c r="L1307" t="s">
        <v>74</v>
      </c>
      <c r="M1307" t="s">
        <v>63</v>
      </c>
      <c r="N1307" t="s">
        <v>64</v>
      </c>
      <c r="P1307" t="s">
        <v>65</v>
      </c>
      <c r="R1307">
        <v>5.19</v>
      </c>
      <c r="T1307">
        <v>4.7300000000000004</v>
      </c>
      <c r="V1307">
        <v>5.7</v>
      </c>
      <c r="W1307" t="s">
        <v>66</v>
      </c>
      <c r="X1307" t="s">
        <v>67</v>
      </c>
      <c r="Y1307" t="s">
        <v>67</v>
      </c>
      <c r="Z1307" t="s">
        <v>68</v>
      </c>
      <c r="AB1307">
        <v>4</v>
      </c>
      <c r="AC1307" t="s">
        <v>61</v>
      </c>
      <c r="AJ1307" t="s">
        <v>69</v>
      </c>
      <c r="AY1307" t="s">
        <v>80</v>
      </c>
      <c r="AZ1307">
        <v>12859</v>
      </c>
      <c r="BA1307" t="s">
        <v>81</v>
      </c>
      <c r="BB1307" t="s">
        <v>82</v>
      </c>
      <c r="BC1307">
        <v>1988</v>
      </c>
      <c r="BD1307" t="s">
        <v>73</v>
      </c>
    </row>
    <row r="1308" spans="1:56" x14ac:dyDescent="0.35">
      <c r="A1308">
        <v>111875</v>
      </c>
      <c r="B1308" t="s">
        <v>1101</v>
      </c>
      <c r="E1308" t="s">
        <v>86</v>
      </c>
      <c r="F1308" t="s">
        <v>58</v>
      </c>
      <c r="G1308" t="s">
        <v>59</v>
      </c>
      <c r="H1308" t="s">
        <v>60</v>
      </c>
      <c r="I1308" t="s">
        <v>129</v>
      </c>
      <c r="J1308" t="s">
        <v>86</v>
      </c>
      <c r="K1308" t="s">
        <v>61</v>
      </c>
      <c r="L1308" t="s">
        <v>74</v>
      </c>
      <c r="M1308" t="s">
        <v>63</v>
      </c>
      <c r="N1308" t="s">
        <v>64</v>
      </c>
      <c r="P1308" t="s">
        <v>100</v>
      </c>
      <c r="R1308">
        <v>13.6</v>
      </c>
      <c r="T1308">
        <v>12.9</v>
      </c>
      <c r="V1308">
        <v>14.4</v>
      </c>
      <c r="W1308" t="s">
        <v>66</v>
      </c>
      <c r="X1308" t="s">
        <v>67</v>
      </c>
      <c r="Y1308" t="s">
        <v>67</v>
      </c>
      <c r="Z1308" t="s">
        <v>68</v>
      </c>
      <c r="AB1308">
        <v>4</v>
      </c>
      <c r="AC1308" t="s">
        <v>61</v>
      </c>
      <c r="AJ1308" t="s">
        <v>69</v>
      </c>
      <c r="AY1308" t="s">
        <v>422</v>
      </c>
      <c r="AZ1308">
        <v>14128</v>
      </c>
      <c r="BA1308" t="s">
        <v>423</v>
      </c>
      <c r="BB1308" t="s">
        <v>424</v>
      </c>
      <c r="BC1308">
        <v>1985</v>
      </c>
      <c r="BD1308" t="s">
        <v>833</v>
      </c>
    </row>
    <row r="1309" spans="1:56" x14ac:dyDescent="0.35">
      <c r="A1309">
        <v>111875</v>
      </c>
      <c r="B1309" t="s">
        <v>1101</v>
      </c>
      <c r="E1309" t="s">
        <v>86</v>
      </c>
      <c r="F1309" t="s">
        <v>58</v>
      </c>
      <c r="G1309" t="s">
        <v>59</v>
      </c>
      <c r="H1309" t="s">
        <v>60</v>
      </c>
      <c r="I1309" t="s">
        <v>129</v>
      </c>
      <c r="J1309" t="s">
        <v>86</v>
      </c>
      <c r="K1309" t="s">
        <v>61</v>
      </c>
      <c r="L1309" t="s">
        <v>74</v>
      </c>
      <c r="M1309" t="s">
        <v>63</v>
      </c>
      <c r="N1309" t="s">
        <v>64</v>
      </c>
      <c r="P1309" t="s">
        <v>100</v>
      </c>
      <c r="R1309">
        <v>13.4</v>
      </c>
      <c r="T1309">
        <v>12.7</v>
      </c>
      <c r="V1309">
        <v>14.1</v>
      </c>
      <c r="W1309" t="s">
        <v>66</v>
      </c>
      <c r="X1309" t="s">
        <v>67</v>
      </c>
      <c r="Y1309" t="s">
        <v>67</v>
      </c>
      <c r="Z1309" t="s">
        <v>68</v>
      </c>
      <c r="AB1309">
        <v>4</v>
      </c>
      <c r="AC1309" t="s">
        <v>61</v>
      </c>
      <c r="AJ1309" t="s">
        <v>69</v>
      </c>
      <c r="AY1309" t="s">
        <v>422</v>
      </c>
      <c r="AZ1309">
        <v>14128</v>
      </c>
      <c r="BA1309" t="s">
        <v>423</v>
      </c>
      <c r="BB1309" t="s">
        <v>424</v>
      </c>
      <c r="BC1309">
        <v>1985</v>
      </c>
      <c r="BD1309" t="s">
        <v>833</v>
      </c>
    </row>
    <row r="1310" spans="1:56" x14ac:dyDescent="0.35">
      <c r="A1310">
        <v>111875</v>
      </c>
      <c r="B1310" t="s">
        <v>1101</v>
      </c>
      <c r="E1310" t="s">
        <v>86</v>
      </c>
      <c r="F1310" t="s">
        <v>58</v>
      </c>
      <c r="G1310" t="s">
        <v>59</v>
      </c>
      <c r="H1310" t="s">
        <v>60</v>
      </c>
      <c r="I1310" t="s">
        <v>129</v>
      </c>
      <c r="J1310" t="s">
        <v>86</v>
      </c>
      <c r="K1310" t="s">
        <v>61</v>
      </c>
      <c r="L1310" t="s">
        <v>74</v>
      </c>
      <c r="M1310" t="s">
        <v>63</v>
      </c>
      <c r="N1310" t="s">
        <v>64</v>
      </c>
      <c r="P1310" t="s">
        <v>100</v>
      </c>
      <c r="R1310">
        <v>12.2</v>
      </c>
      <c r="T1310">
        <v>11.4</v>
      </c>
      <c r="V1310">
        <v>12.9</v>
      </c>
      <c r="W1310" t="s">
        <v>66</v>
      </c>
      <c r="X1310" t="s">
        <v>67</v>
      </c>
      <c r="Y1310" t="s">
        <v>67</v>
      </c>
      <c r="Z1310" t="s">
        <v>68</v>
      </c>
      <c r="AB1310">
        <v>4</v>
      </c>
      <c r="AC1310" t="s">
        <v>61</v>
      </c>
      <c r="AJ1310" t="s">
        <v>69</v>
      </c>
      <c r="AY1310" t="s">
        <v>422</v>
      </c>
      <c r="AZ1310">
        <v>14128</v>
      </c>
      <c r="BA1310" t="s">
        <v>423</v>
      </c>
      <c r="BB1310" t="s">
        <v>424</v>
      </c>
      <c r="BC1310">
        <v>1985</v>
      </c>
      <c r="BD1310" t="s">
        <v>833</v>
      </c>
    </row>
    <row r="1311" spans="1:56" x14ac:dyDescent="0.35">
      <c r="A1311">
        <v>111875</v>
      </c>
      <c r="B1311" t="s">
        <v>1101</v>
      </c>
      <c r="D1311" t="s">
        <v>57</v>
      </c>
      <c r="E1311">
        <v>99</v>
      </c>
      <c r="F1311" t="s">
        <v>58</v>
      </c>
      <c r="G1311" t="s">
        <v>59</v>
      </c>
      <c r="H1311" t="s">
        <v>60</v>
      </c>
      <c r="J1311">
        <v>28</v>
      </c>
      <c r="K1311" t="s">
        <v>61</v>
      </c>
      <c r="L1311" t="s">
        <v>74</v>
      </c>
      <c r="M1311" t="s">
        <v>63</v>
      </c>
      <c r="N1311" t="s">
        <v>64</v>
      </c>
      <c r="P1311" t="s">
        <v>65</v>
      </c>
      <c r="R1311">
        <v>14</v>
      </c>
      <c r="T1311">
        <v>13.6</v>
      </c>
      <c r="V1311">
        <v>14.5</v>
      </c>
      <c r="W1311" t="s">
        <v>66</v>
      </c>
      <c r="X1311" t="s">
        <v>67</v>
      </c>
      <c r="Y1311" t="s">
        <v>67</v>
      </c>
      <c r="Z1311" t="s">
        <v>68</v>
      </c>
      <c r="AB1311">
        <v>4</v>
      </c>
      <c r="AC1311" t="s">
        <v>61</v>
      </c>
      <c r="AJ1311" t="s">
        <v>69</v>
      </c>
      <c r="AY1311" t="s">
        <v>80</v>
      </c>
      <c r="AZ1311">
        <v>12859</v>
      </c>
      <c r="BA1311" t="s">
        <v>81</v>
      </c>
      <c r="BB1311" t="s">
        <v>82</v>
      </c>
      <c r="BC1311">
        <v>1988</v>
      </c>
      <c r="BD1311" t="s">
        <v>73</v>
      </c>
    </row>
    <row r="1312" spans="1:56" x14ac:dyDescent="0.35">
      <c r="A1312">
        <v>111875</v>
      </c>
      <c r="B1312" t="s">
        <v>1101</v>
      </c>
      <c r="E1312" t="s">
        <v>86</v>
      </c>
      <c r="F1312" t="s">
        <v>58</v>
      </c>
      <c r="G1312" t="s">
        <v>59</v>
      </c>
      <c r="H1312" t="s">
        <v>60</v>
      </c>
      <c r="I1312" t="s">
        <v>129</v>
      </c>
      <c r="J1312" t="s">
        <v>86</v>
      </c>
      <c r="K1312" t="s">
        <v>61</v>
      </c>
      <c r="L1312" t="s">
        <v>74</v>
      </c>
      <c r="M1312" t="s">
        <v>63</v>
      </c>
      <c r="N1312" t="s">
        <v>64</v>
      </c>
      <c r="P1312" t="s">
        <v>100</v>
      </c>
      <c r="R1312">
        <v>13.5</v>
      </c>
      <c r="T1312">
        <v>12.3</v>
      </c>
      <c r="V1312">
        <v>14.8</v>
      </c>
      <c r="W1312" t="s">
        <v>66</v>
      </c>
      <c r="X1312" t="s">
        <v>67</v>
      </c>
      <c r="Y1312" t="s">
        <v>67</v>
      </c>
      <c r="Z1312" t="s">
        <v>68</v>
      </c>
      <c r="AB1312">
        <v>4</v>
      </c>
      <c r="AC1312" t="s">
        <v>61</v>
      </c>
      <c r="AJ1312" t="s">
        <v>69</v>
      </c>
      <c r="AY1312" t="s">
        <v>422</v>
      </c>
      <c r="AZ1312">
        <v>14128</v>
      </c>
      <c r="BA1312" t="s">
        <v>423</v>
      </c>
      <c r="BB1312" t="s">
        <v>424</v>
      </c>
      <c r="BC1312">
        <v>1985</v>
      </c>
      <c r="BD1312" t="s">
        <v>833</v>
      </c>
    </row>
    <row r="1313" spans="1:56" x14ac:dyDescent="0.35">
      <c r="A1313">
        <v>111875</v>
      </c>
      <c r="B1313" t="s">
        <v>1101</v>
      </c>
      <c r="E1313" t="s">
        <v>86</v>
      </c>
      <c r="F1313" t="s">
        <v>58</v>
      </c>
      <c r="G1313" t="s">
        <v>59</v>
      </c>
      <c r="H1313" t="s">
        <v>60</v>
      </c>
      <c r="I1313" t="s">
        <v>129</v>
      </c>
      <c r="J1313" t="s">
        <v>86</v>
      </c>
      <c r="K1313" t="s">
        <v>61</v>
      </c>
      <c r="L1313" t="s">
        <v>74</v>
      </c>
      <c r="M1313" t="s">
        <v>63</v>
      </c>
      <c r="N1313" t="s">
        <v>64</v>
      </c>
      <c r="P1313" t="s">
        <v>100</v>
      </c>
      <c r="R1313">
        <v>13.1</v>
      </c>
      <c r="T1313">
        <v>12.6</v>
      </c>
      <c r="V1313">
        <v>13.7</v>
      </c>
      <c r="W1313" t="s">
        <v>66</v>
      </c>
      <c r="X1313" t="s">
        <v>67</v>
      </c>
      <c r="Y1313" t="s">
        <v>67</v>
      </c>
      <c r="Z1313" t="s">
        <v>68</v>
      </c>
      <c r="AB1313">
        <v>4</v>
      </c>
      <c r="AC1313" t="s">
        <v>61</v>
      </c>
      <c r="AJ1313" t="s">
        <v>69</v>
      </c>
      <c r="AY1313" t="s">
        <v>422</v>
      </c>
      <c r="AZ1313">
        <v>14128</v>
      </c>
      <c r="BA1313" t="s">
        <v>423</v>
      </c>
      <c r="BB1313" t="s">
        <v>424</v>
      </c>
      <c r="BC1313">
        <v>1985</v>
      </c>
      <c r="BD1313" t="s">
        <v>833</v>
      </c>
    </row>
    <row r="1314" spans="1:56" x14ac:dyDescent="0.35">
      <c r="A1314">
        <v>111875</v>
      </c>
      <c r="B1314" t="s">
        <v>1101</v>
      </c>
      <c r="E1314" t="s">
        <v>86</v>
      </c>
      <c r="F1314" t="s">
        <v>58</v>
      </c>
      <c r="G1314" t="s">
        <v>59</v>
      </c>
      <c r="H1314" t="s">
        <v>60</v>
      </c>
      <c r="I1314" t="s">
        <v>129</v>
      </c>
      <c r="J1314" t="s">
        <v>86</v>
      </c>
      <c r="K1314" t="s">
        <v>61</v>
      </c>
      <c r="L1314" t="s">
        <v>74</v>
      </c>
      <c r="M1314" t="s">
        <v>63</v>
      </c>
      <c r="N1314" t="s">
        <v>64</v>
      </c>
      <c r="P1314" t="s">
        <v>100</v>
      </c>
      <c r="R1314">
        <v>13.6</v>
      </c>
      <c r="T1314">
        <v>13.2</v>
      </c>
      <c r="V1314">
        <v>14</v>
      </c>
      <c r="W1314" t="s">
        <v>66</v>
      </c>
      <c r="X1314" t="s">
        <v>67</v>
      </c>
      <c r="Y1314" t="s">
        <v>67</v>
      </c>
      <c r="Z1314" t="s">
        <v>68</v>
      </c>
      <c r="AB1314">
        <v>4</v>
      </c>
      <c r="AC1314" t="s">
        <v>61</v>
      </c>
      <c r="AJ1314" t="s">
        <v>69</v>
      </c>
      <c r="AY1314" t="s">
        <v>422</v>
      </c>
      <c r="AZ1314">
        <v>14128</v>
      </c>
      <c r="BA1314" t="s">
        <v>423</v>
      </c>
      <c r="BB1314" t="s">
        <v>424</v>
      </c>
      <c r="BC1314">
        <v>1985</v>
      </c>
      <c r="BD1314" t="s">
        <v>833</v>
      </c>
    </row>
    <row r="1315" spans="1:56" x14ac:dyDescent="0.35">
      <c r="A1315">
        <v>111875</v>
      </c>
      <c r="B1315" t="s">
        <v>1101</v>
      </c>
      <c r="D1315" t="s">
        <v>57</v>
      </c>
      <c r="E1315">
        <v>99</v>
      </c>
      <c r="F1315" t="s">
        <v>58</v>
      </c>
      <c r="G1315" t="s">
        <v>59</v>
      </c>
      <c r="H1315" t="s">
        <v>60</v>
      </c>
      <c r="J1315">
        <v>31</v>
      </c>
      <c r="K1315" t="s">
        <v>61</v>
      </c>
      <c r="L1315" t="s">
        <v>74</v>
      </c>
      <c r="M1315" t="s">
        <v>63</v>
      </c>
      <c r="N1315" t="s">
        <v>64</v>
      </c>
      <c r="P1315" t="s">
        <v>65</v>
      </c>
      <c r="R1315">
        <v>13.1</v>
      </c>
      <c r="T1315">
        <v>12.3</v>
      </c>
      <c r="V1315">
        <v>14</v>
      </c>
      <c r="W1315" t="s">
        <v>66</v>
      </c>
      <c r="X1315" t="s">
        <v>67</v>
      </c>
      <c r="Y1315" t="s">
        <v>67</v>
      </c>
      <c r="Z1315" t="s">
        <v>68</v>
      </c>
      <c r="AB1315">
        <v>4</v>
      </c>
      <c r="AC1315" t="s">
        <v>61</v>
      </c>
      <c r="AJ1315" t="s">
        <v>69</v>
      </c>
      <c r="AY1315" t="s">
        <v>80</v>
      </c>
      <c r="AZ1315">
        <v>12859</v>
      </c>
      <c r="BA1315" t="s">
        <v>81</v>
      </c>
      <c r="BB1315" t="s">
        <v>82</v>
      </c>
      <c r="BC1315">
        <v>1988</v>
      </c>
      <c r="BD1315" t="s">
        <v>73</v>
      </c>
    </row>
    <row r="1316" spans="1:56" x14ac:dyDescent="0.35">
      <c r="A1316">
        <v>111875</v>
      </c>
      <c r="B1316" t="s">
        <v>1101</v>
      </c>
      <c r="D1316" t="s">
        <v>57</v>
      </c>
      <c r="E1316">
        <v>99</v>
      </c>
      <c r="F1316" t="s">
        <v>58</v>
      </c>
      <c r="G1316" t="s">
        <v>59</v>
      </c>
      <c r="H1316" t="s">
        <v>60</v>
      </c>
      <c r="J1316">
        <v>32</v>
      </c>
      <c r="K1316" t="s">
        <v>61</v>
      </c>
      <c r="L1316" t="s">
        <v>74</v>
      </c>
      <c r="M1316" t="s">
        <v>63</v>
      </c>
      <c r="N1316" t="s">
        <v>64</v>
      </c>
      <c r="P1316" t="s">
        <v>65</v>
      </c>
      <c r="R1316">
        <v>13.1</v>
      </c>
      <c r="W1316" t="s">
        <v>66</v>
      </c>
      <c r="X1316" t="s">
        <v>67</v>
      </c>
      <c r="Y1316" t="s">
        <v>67</v>
      </c>
      <c r="Z1316" t="s">
        <v>68</v>
      </c>
      <c r="AB1316">
        <v>4</v>
      </c>
      <c r="AC1316" t="s">
        <v>61</v>
      </c>
      <c r="AJ1316" t="s">
        <v>69</v>
      </c>
      <c r="AY1316" t="s">
        <v>75</v>
      </c>
      <c r="AZ1316">
        <v>3217</v>
      </c>
      <c r="BA1316" t="s">
        <v>76</v>
      </c>
      <c r="BB1316" t="s">
        <v>77</v>
      </c>
      <c r="BC1316">
        <v>1990</v>
      </c>
      <c r="BD1316" t="s">
        <v>73</v>
      </c>
    </row>
    <row r="1317" spans="1:56" x14ac:dyDescent="0.35">
      <c r="A1317">
        <v>111875</v>
      </c>
      <c r="B1317" t="s">
        <v>1101</v>
      </c>
      <c r="E1317" t="s">
        <v>86</v>
      </c>
      <c r="F1317" t="s">
        <v>58</v>
      </c>
      <c r="G1317" t="s">
        <v>59</v>
      </c>
      <c r="H1317" t="s">
        <v>60</v>
      </c>
      <c r="I1317" t="s">
        <v>129</v>
      </c>
      <c r="J1317" t="s">
        <v>86</v>
      </c>
      <c r="K1317" t="s">
        <v>61</v>
      </c>
      <c r="L1317" t="s">
        <v>74</v>
      </c>
      <c r="M1317" t="s">
        <v>63</v>
      </c>
      <c r="N1317" t="s">
        <v>64</v>
      </c>
      <c r="P1317" t="s">
        <v>100</v>
      </c>
      <c r="R1317">
        <v>12.9</v>
      </c>
      <c r="T1317">
        <v>12.3</v>
      </c>
      <c r="V1317">
        <v>13.4</v>
      </c>
      <c r="W1317" t="s">
        <v>66</v>
      </c>
      <c r="X1317" t="s">
        <v>67</v>
      </c>
      <c r="Y1317" t="s">
        <v>67</v>
      </c>
      <c r="Z1317" t="s">
        <v>68</v>
      </c>
      <c r="AB1317">
        <v>4</v>
      </c>
      <c r="AC1317" t="s">
        <v>61</v>
      </c>
      <c r="AJ1317" t="s">
        <v>69</v>
      </c>
      <c r="AY1317" t="s">
        <v>422</v>
      </c>
      <c r="AZ1317">
        <v>14128</v>
      </c>
      <c r="BA1317" t="s">
        <v>423</v>
      </c>
      <c r="BB1317" t="s">
        <v>424</v>
      </c>
      <c r="BC1317">
        <v>1985</v>
      </c>
      <c r="BD1317" t="s">
        <v>833</v>
      </c>
    </row>
    <row r="1318" spans="1:56" x14ac:dyDescent="0.35">
      <c r="A1318">
        <v>111875</v>
      </c>
      <c r="B1318" t="s">
        <v>1101</v>
      </c>
      <c r="D1318" t="s">
        <v>57</v>
      </c>
      <c r="E1318">
        <v>99</v>
      </c>
      <c r="F1318" t="s">
        <v>58</v>
      </c>
      <c r="G1318" t="s">
        <v>59</v>
      </c>
      <c r="H1318" t="s">
        <v>60</v>
      </c>
      <c r="J1318">
        <v>28</v>
      </c>
      <c r="K1318" t="s">
        <v>61</v>
      </c>
      <c r="L1318" t="s">
        <v>74</v>
      </c>
      <c r="M1318" t="s">
        <v>63</v>
      </c>
      <c r="N1318" t="s">
        <v>64</v>
      </c>
      <c r="P1318" t="s">
        <v>65</v>
      </c>
      <c r="R1318">
        <v>14.6</v>
      </c>
      <c r="T1318">
        <v>13.9</v>
      </c>
      <c r="V1318">
        <v>15.3</v>
      </c>
      <c r="W1318" t="s">
        <v>66</v>
      </c>
      <c r="X1318" t="s">
        <v>67</v>
      </c>
      <c r="Y1318" t="s">
        <v>67</v>
      </c>
      <c r="Z1318" t="s">
        <v>68</v>
      </c>
      <c r="AB1318">
        <v>4</v>
      </c>
      <c r="AC1318" t="s">
        <v>61</v>
      </c>
      <c r="AJ1318" t="s">
        <v>69</v>
      </c>
      <c r="AY1318" t="s">
        <v>141</v>
      </c>
      <c r="AZ1318">
        <v>12447</v>
      </c>
      <c r="BA1318" t="s">
        <v>142</v>
      </c>
      <c r="BB1318" t="s">
        <v>143</v>
      </c>
      <c r="BC1318">
        <v>1985</v>
      </c>
      <c r="BD1318" t="s">
        <v>73</v>
      </c>
    </row>
    <row r="1319" spans="1:56" x14ac:dyDescent="0.35">
      <c r="A1319">
        <v>111875</v>
      </c>
      <c r="B1319" t="s">
        <v>1101</v>
      </c>
      <c r="E1319" t="s">
        <v>86</v>
      </c>
      <c r="F1319" t="s">
        <v>58</v>
      </c>
      <c r="G1319" t="s">
        <v>59</v>
      </c>
      <c r="H1319" t="s">
        <v>60</v>
      </c>
      <c r="I1319" t="s">
        <v>129</v>
      </c>
      <c r="J1319" t="s">
        <v>86</v>
      </c>
      <c r="K1319" t="s">
        <v>61</v>
      </c>
      <c r="L1319" t="s">
        <v>74</v>
      </c>
      <c r="M1319" t="s">
        <v>63</v>
      </c>
      <c r="N1319" t="s">
        <v>64</v>
      </c>
      <c r="P1319" t="s">
        <v>100</v>
      </c>
      <c r="R1319">
        <v>14</v>
      </c>
      <c r="T1319">
        <v>13.4</v>
      </c>
      <c r="V1319">
        <v>14.6</v>
      </c>
      <c r="W1319" t="s">
        <v>66</v>
      </c>
      <c r="X1319" t="s">
        <v>67</v>
      </c>
      <c r="Y1319" t="s">
        <v>67</v>
      </c>
      <c r="Z1319" t="s">
        <v>68</v>
      </c>
      <c r="AB1319">
        <v>4</v>
      </c>
      <c r="AC1319" t="s">
        <v>61</v>
      </c>
      <c r="AJ1319" t="s">
        <v>69</v>
      </c>
      <c r="AY1319" t="s">
        <v>422</v>
      </c>
      <c r="AZ1319">
        <v>14128</v>
      </c>
      <c r="BA1319" t="s">
        <v>423</v>
      </c>
      <c r="BB1319" t="s">
        <v>424</v>
      </c>
      <c r="BC1319">
        <v>1985</v>
      </c>
      <c r="BD1319" t="s">
        <v>833</v>
      </c>
    </row>
    <row r="1320" spans="1:56" x14ac:dyDescent="0.35">
      <c r="A1320">
        <v>111875</v>
      </c>
      <c r="B1320" t="s">
        <v>1101</v>
      </c>
      <c r="E1320" t="s">
        <v>86</v>
      </c>
      <c r="F1320" t="s">
        <v>58</v>
      </c>
      <c r="G1320" t="s">
        <v>59</v>
      </c>
      <c r="H1320" t="s">
        <v>60</v>
      </c>
      <c r="I1320" t="s">
        <v>129</v>
      </c>
      <c r="J1320" t="s">
        <v>86</v>
      </c>
      <c r="K1320" t="s">
        <v>61</v>
      </c>
      <c r="L1320" t="s">
        <v>74</v>
      </c>
      <c r="M1320" t="s">
        <v>63</v>
      </c>
      <c r="N1320" t="s">
        <v>64</v>
      </c>
      <c r="P1320" t="s">
        <v>100</v>
      </c>
      <c r="R1320">
        <v>15</v>
      </c>
      <c r="T1320">
        <v>14.4</v>
      </c>
      <c r="V1320">
        <v>15.6</v>
      </c>
      <c r="W1320" t="s">
        <v>66</v>
      </c>
      <c r="X1320" t="s">
        <v>67</v>
      </c>
      <c r="Y1320" t="s">
        <v>67</v>
      </c>
      <c r="Z1320" t="s">
        <v>68</v>
      </c>
      <c r="AB1320">
        <v>4</v>
      </c>
      <c r="AC1320" t="s">
        <v>61</v>
      </c>
      <c r="AJ1320" t="s">
        <v>69</v>
      </c>
      <c r="AY1320" t="s">
        <v>422</v>
      </c>
      <c r="AZ1320">
        <v>14128</v>
      </c>
      <c r="BA1320" t="s">
        <v>423</v>
      </c>
      <c r="BB1320" t="s">
        <v>424</v>
      </c>
      <c r="BC1320">
        <v>1985</v>
      </c>
      <c r="BD1320" t="s">
        <v>833</v>
      </c>
    </row>
    <row r="1321" spans="1:56" x14ac:dyDescent="0.35">
      <c r="A1321">
        <v>111875</v>
      </c>
      <c r="B1321" t="s">
        <v>1101</v>
      </c>
      <c r="D1321" t="s">
        <v>57</v>
      </c>
      <c r="E1321">
        <v>99</v>
      </c>
      <c r="F1321" t="s">
        <v>58</v>
      </c>
      <c r="G1321" t="s">
        <v>59</v>
      </c>
      <c r="H1321" t="s">
        <v>60</v>
      </c>
      <c r="J1321">
        <v>34</v>
      </c>
      <c r="K1321" t="s">
        <v>61</v>
      </c>
      <c r="L1321" t="s">
        <v>74</v>
      </c>
      <c r="M1321" t="s">
        <v>63</v>
      </c>
      <c r="N1321" t="s">
        <v>64</v>
      </c>
      <c r="P1321" t="s">
        <v>65</v>
      </c>
      <c r="R1321">
        <v>13</v>
      </c>
      <c r="T1321">
        <v>12.4</v>
      </c>
      <c r="V1321">
        <v>13.6</v>
      </c>
      <c r="W1321" t="s">
        <v>66</v>
      </c>
      <c r="X1321" t="s">
        <v>67</v>
      </c>
      <c r="Y1321" t="s">
        <v>67</v>
      </c>
      <c r="Z1321" t="s">
        <v>68</v>
      </c>
      <c r="AB1321">
        <v>4</v>
      </c>
      <c r="AC1321" t="s">
        <v>61</v>
      </c>
      <c r="AJ1321" t="s">
        <v>69</v>
      </c>
      <c r="AY1321" t="s">
        <v>75</v>
      </c>
      <c r="AZ1321">
        <v>3217</v>
      </c>
      <c r="BA1321" t="s">
        <v>76</v>
      </c>
      <c r="BB1321" t="s">
        <v>77</v>
      </c>
      <c r="BC1321">
        <v>1990</v>
      </c>
      <c r="BD1321" t="s">
        <v>73</v>
      </c>
    </row>
    <row r="1322" spans="1:56" x14ac:dyDescent="0.35">
      <c r="A1322">
        <v>111875</v>
      </c>
      <c r="B1322" t="s">
        <v>1101</v>
      </c>
      <c r="E1322" t="s">
        <v>86</v>
      </c>
      <c r="F1322" t="s">
        <v>58</v>
      </c>
      <c r="G1322" t="s">
        <v>59</v>
      </c>
      <c r="H1322" t="s">
        <v>60</v>
      </c>
      <c r="I1322" t="s">
        <v>177</v>
      </c>
      <c r="J1322" t="s">
        <v>1102</v>
      </c>
      <c r="K1322" t="s">
        <v>184</v>
      </c>
      <c r="L1322" t="s">
        <v>74</v>
      </c>
      <c r="M1322" t="s">
        <v>63</v>
      </c>
      <c r="N1322" t="s">
        <v>64</v>
      </c>
      <c r="P1322" t="s">
        <v>100</v>
      </c>
      <c r="R1322">
        <v>14.4</v>
      </c>
      <c r="T1322">
        <v>13</v>
      </c>
      <c r="V1322">
        <v>15.9</v>
      </c>
      <c r="W1322" t="s">
        <v>66</v>
      </c>
      <c r="X1322" t="s">
        <v>67</v>
      </c>
      <c r="Y1322" t="s">
        <v>67</v>
      </c>
      <c r="Z1322" t="s">
        <v>68</v>
      </c>
      <c r="AB1322">
        <v>4</v>
      </c>
      <c r="AC1322" t="s">
        <v>61</v>
      </c>
      <c r="AJ1322" t="s">
        <v>69</v>
      </c>
      <c r="AY1322" t="s">
        <v>422</v>
      </c>
      <c r="AZ1322">
        <v>14128</v>
      </c>
      <c r="BA1322" t="s">
        <v>423</v>
      </c>
      <c r="BB1322" t="s">
        <v>424</v>
      </c>
      <c r="BC1322">
        <v>1985</v>
      </c>
      <c r="BD1322" t="s">
        <v>185</v>
      </c>
    </row>
    <row r="1323" spans="1:56" x14ac:dyDescent="0.35">
      <c r="A1323">
        <v>111875</v>
      </c>
      <c r="B1323" t="s">
        <v>1101</v>
      </c>
      <c r="D1323" t="s">
        <v>57</v>
      </c>
      <c r="E1323">
        <v>99</v>
      </c>
      <c r="F1323" t="s">
        <v>58</v>
      </c>
      <c r="G1323" t="s">
        <v>59</v>
      </c>
      <c r="H1323" t="s">
        <v>60</v>
      </c>
      <c r="J1323">
        <v>31</v>
      </c>
      <c r="K1323" t="s">
        <v>61</v>
      </c>
      <c r="L1323" t="s">
        <v>74</v>
      </c>
      <c r="M1323" t="s">
        <v>63</v>
      </c>
      <c r="N1323" t="s">
        <v>64</v>
      </c>
      <c r="O1323">
        <v>6</v>
      </c>
      <c r="P1323" t="s">
        <v>65</v>
      </c>
      <c r="R1323">
        <v>13.5</v>
      </c>
      <c r="T1323">
        <v>13.2</v>
      </c>
      <c r="V1323">
        <v>13.8</v>
      </c>
      <c r="W1323" t="s">
        <v>66</v>
      </c>
      <c r="X1323" t="s">
        <v>67</v>
      </c>
      <c r="Y1323" t="s">
        <v>67</v>
      </c>
      <c r="Z1323" t="s">
        <v>68</v>
      </c>
      <c r="AB1323">
        <v>4</v>
      </c>
      <c r="AC1323" t="s">
        <v>61</v>
      </c>
      <c r="AJ1323" t="s">
        <v>69</v>
      </c>
      <c r="AY1323" t="s">
        <v>286</v>
      </c>
      <c r="AZ1323">
        <v>12448</v>
      </c>
      <c r="BA1323" t="s">
        <v>287</v>
      </c>
      <c r="BB1323" t="s">
        <v>288</v>
      </c>
      <c r="BC1323">
        <v>1984</v>
      </c>
      <c r="BD1323" t="s">
        <v>73</v>
      </c>
    </row>
    <row r="1324" spans="1:56" x14ac:dyDescent="0.35">
      <c r="A1324">
        <v>111875</v>
      </c>
      <c r="B1324" t="s">
        <v>1101</v>
      </c>
      <c r="E1324" t="s">
        <v>86</v>
      </c>
      <c r="F1324" t="s">
        <v>58</v>
      </c>
      <c r="G1324" t="s">
        <v>59</v>
      </c>
      <c r="H1324" t="s">
        <v>60</v>
      </c>
      <c r="I1324" t="s">
        <v>177</v>
      </c>
      <c r="J1324" t="s">
        <v>1102</v>
      </c>
      <c r="K1324" t="s">
        <v>184</v>
      </c>
      <c r="L1324" t="s">
        <v>74</v>
      </c>
      <c r="M1324" t="s">
        <v>63</v>
      </c>
      <c r="N1324" t="s">
        <v>64</v>
      </c>
      <c r="P1324" t="s">
        <v>100</v>
      </c>
      <c r="R1324">
        <v>12.6</v>
      </c>
      <c r="T1324">
        <v>12</v>
      </c>
      <c r="V1324">
        <v>13.3</v>
      </c>
      <c r="W1324" t="s">
        <v>66</v>
      </c>
      <c r="X1324" t="s">
        <v>67</v>
      </c>
      <c r="Y1324" t="s">
        <v>67</v>
      </c>
      <c r="Z1324" t="s">
        <v>68</v>
      </c>
      <c r="AB1324">
        <v>4</v>
      </c>
      <c r="AC1324" t="s">
        <v>61</v>
      </c>
      <c r="AJ1324" t="s">
        <v>69</v>
      </c>
      <c r="AY1324" t="s">
        <v>422</v>
      </c>
      <c r="AZ1324">
        <v>14128</v>
      </c>
      <c r="BA1324" t="s">
        <v>423</v>
      </c>
      <c r="BB1324" t="s">
        <v>424</v>
      </c>
      <c r="BC1324">
        <v>1985</v>
      </c>
      <c r="BD1324" t="s">
        <v>185</v>
      </c>
    </row>
    <row r="1325" spans="1:56" x14ac:dyDescent="0.35">
      <c r="A1325">
        <v>111875</v>
      </c>
      <c r="B1325" t="s">
        <v>1101</v>
      </c>
      <c r="E1325" t="s">
        <v>86</v>
      </c>
      <c r="F1325" t="s">
        <v>58</v>
      </c>
      <c r="G1325" t="s">
        <v>59</v>
      </c>
      <c r="H1325" t="s">
        <v>60</v>
      </c>
      <c r="I1325" t="s">
        <v>177</v>
      </c>
      <c r="J1325" t="s">
        <v>1102</v>
      </c>
      <c r="K1325" t="s">
        <v>184</v>
      </c>
      <c r="L1325" t="s">
        <v>74</v>
      </c>
      <c r="M1325" t="s">
        <v>63</v>
      </c>
      <c r="N1325" t="s">
        <v>64</v>
      </c>
      <c r="P1325" t="s">
        <v>100</v>
      </c>
      <c r="R1325">
        <v>13.5</v>
      </c>
      <c r="T1325">
        <v>12.6</v>
      </c>
      <c r="V1325">
        <v>15.3</v>
      </c>
      <c r="W1325" t="s">
        <v>66</v>
      </c>
      <c r="X1325" t="s">
        <v>67</v>
      </c>
      <c r="Y1325" t="s">
        <v>67</v>
      </c>
      <c r="Z1325" t="s">
        <v>68</v>
      </c>
      <c r="AB1325">
        <v>4</v>
      </c>
      <c r="AC1325" t="s">
        <v>61</v>
      </c>
      <c r="AJ1325" t="s">
        <v>69</v>
      </c>
      <c r="AY1325" t="s">
        <v>422</v>
      </c>
      <c r="AZ1325">
        <v>14128</v>
      </c>
      <c r="BA1325" t="s">
        <v>423</v>
      </c>
      <c r="BB1325" t="s">
        <v>424</v>
      </c>
      <c r="BC1325">
        <v>1985</v>
      </c>
      <c r="BD1325" t="s">
        <v>185</v>
      </c>
    </row>
    <row r="1326" spans="1:56" x14ac:dyDescent="0.35">
      <c r="A1326">
        <v>111900</v>
      </c>
      <c r="B1326" t="s">
        <v>1103</v>
      </c>
      <c r="D1326" t="s">
        <v>57</v>
      </c>
      <c r="E1326">
        <v>99</v>
      </c>
      <c r="F1326" t="s">
        <v>58</v>
      </c>
      <c r="G1326" t="s">
        <v>59</v>
      </c>
      <c r="H1326" t="s">
        <v>60</v>
      </c>
      <c r="J1326">
        <v>30</v>
      </c>
      <c r="K1326" t="s">
        <v>61</v>
      </c>
      <c r="L1326" t="s">
        <v>74</v>
      </c>
      <c r="M1326" t="s">
        <v>63</v>
      </c>
      <c r="N1326" t="s">
        <v>64</v>
      </c>
      <c r="P1326" t="s">
        <v>65</v>
      </c>
      <c r="R1326">
        <v>26500</v>
      </c>
      <c r="T1326">
        <v>24200</v>
      </c>
      <c r="V1326">
        <v>29000</v>
      </c>
      <c r="W1326" t="s">
        <v>66</v>
      </c>
      <c r="X1326" t="s">
        <v>67</v>
      </c>
      <c r="Y1326" t="s">
        <v>67</v>
      </c>
      <c r="Z1326" t="s">
        <v>68</v>
      </c>
      <c r="AB1326">
        <v>4</v>
      </c>
      <c r="AC1326" t="s">
        <v>61</v>
      </c>
      <c r="AJ1326" t="s">
        <v>69</v>
      </c>
      <c r="AY1326" t="s">
        <v>80</v>
      </c>
      <c r="AZ1326">
        <v>12859</v>
      </c>
      <c r="BA1326" t="s">
        <v>81</v>
      </c>
      <c r="BB1326" t="s">
        <v>82</v>
      </c>
      <c r="BC1326">
        <v>1988</v>
      </c>
      <c r="BD1326" t="s">
        <v>73</v>
      </c>
    </row>
    <row r="1327" spans="1:56" x14ac:dyDescent="0.35">
      <c r="A1327">
        <v>111900</v>
      </c>
      <c r="B1327" t="s">
        <v>1103</v>
      </c>
      <c r="E1327" t="s">
        <v>407</v>
      </c>
      <c r="F1327" t="s">
        <v>58</v>
      </c>
      <c r="G1327" t="s">
        <v>59</v>
      </c>
      <c r="H1327" t="s">
        <v>60</v>
      </c>
      <c r="J1327" t="s">
        <v>86</v>
      </c>
      <c r="L1327" t="s">
        <v>74</v>
      </c>
      <c r="M1327" t="s">
        <v>63</v>
      </c>
      <c r="P1327" t="s">
        <v>65</v>
      </c>
      <c r="R1327">
        <v>11794.01766</v>
      </c>
      <c r="W1327" t="s">
        <v>66</v>
      </c>
      <c r="X1327" t="s">
        <v>67</v>
      </c>
      <c r="Y1327" t="s">
        <v>67</v>
      </c>
      <c r="Z1327" t="s">
        <v>68</v>
      </c>
      <c r="AB1327">
        <v>4</v>
      </c>
      <c r="AC1327" t="s">
        <v>61</v>
      </c>
      <c r="AJ1327" t="s">
        <v>69</v>
      </c>
      <c r="AY1327" t="s">
        <v>408</v>
      </c>
      <c r="AZ1327">
        <v>5876</v>
      </c>
      <c r="BA1327" t="s">
        <v>409</v>
      </c>
      <c r="BB1327" t="s">
        <v>410</v>
      </c>
      <c r="BC1327">
        <v>1988</v>
      </c>
      <c r="BD1327" t="s">
        <v>90</v>
      </c>
    </row>
    <row r="1328" spans="1:56" x14ac:dyDescent="0.35">
      <c r="A1328">
        <v>111900</v>
      </c>
      <c r="B1328" t="s">
        <v>1103</v>
      </c>
      <c r="D1328" t="s">
        <v>57</v>
      </c>
      <c r="E1328" t="s">
        <v>86</v>
      </c>
      <c r="F1328" t="s">
        <v>58</v>
      </c>
      <c r="G1328" t="s">
        <v>59</v>
      </c>
      <c r="H1328" t="s">
        <v>60</v>
      </c>
      <c r="J1328" t="s">
        <v>86</v>
      </c>
      <c r="L1328" t="s">
        <v>74</v>
      </c>
      <c r="M1328" t="s">
        <v>63</v>
      </c>
      <c r="N1328" t="s">
        <v>64</v>
      </c>
      <c r="P1328" t="s">
        <v>65</v>
      </c>
      <c r="R1328">
        <v>13900</v>
      </c>
      <c r="T1328">
        <v>11600</v>
      </c>
      <c r="V1328">
        <v>16700</v>
      </c>
      <c r="W1328" t="s">
        <v>66</v>
      </c>
      <c r="X1328" t="s">
        <v>67</v>
      </c>
      <c r="Y1328" t="s">
        <v>67</v>
      </c>
      <c r="Z1328" t="s">
        <v>68</v>
      </c>
      <c r="AB1328">
        <v>4</v>
      </c>
      <c r="AC1328" t="s">
        <v>61</v>
      </c>
      <c r="AJ1328" t="s">
        <v>69</v>
      </c>
      <c r="AY1328" t="s">
        <v>401</v>
      </c>
      <c r="AZ1328">
        <v>12004</v>
      </c>
      <c r="BA1328" t="s">
        <v>402</v>
      </c>
      <c r="BB1328" t="s">
        <v>403</v>
      </c>
      <c r="BC1328">
        <v>1985</v>
      </c>
      <c r="BD1328" t="s">
        <v>90</v>
      </c>
    </row>
    <row r="1329" spans="1:56" x14ac:dyDescent="0.35">
      <c r="A1329">
        <v>111900</v>
      </c>
      <c r="B1329" t="s">
        <v>1103</v>
      </c>
      <c r="D1329" t="s">
        <v>57</v>
      </c>
      <c r="E1329" t="s">
        <v>86</v>
      </c>
      <c r="F1329" t="s">
        <v>58</v>
      </c>
      <c r="G1329" t="s">
        <v>59</v>
      </c>
      <c r="H1329" t="s">
        <v>60</v>
      </c>
      <c r="J1329" t="s">
        <v>86</v>
      </c>
      <c r="L1329" t="s">
        <v>74</v>
      </c>
      <c r="M1329" t="s">
        <v>63</v>
      </c>
      <c r="N1329" t="s">
        <v>64</v>
      </c>
      <c r="P1329" t="s">
        <v>65</v>
      </c>
      <c r="R1329">
        <v>9650</v>
      </c>
      <c r="T1329">
        <v>7910</v>
      </c>
      <c r="V1329">
        <v>11800</v>
      </c>
      <c r="W1329" t="s">
        <v>66</v>
      </c>
      <c r="X1329" t="s">
        <v>67</v>
      </c>
      <c r="Y1329" t="s">
        <v>67</v>
      </c>
      <c r="Z1329" t="s">
        <v>68</v>
      </c>
      <c r="AB1329">
        <v>4</v>
      </c>
      <c r="AC1329" t="s">
        <v>61</v>
      </c>
      <c r="AJ1329" t="s">
        <v>69</v>
      </c>
      <c r="AY1329" t="s">
        <v>401</v>
      </c>
      <c r="AZ1329">
        <v>12004</v>
      </c>
      <c r="BA1329" t="s">
        <v>402</v>
      </c>
      <c r="BB1329" t="s">
        <v>403</v>
      </c>
      <c r="BC1329">
        <v>1985</v>
      </c>
      <c r="BD1329" t="s">
        <v>90</v>
      </c>
    </row>
    <row r="1330" spans="1:56" x14ac:dyDescent="0.35">
      <c r="A1330">
        <v>111911</v>
      </c>
      <c r="B1330" t="s">
        <v>1104</v>
      </c>
      <c r="D1330" t="s">
        <v>85</v>
      </c>
      <c r="E1330" t="s">
        <v>79</v>
      </c>
      <c r="F1330" t="s">
        <v>58</v>
      </c>
      <c r="G1330" t="s">
        <v>59</v>
      </c>
      <c r="H1330" t="s">
        <v>60</v>
      </c>
      <c r="J1330" t="s">
        <v>86</v>
      </c>
      <c r="L1330" t="s">
        <v>62</v>
      </c>
      <c r="M1330" t="s">
        <v>63</v>
      </c>
      <c r="N1330" t="s">
        <v>64</v>
      </c>
      <c r="P1330" t="s">
        <v>65</v>
      </c>
      <c r="R1330">
        <v>184</v>
      </c>
      <c r="T1330">
        <v>155</v>
      </c>
      <c r="V1330">
        <v>217</v>
      </c>
      <c r="W1330" t="s">
        <v>66</v>
      </c>
      <c r="X1330" t="s">
        <v>67</v>
      </c>
      <c r="Y1330" t="s">
        <v>67</v>
      </c>
      <c r="Z1330" t="s">
        <v>68</v>
      </c>
      <c r="AB1330">
        <v>4</v>
      </c>
      <c r="AC1330" t="s">
        <v>61</v>
      </c>
      <c r="AJ1330" t="s">
        <v>69</v>
      </c>
      <c r="AY1330" t="s">
        <v>733</v>
      </c>
      <c r="AZ1330">
        <v>11961</v>
      </c>
      <c r="BA1330" t="s">
        <v>734</v>
      </c>
      <c r="BB1330" t="s">
        <v>735</v>
      </c>
      <c r="BC1330">
        <v>1986</v>
      </c>
      <c r="BD1330" t="s">
        <v>90</v>
      </c>
    </row>
    <row r="1331" spans="1:56" x14ac:dyDescent="0.35">
      <c r="A1331">
        <v>112050</v>
      </c>
      <c r="B1331" t="s">
        <v>1105</v>
      </c>
      <c r="D1331" t="s">
        <v>57</v>
      </c>
      <c r="E1331">
        <v>97</v>
      </c>
      <c r="F1331" t="s">
        <v>58</v>
      </c>
      <c r="G1331" t="s">
        <v>59</v>
      </c>
      <c r="H1331" t="s">
        <v>60</v>
      </c>
      <c r="J1331">
        <v>33</v>
      </c>
      <c r="K1331" t="s">
        <v>61</v>
      </c>
      <c r="L1331" t="s">
        <v>74</v>
      </c>
      <c r="M1331" t="s">
        <v>63</v>
      </c>
      <c r="N1331" t="s">
        <v>64</v>
      </c>
      <c r="P1331" t="s">
        <v>65</v>
      </c>
      <c r="R1331">
        <v>104</v>
      </c>
      <c r="T1331">
        <v>93.4</v>
      </c>
      <c r="V1331">
        <v>115</v>
      </c>
      <c r="W1331" t="s">
        <v>66</v>
      </c>
      <c r="X1331" t="s">
        <v>67</v>
      </c>
      <c r="Y1331" t="s">
        <v>67</v>
      </c>
      <c r="Z1331" t="s">
        <v>68</v>
      </c>
      <c r="AB1331">
        <v>4</v>
      </c>
      <c r="AC1331" t="s">
        <v>61</v>
      </c>
      <c r="AJ1331" t="s">
        <v>69</v>
      </c>
      <c r="AY1331" t="s">
        <v>286</v>
      </c>
      <c r="AZ1331">
        <v>12448</v>
      </c>
      <c r="BA1331" t="s">
        <v>287</v>
      </c>
      <c r="BB1331" t="s">
        <v>288</v>
      </c>
      <c r="BC1331">
        <v>1984</v>
      </c>
      <c r="BD1331" t="s">
        <v>73</v>
      </c>
    </row>
    <row r="1332" spans="1:56" x14ac:dyDescent="0.35">
      <c r="A1332">
        <v>112129</v>
      </c>
      <c r="B1332" t="s">
        <v>1106</v>
      </c>
      <c r="D1332" t="s">
        <v>57</v>
      </c>
      <c r="E1332">
        <v>95</v>
      </c>
      <c r="F1332" t="s">
        <v>58</v>
      </c>
      <c r="G1332" t="s">
        <v>59</v>
      </c>
      <c r="H1332" t="s">
        <v>60</v>
      </c>
      <c r="J1332">
        <v>31</v>
      </c>
      <c r="K1332" t="s">
        <v>61</v>
      </c>
      <c r="L1332" t="s">
        <v>74</v>
      </c>
      <c r="M1332" t="s">
        <v>63</v>
      </c>
      <c r="N1332" t="s">
        <v>64</v>
      </c>
      <c r="P1332" t="s">
        <v>65</v>
      </c>
      <c r="R1332">
        <v>1.5</v>
      </c>
      <c r="T1332">
        <v>1.39</v>
      </c>
      <c r="V1332">
        <v>1.62</v>
      </c>
      <c r="W1332" t="s">
        <v>66</v>
      </c>
      <c r="X1332" t="s">
        <v>67</v>
      </c>
      <c r="Y1332" t="s">
        <v>67</v>
      </c>
      <c r="Z1332" t="s">
        <v>68</v>
      </c>
      <c r="AB1332">
        <v>4</v>
      </c>
      <c r="AC1332" t="s">
        <v>61</v>
      </c>
      <c r="AJ1332" t="s">
        <v>69</v>
      </c>
      <c r="AY1332" t="s">
        <v>263</v>
      </c>
      <c r="AZ1332">
        <v>12858</v>
      </c>
      <c r="BA1332" t="s">
        <v>264</v>
      </c>
      <c r="BB1332" t="s">
        <v>265</v>
      </c>
      <c r="BC1332">
        <v>1986</v>
      </c>
      <c r="BD1332" t="s">
        <v>73</v>
      </c>
    </row>
    <row r="1333" spans="1:56" x14ac:dyDescent="0.35">
      <c r="A1333">
        <v>112209</v>
      </c>
      <c r="B1333" t="s">
        <v>1107</v>
      </c>
      <c r="D1333" t="s">
        <v>57</v>
      </c>
      <c r="E1333">
        <v>98</v>
      </c>
      <c r="F1333" t="s">
        <v>58</v>
      </c>
      <c r="G1333" t="s">
        <v>59</v>
      </c>
      <c r="H1333" t="s">
        <v>60</v>
      </c>
      <c r="J1333">
        <v>32</v>
      </c>
      <c r="K1333" t="s">
        <v>61</v>
      </c>
      <c r="L1333" t="s">
        <v>74</v>
      </c>
      <c r="M1333" t="s">
        <v>63</v>
      </c>
      <c r="N1333" t="s">
        <v>64</v>
      </c>
      <c r="P1333" t="s">
        <v>65</v>
      </c>
      <c r="R1333">
        <v>2.16</v>
      </c>
      <c r="T1333">
        <v>2.02</v>
      </c>
      <c r="V1333">
        <v>2.29</v>
      </c>
      <c r="W1333" t="s">
        <v>66</v>
      </c>
      <c r="X1333" t="s">
        <v>67</v>
      </c>
      <c r="Y1333" t="s">
        <v>67</v>
      </c>
      <c r="Z1333" t="s">
        <v>68</v>
      </c>
      <c r="AB1333">
        <v>4</v>
      </c>
      <c r="AC1333" t="s">
        <v>61</v>
      </c>
      <c r="AJ1333" t="s">
        <v>69</v>
      </c>
      <c r="AY1333" t="s">
        <v>75</v>
      </c>
      <c r="AZ1333">
        <v>3217</v>
      </c>
      <c r="BA1333" t="s">
        <v>76</v>
      </c>
      <c r="BB1333" t="s">
        <v>77</v>
      </c>
      <c r="BC1333">
        <v>1990</v>
      </c>
      <c r="BD1333" t="s">
        <v>73</v>
      </c>
    </row>
    <row r="1334" spans="1:56" x14ac:dyDescent="0.35">
      <c r="A1334">
        <v>112276</v>
      </c>
      <c r="B1334" t="s">
        <v>1108</v>
      </c>
      <c r="D1334" t="s">
        <v>57</v>
      </c>
      <c r="E1334" t="s">
        <v>86</v>
      </c>
      <c r="F1334" t="s">
        <v>58</v>
      </c>
      <c r="G1334" t="s">
        <v>59</v>
      </c>
      <c r="H1334" t="s">
        <v>60</v>
      </c>
      <c r="J1334" t="s">
        <v>86</v>
      </c>
      <c r="K1334" t="s">
        <v>320</v>
      </c>
      <c r="L1334" t="s">
        <v>74</v>
      </c>
      <c r="M1334" t="s">
        <v>63</v>
      </c>
      <c r="N1334" t="s">
        <v>64</v>
      </c>
      <c r="P1334" t="s">
        <v>65</v>
      </c>
      <c r="R1334">
        <v>92500</v>
      </c>
      <c r="T1334">
        <v>88100</v>
      </c>
      <c r="V1334">
        <v>97130</v>
      </c>
      <c r="W1334" t="s">
        <v>66</v>
      </c>
      <c r="X1334" t="s">
        <v>67</v>
      </c>
      <c r="Y1334" t="s">
        <v>67</v>
      </c>
      <c r="Z1334" t="s">
        <v>68</v>
      </c>
      <c r="AB1334">
        <v>4</v>
      </c>
      <c r="AC1334" t="s">
        <v>61</v>
      </c>
      <c r="AJ1334" t="s">
        <v>69</v>
      </c>
      <c r="AY1334" t="s">
        <v>376</v>
      </c>
      <c r="AZ1334">
        <v>2470</v>
      </c>
      <c r="BA1334" t="s">
        <v>377</v>
      </c>
      <c r="BB1334" t="s">
        <v>378</v>
      </c>
      <c r="BC1334">
        <v>1978</v>
      </c>
      <c r="BD1334" t="s">
        <v>379</v>
      </c>
    </row>
    <row r="1335" spans="1:56" x14ac:dyDescent="0.35">
      <c r="A1335">
        <v>112276</v>
      </c>
      <c r="B1335" t="s">
        <v>1108</v>
      </c>
      <c r="D1335" t="s">
        <v>57</v>
      </c>
      <c r="E1335">
        <v>99</v>
      </c>
      <c r="F1335" t="s">
        <v>58</v>
      </c>
      <c r="G1335" t="s">
        <v>59</v>
      </c>
      <c r="H1335" t="s">
        <v>60</v>
      </c>
      <c r="J1335">
        <v>30</v>
      </c>
      <c r="K1335" t="s">
        <v>61</v>
      </c>
      <c r="L1335" t="s">
        <v>74</v>
      </c>
      <c r="M1335" t="s">
        <v>63</v>
      </c>
      <c r="N1335" t="s">
        <v>64</v>
      </c>
      <c r="P1335" t="s">
        <v>65</v>
      </c>
      <c r="R1335">
        <v>70200</v>
      </c>
      <c r="T1335">
        <v>68600</v>
      </c>
      <c r="V1335">
        <v>71900</v>
      </c>
      <c r="W1335" t="s">
        <v>66</v>
      </c>
      <c r="X1335" t="s">
        <v>67</v>
      </c>
      <c r="Y1335" t="s">
        <v>67</v>
      </c>
      <c r="Z1335" t="s">
        <v>68</v>
      </c>
      <c r="AB1335">
        <v>4</v>
      </c>
      <c r="AC1335" t="s">
        <v>61</v>
      </c>
      <c r="AJ1335" t="s">
        <v>69</v>
      </c>
      <c r="AY1335" t="s">
        <v>80</v>
      </c>
      <c r="AZ1335">
        <v>12859</v>
      </c>
      <c r="BA1335" t="s">
        <v>81</v>
      </c>
      <c r="BB1335" t="s">
        <v>82</v>
      </c>
      <c r="BC1335">
        <v>1988</v>
      </c>
      <c r="BD1335" t="s">
        <v>73</v>
      </c>
    </row>
    <row r="1336" spans="1:56" x14ac:dyDescent="0.35">
      <c r="A1336">
        <v>112276</v>
      </c>
      <c r="B1336" t="s">
        <v>1108</v>
      </c>
      <c r="D1336" t="s">
        <v>57</v>
      </c>
      <c r="E1336">
        <v>99</v>
      </c>
      <c r="F1336" t="s">
        <v>58</v>
      </c>
      <c r="G1336" t="s">
        <v>59</v>
      </c>
      <c r="H1336" t="s">
        <v>60</v>
      </c>
      <c r="J1336">
        <v>30</v>
      </c>
      <c r="K1336" t="s">
        <v>61</v>
      </c>
      <c r="L1336" t="s">
        <v>74</v>
      </c>
      <c r="M1336" t="s">
        <v>63</v>
      </c>
      <c r="N1336" t="s">
        <v>64</v>
      </c>
      <c r="P1336" t="s">
        <v>65</v>
      </c>
      <c r="R1336">
        <v>77400</v>
      </c>
      <c r="T1336">
        <v>70700</v>
      </c>
      <c r="V1336">
        <v>84800</v>
      </c>
      <c r="W1336" t="s">
        <v>66</v>
      </c>
      <c r="X1336" t="s">
        <v>67</v>
      </c>
      <c r="Y1336" t="s">
        <v>67</v>
      </c>
      <c r="Z1336" t="s">
        <v>68</v>
      </c>
      <c r="AB1336">
        <v>4</v>
      </c>
      <c r="AC1336" t="s">
        <v>61</v>
      </c>
      <c r="AJ1336" t="s">
        <v>69</v>
      </c>
      <c r="AY1336" t="s">
        <v>80</v>
      </c>
      <c r="AZ1336">
        <v>12859</v>
      </c>
      <c r="BA1336" t="s">
        <v>81</v>
      </c>
      <c r="BB1336" t="s">
        <v>82</v>
      </c>
      <c r="BC1336">
        <v>1988</v>
      </c>
      <c r="BD1336" t="s">
        <v>73</v>
      </c>
    </row>
    <row r="1337" spans="1:56" x14ac:dyDescent="0.35">
      <c r="A1337">
        <v>112276</v>
      </c>
      <c r="B1337" t="s">
        <v>1108</v>
      </c>
      <c r="D1337" t="s">
        <v>57</v>
      </c>
      <c r="E1337">
        <v>99</v>
      </c>
      <c r="F1337" t="s">
        <v>58</v>
      </c>
      <c r="G1337" t="s">
        <v>59</v>
      </c>
      <c r="H1337" t="s">
        <v>60</v>
      </c>
      <c r="J1337">
        <v>30</v>
      </c>
      <c r="K1337" t="s">
        <v>61</v>
      </c>
      <c r="L1337" t="s">
        <v>74</v>
      </c>
      <c r="M1337" t="s">
        <v>63</v>
      </c>
      <c r="N1337" t="s">
        <v>64</v>
      </c>
      <c r="P1337" t="s">
        <v>65</v>
      </c>
      <c r="R1337">
        <v>59900</v>
      </c>
      <c r="T1337">
        <v>56200</v>
      </c>
      <c r="V1337">
        <v>63700</v>
      </c>
      <c r="W1337" t="s">
        <v>66</v>
      </c>
      <c r="X1337" t="s">
        <v>67</v>
      </c>
      <c r="Y1337" t="s">
        <v>67</v>
      </c>
      <c r="Z1337" t="s">
        <v>68</v>
      </c>
      <c r="AB1337">
        <v>4</v>
      </c>
      <c r="AC1337" t="s">
        <v>61</v>
      </c>
      <c r="AJ1337" t="s">
        <v>69</v>
      </c>
      <c r="AY1337" t="s">
        <v>80</v>
      </c>
      <c r="AZ1337">
        <v>12859</v>
      </c>
      <c r="BA1337" t="s">
        <v>81</v>
      </c>
      <c r="BB1337" t="s">
        <v>82</v>
      </c>
      <c r="BC1337">
        <v>1988</v>
      </c>
      <c r="BD1337" t="s">
        <v>73</v>
      </c>
    </row>
    <row r="1338" spans="1:56" x14ac:dyDescent="0.35">
      <c r="A1338">
        <v>112301</v>
      </c>
      <c r="B1338" t="s">
        <v>1109</v>
      </c>
      <c r="D1338" t="s">
        <v>57</v>
      </c>
      <c r="E1338">
        <v>99</v>
      </c>
      <c r="F1338" t="s">
        <v>58</v>
      </c>
      <c r="G1338" t="s">
        <v>59</v>
      </c>
      <c r="H1338" t="s">
        <v>60</v>
      </c>
      <c r="J1338">
        <v>31</v>
      </c>
      <c r="K1338" t="s">
        <v>61</v>
      </c>
      <c r="L1338" t="s">
        <v>74</v>
      </c>
      <c r="M1338" t="s">
        <v>63</v>
      </c>
      <c r="N1338" t="s">
        <v>64</v>
      </c>
      <c r="P1338" t="s">
        <v>65</v>
      </c>
      <c r="R1338">
        <v>2.4</v>
      </c>
      <c r="T1338">
        <v>2.2000000000000002</v>
      </c>
      <c r="V1338">
        <v>2.5</v>
      </c>
      <c r="W1338" t="s">
        <v>66</v>
      </c>
      <c r="X1338" t="s">
        <v>67</v>
      </c>
      <c r="Y1338" t="s">
        <v>67</v>
      </c>
      <c r="Z1338" t="s">
        <v>68</v>
      </c>
      <c r="AB1338">
        <v>4</v>
      </c>
      <c r="AC1338" t="s">
        <v>61</v>
      </c>
      <c r="AJ1338" t="s">
        <v>69</v>
      </c>
      <c r="AY1338" t="s">
        <v>286</v>
      </c>
      <c r="AZ1338">
        <v>12448</v>
      </c>
      <c r="BA1338" t="s">
        <v>287</v>
      </c>
      <c r="BB1338" t="s">
        <v>288</v>
      </c>
      <c r="BC1338">
        <v>1984</v>
      </c>
      <c r="BD1338" t="s">
        <v>73</v>
      </c>
    </row>
    <row r="1339" spans="1:56" x14ac:dyDescent="0.35">
      <c r="A1339">
        <v>112425</v>
      </c>
      <c r="B1339" t="s">
        <v>1110</v>
      </c>
      <c r="D1339" t="s">
        <v>57</v>
      </c>
      <c r="E1339" t="s">
        <v>86</v>
      </c>
      <c r="F1339" t="s">
        <v>58</v>
      </c>
      <c r="G1339" t="s">
        <v>59</v>
      </c>
      <c r="H1339" t="s">
        <v>60</v>
      </c>
      <c r="J1339" t="s">
        <v>86</v>
      </c>
      <c r="L1339" t="s">
        <v>74</v>
      </c>
      <c r="M1339" t="s">
        <v>63</v>
      </c>
      <c r="N1339" t="s">
        <v>64</v>
      </c>
      <c r="P1339" t="s">
        <v>65</v>
      </c>
      <c r="R1339">
        <v>1.04</v>
      </c>
      <c r="W1339" t="s">
        <v>66</v>
      </c>
      <c r="X1339" t="s">
        <v>67</v>
      </c>
      <c r="Y1339" t="s">
        <v>67</v>
      </c>
      <c r="Z1339" t="s">
        <v>68</v>
      </c>
      <c r="AB1339">
        <v>4</v>
      </c>
      <c r="AC1339" t="s">
        <v>61</v>
      </c>
      <c r="AJ1339" t="s">
        <v>69</v>
      </c>
      <c r="AY1339" t="s">
        <v>364</v>
      </c>
      <c r="AZ1339">
        <v>10183</v>
      </c>
      <c r="BA1339" t="s">
        <v>365</v>
      </c>
      <c r="BB1339" t="s">
        <v>366</v>
      </c>
      <c r="BC1339">
        <v>1983</v>
      </c>
      <c r="BD1339" t="s">
        <v>90</v>
      </c>
    </row>
    <row r="1340" spans="1:56" x14ac:dyDescent="0.35">
      <c r="A1340">
        <v>112538</v>
      </c>
      <c r="B1340" t="s">
        <v>1111</v>
      </c>
      <c r="D1340" t="s">
        <v>57</v>
      </c>
      <c r="E1340" t="s">
        <v>86</v>
      </c>
      <c r="F1340" t="s">
        <v>58</v>
      </c>
      <c r="G1340" t="s">
        <v>59</v>
      </c>
      <c r="H1340" t="s">
        <v>60</v>
      </c>
      <c r="J1340" t="s">
        <v>86</v>
      </c>
      <c r="L1340" t="s">
        <v>74</v>
      </c>
      <c r="M1340" t="s">
        <v>63</v>
      </c>
      <c r="N1340" t="s">
        <v>64</v>
      </c>
      <c r="P1340" t="s">
        <v>65</v>
      </c>
      <c r="R1340">
        <v>1.01</v>
      </c>
      <c r="W1340" t="s">
        <v>66</v>
      </c>
      <c r="X1340" t="s">
        <v>67</v>
      </c>
      <c r="Y1340" t="s">
        <v>67</v>
      </c>
      <c r="Z1340" t="s">
        <v>68</v>
      </c>
      <c r="AB1340">
        <v>4</v>
      </c>
      <c r="AC1340" t="s">
        <v>61</v>
      </c>
      <c r="AJ1340" t="s">
        <v>69</v>
      </c>
      <c r="AY1340" t="s">
        <v>364</v>
      </c>
      <c r="AZ1340">
        <v>10183</v>
      </c>
      <c r="BA1340" t="s">
        <v>365</v>
      </c>
      <c r="BB1340" t="s">
        <v>366</v>
      </c>
      <c r="BC1340">
        <v>1983</v>
      </c>
      <c r="BD1340" t="s">
        <v>90</v>
      </c>
    </row>
    <row r="1341" spans="1:56" x14ac:dyDescent="0.35">
      <c r="A1341">
        <v>112801</v>
      </c>
      <c r="B1341" t="s">
        <v>1112</v>
      </c>
      <c r="D1341" t="s">
        <v>85</v>
      </c>
      <c r="E1341" t="s">
        <v>86</v>
      </c>
      <c r="F1341" t="s">
        <v>58</v>
      </c>
      <c r="G1341" t="s">
        <v>59</v>
      </c>
      <c r="H1341" t="s">
        <v>60</v>
      </c>
      <c r="I1341" t="s">
        <v>129</v>
      </c>
      <c r="J1341" t="s">
        <v>86</v>
      </c>
      <c r="K1341" t="s">
        <v>196</v>
      </c>
      <c r="L1341" t="s">
        <v>62</v>
      </c>
      <c r="M1341" t="s">
        <v>63</v>
      </c>
      <c r="N1341" t="s">
        <v>64</v>
      </c>
      <c r="P1341" t="s">
        <v>100</v>
      </c>
      <c r="R1341">
        <v>205</v>
      </c>
      <c r="W1341" t="s">
        <v>66</v>
      </c>
      <c r="X1341" t="s">
        <v>67</v>
      </c>
      <c r="Y1341" t="s">
        <v>67</v>
      </c>
      <c r="Z1341" t="s">
        <v>68</v>
      </c>
      <c r="AB1341">
        <v>4</v>
      </c>
      <c r="AC1341" t="s">
        <v>61</v>
      </c>
      <c r="AJ1341" t="s">
        <v>69</v>
      </c>
      <c r="AY1341" t="s">
        <v>338</v>
      </c>
      <c r="AZ1341">
        <v>719</v>
      </c>
      <c r="BA1341" t="s">
        <v>339</v>
      </c>
      <c r="BB1341" t="s">
        <v>340</v>
      </c>
      <c r="BC1341">
        <v>1976</v>
      </c>
      <c r="BD1341" t="s">
        <v>341</v>
      </c>
    </row>
    <row r="1342" spans="1:56" x14ac:dyDescent="0.35">
      <c r="A1342">
        <v>114261</v>
      </c>
      <c r="B1342" t="s">
        <v>1113</v>
      </c>
      <c r="D1342" t="s">
        <v>57</v>
      </c>
      <c r="E1342">
        <v>97</v>
      </c>
      <c r="F1342" t="s">
        <v>58</v>
      </c>
      <c r="G1342" t="s">
        <v>59</v>
      </c>
      <c r="H1342" t="s">
        <v>60</v>
      </c>
      <c r="J1342">
        <v>30</v>
      </c>
      <c r="K1342" t="s">
        <v>61</v>
      </c>
      <c r="L1342" t="s">
        <v>74</v>
      </c>
      <c r="M1342" t="s">
        <v>63</v>
      </c>
      <c r="N1342" t="s">
        <v>64</v>
      </c>
      <c r="P1342" t="s">
        <v>65</v>
      </c>
      <c r="R1342">
        <v>8.8000000000000007</v>
      </c>
      <c r="T1342">
        <v>7.4</v>
      </c>
      <c r="V1342">
        <v>10.5</v>
      </c>
      <c r="W1342" t="s">
        <v>66</v>
      </c>
      <c r="X1342" t="s">
        <v>67</v>
      </c>
      <c r="Y1342" t="s">
        <v>67</v>
      </c>
      <c r="Z1342" t="s">
        <v>68</v>
      </c>
      <c r="AB1342">
        <v>4</v>
      </c>
      <c r="AC1342" t="s">
        <v>61</v>
      </c>
      <c r="AJ1342" t="s">
        <v>69</v>
      </c>
      <c r="AY1342" t="s">
        <v>80</v>
      </c>
      <c r="AZ1342">
        <v>12859</v>
      </c>
      <c r="BA1342" t="s">
        <v>81</v>
      </c>
      <c r="BB1342" t="s">
        <v>82</v>
      </c>
      <c r="BC1342">
        <v>1988</v>
      </c>
      <c r="BD1342" t="s">
        <v>73</v>
      </c>
    </row>
    <row r="1343" spans="1:56" x14ac:dyDescent="0.35">
      <c r="A1343">
        <v>114261</v>
      </c>
      <c r="B1343" t="s">
        <v>1113</v>
      </c>
      <c r="D1343" t="s">
        <v>57</v>
      </c>
      <c r="E1343">
        <v>97</v>
      </c>
      <c r="F1343" t="s">
        <v>58</v>
      </c>
      <c r="G1343" t="s">
        <v>59</v>
      </c>
      <c r="H1343" t="s">
        <v>60</v>
      </c>
      <c r="J1343" t="s">
        <v>86</v>
      </c>
      <c r="K1343" t="s">
        <v>61</v>
      </c>
      <c r="L1343" t="s">
        <v>74</v>
      </c>
      <c r="M1343" t="s">
        <v>63</v>
      </c>
      <c r="N1343" t="s">
        <v>64</v>
      </c>
      <c r="O1343">
        <v>6</v>
      </c>
      <c r="P1343" t="s">
        <v>65</v>
      </c>
      <c r="R1343">
        <v>8.8000000000000007</v>
      </c>
      <c r="T1343">
        <v>7.7</v>
      </c>
      <c r="V1343">
        <v>10.5</v>
      </c>
      <c r="W1343" t="s">
        <v>66</v>
      </c>
      <c r="X1343" t="s">
        <v>67</v>
      </c>
      <c r="Y1343" t="s">
        <v>67</v>
      </c>
      <c r="Z1343" t="s">
        <v>68</v>
      </c>
      <c r="AB1343">
        <v>4</v>
      </c>
      <c r="AC1343" t="s">
        <v>61</v>
      </c>
      <c r="AJ1343" t="s">
        <v>69</v>
      </c>
      <c r="AY1343" t="s">
        <v>120</v>
      </c>
      <c r="AZ1343">
        <v>14097</v>
      </c>
      <c r="BA1343" t="s">
        <v>121</v>
      </c>
      <c r="BB1343" t="s">
        <v>122</v>
      </c>
      <c r="BC1343">
        <v>1989</v>
      </c>
      <c r="BD1343" t="s">
        <v>123</v>
      </c>
    </row>
    <row r="1344" spans="1:56" x14ac:dyDescent="0.35">
      <c r="A1344">
        <v>114261</v>
      </c>
      <c r="B1344" t="s">
        <v>1113</v>
      </c>
      <c r="E1344">
        <v>88</v>
      </c>
      <c r="F1344" t="s">
        <v>58</v>
      </c>
      <c r="G1344" t="s">
        <v>59</v>
      </c>
      <c r="H1344" t="s">
        <v>60</v>
      </c>
      <c r="J1344" t="s">
        <v>86</v>
      </c>
      <c r="L1344" t="s">
        <v>62</v>
      </c>
      <c r="M1344" t="s">
        <v>63</v>
      </c>
      <c r="N1344" t="s">
        <v>64</v>
      </c>
      <c r="P1344" t="s">
        <v>65</v>
      </c>
      <c r="R1344">
        <v>25</v>
      </c>
      <c r="W1344" t="s">
        <v>66</v>
      </c>
      <c r="X1344" t="s">
        <v>67</v>
      </c>
      <c r="Y1344" t="s">
        <v>67</v>
      </c>
      <c r="Z1344" t="s">
        <v>68</v>
      </c>
      <c r="AB1344">
        <v>4</v>
      </c>
      <c r="AC1344" t="s">
        <v>61</v>
      </c>
      <c r="AJ1344" t="s">
        <v>69</v>
      </c>
      <c r="AY1344" t="s">
        <v>96</v>
      </c>
      <c r="AZ1344">
        <v>6797</v>
      </c>
      <c r="BA1344" t="s">
        <v>97</v>
      </c>
      <c r="BB1344" t="s">
        <v>98</v>
      </c>
      <c r="BC1344">
        <v>1986</v>
      </c>
      <c r="BD1344" t="s">
        <v>90</v>
      </c>
    </row>
    <row r="1345" spans="1:56" x14ac:dyDescent="0.35">
      <c r="A1345">
        <v>115195</v>
      </c>
      <c r="B1345" t="s">
        <v>1114</v>
      </c>
      <c r="D1345" t="s">
        <v>57</v>
      </c>
      <c r="E1345" t="s">
        <v>128</v>
      </c>
      <c r="F1345" t="s">
        <v>58</v>
      </c>
      <c r="G1345" t="s">
        <v>59</v>
      </c>
      <c r="H1345" t="s">
        <v>60</v>
      </c>
      <c r="I1345" t="s">
        <v>129</v>
      </c>
      <c r="J1345" t="s">
        <v>86</v>
      </c>
      <c r="K1345" t="s">
        <v>61</v>
      </c>
      <c r="L1345" t="s">
        <v>74</v>
      </c>
      <c r="M1345" t="s">
        <v>63</v>
      </c>
      <c r="N1345" t="s">
        <v>64</v>
      </c>
      <c r="P1345" t="s">
        <v>65</v>
      </c>
      <c r="R1345">
        <v>3290</v>
      </c>
      <c r="T1345">
        <v>3120</v>
      </c>
      <c r="V1345">
        <v>3480</v>
      </c>
      <c r="W1345" t="s">
        <v>66</v>
      </c>
      <c r="X1345" t="s">
        <v>67</v>
      </c>
      <c r="Y1345" t="s">
        <v>67</v>
      </c>
      <c r="Z1345" t="s">
        <v>68</v>
      </c>
      <c r="AB1345">
        <v>4</v>
      </c>
      <c r="AC1345" t="s">
        <v>61</v>
      </c>
      <c r="AJ1345" t="s">
        <v>69</v>
      </c>
      <c r="AY1345" t="s">
        <v>541</v>
      </c>
      <c r="AZ1345">
        <v>2721</v>
      </c>
      <c r="BA1345" t="s">
        <v>542</v>
      </c>
      <c r="BB1345" t="s">
        <v>543</v>
      </c>
      <c r="BC1345">
        <v>1989</v>
      </c>
      <c r="BD1345" t="s">
        <v>544</v>
      </c>
    </row>
    <row r="1346" spans="1:56" x14ac:dyDescent="0.35">
      <c r="A1346">
        <v>115195</v>
      </c>
      <c r="B1346" t="s">
        <v>1114</v>
      </c>
      <c r="D1346" t="s">
        <v>57</v>
      </c>
      <c r="E1346">
        <v>98</v>
      </c>
      <c r="F1346" t="s">
        <v>58</v>
      </c>
      <c r="G1346" t="s">
        <v>59</v>
      </c>
      <c r="H1346" t="s">
        <v>60</v>
      </c>
      <c r="J1346">
        <v>31</v>
      </c>
      <c r="K1346" t="s">
        <v>61</v>
      </c>
      <c r="L1346" t="s">
        <v>74</v>
      </c>
      <c r="M1346" t="s">
        <v>63</v>
      </c>
      <c r="N1346" t="s">
        <v>64</v>
      </c>
      <c r="P1346" t="s">
        <v>65</v>
      </c>
      <c r="R1346">
        <v>3290</v>
      </c>
      <c r="T1346">
        <v>3120</v>
      </c>
      <c r="V1346">
        <v>3480</v>
      </c>
      <c r="W1346" t="s">
        <v>66</v>
      </c>
      <c r="X1346" t="s">
        <v>67</v>
      </c>
      <c r="Y1346" t="s">
        <v>67</v>
      </c>
      <c r="Z1346" t="s">
        <v>68</v>
      </c>
      <c r="AB1346">
        <v>4</v>
      </c>
      <c r="AC1346" t="s">
        <v>61</v>
      </c>
      <c r="AJ1346" t="s">
        <v>69</v>
      </c>
      <c r="AY1346" t="s">
        <v>80</v>
      </c>
      <c r="AZ1346">
        <v>12859</v>
      </c>
      <c r="BA1346" t="s">
        <v>81</v>
      </c>
      <c r="BB1346" t="s">
        <v>82</v>
      </c>
      <c r="BC1346">
        <v>1988</v>
      </c>
      <c r="BD1346" t="s">
        <v>73</v>
      </c>
    </row>
    <row r="1347" spans="1:56" x14ac:dyDescent="0.35">
      <c r="A1347">
        <v>115208</v>
      </c>
      <c r="B1347" t="s">
        <v>1115</v>
      </c>
      <c r="E1347" t="s">
        <v>407</v>
      </c>
      <c r="F1347" t="s">
        <v>58</v>
      </c>
      <c r="G1347" t="s">
        <v>59</v>
      </c>
      <c r="H1347" t="s">
        <v>60</v>
      </c>
      <c r="J1347" t="s">
        <v>86</v>
      </c>
      <c r="L1347" t="s">
        <v>74</v>
      </c>
      <c r="M1347" t="s">
        <v>63</v>
      </c>
      <c r="P1347" t="s">
        <v>65</v>
      </c>
      <c r="R1347">
        <v>173.30887200000001</v>
      </c>
      <c r="W1347" t="s">
        <v>66</v>
      </c>
      <c r="X1347" t="s">
        <v>67</v>
      </c>
      <c r="Y1347" t="s">
        <v>67</v>
      </c>
      <c r="Z1347" t="s">
        <v>68</v>
      </c>
      <c r="AB1347">
        <v>4</v>
      </c>
      <c r="AC1347" t="s">
        <v>61</v>
      </c>
      <c r="AJ1347" t="s">
        <v>69</v>
      </c>
      <c r="AY1347" t="s">
        <v>408</v>
      </c>
      <c r="AZ1347">
        <v>5876</v>
      </c>
      <c r="BA1347" t="s">
        <v>409</v>
      </c>
      <c r="BB1347" t="s">
        <v>410</v>
      </c>
      <c r="BC1347">
        <v>1988</v>
      </c>
      <c r="BD1347" t="s">
        <v>90</v>
      </c>
    </row>
    <row r="1348" spans="1:56" x14ac:dyDescent="0.35">
      <c r="A1348">
        <v>115208</v>
      </c>
      <c r="B1348" t="s">
        <v>1115</v>
      </c>
      <c r="D1348" t="s">
        <v>57</v>
      </c>
      <c r="E1348">
        <v>98</v>
      </c>
      <c r="F1348" t="s">
        <v>58</v>
      </c>
      <c r="G1348" t="s">
        <v>59</v>
      </c>
      <c r="H1348" t="s">
        <v>60</v>
      </c>
      <c r="J1348">
        <v>30</v>
      </c>
      <c r="K1348" t="s">
        <v>61</v>
      </c>
      <c r="L1348" t="s">
        <v>74</v>
      </c>
      <c r="M1348" t="s">
        <v>63</v>
      </c>
      <c r="N1348" t="s">
        <v>64</v>
      </c>
      <c r="P1348" t="s">
        <v>65</v>
      </c>
      <c r="R1348">
        <v>299</v>
      </c>
      <c r="T1348">
        <v>278</v>
      </c>
      <c r="V1348">
        <v>321</v>
      </c>
      <c r="W1348" t="s">
        <v>66</v>
      </c>
      <c r="X1348" t="s">
        <v>67</v>
      </c>
      <c r="Y1348" t="s">
        <v>67</v>
      </c>
      <c r="Z1348" t="s">
        <v>68</v>
      </c>
      <c r="AB1348">
        <v>4</v>
      </c>
      <c r="AC1348" t="s">
        <v>61</v>
      </c>
      <c r="AJ1348" t="s">
        <v>69</v>
      </c>
      <c r="AY1348" t="s">
        <v>286</v>
      </c>
      <c r="AZ1348">
        <v>12448</v>
      </c>
      <c r="BA1348" t="s">
        <v>287</v>
      </c>
      <c r="BB1348" t="s">
        <v>288</v>
      </c>
      <c r="BC1348">
        <v>1984</v>
      </c>
      <c r="BD1348" t="s">
        <v>73</v>
      </c>
    </row>
    <row r="1349" spans="1:56" x14ac:dyDescent="0.35">
      <c r="A1349">
        <v>115208</v>
      </c>
      <c r="B1349" t="s">
        <v>1115</v>
      </c>
      <c r="D1349" t="s">
        <v>57</v>
      </c>
      <c r="E1349">
        <v>98</v>
      </c>
      <c r="F1349" t="s">
        <v>58</v>
      </c>
      <c r="G1349" t="s">
        <v>59</v>
      </c>
      <c r="H1349" t="s">
        <v>60</v>
      </c>
      <c r="J1349" t="s">
        <v>86</v>
      </c>
      <c r="L1349" t="s">
        <v>74</v>
      </c>
      <c r="M1349" t="s">
        <v>63</v>
      </c>
      <c r="N1349" t="s">
        <v>64</v>
      </c>
      <c r="P1349" t="s">
        <v>65</v>
      </c>
      <c r="R1349">
        <v>173</v>
      </c>
      <c r="T1349">
        <v>154</v>
      </c>
      <c r="V1349">
        <v>195</v>
      </c>
      <c r="W1349" t="s">
        <v>66</v>
      </c>
      <c r="X1349" t="s">
        <v>67</v>
      </c>
      <c r="Y1349" t="s">
        <v>67</v>
      </c>
      <c r="Z1349" t="s">
        <v>68</v>
      </c>
      <c r="AB1349">
        <v>4</v>
      </c>
      <c r="AC1349" t="s">
        <v>61</v>
      </c>
      <c r="AJ1349" t="s">
        <v>69</v>
      </c>
      <c r="AY1349" t="s">
        <v>401</v>
      </c>
      <c r="AZ1349">
        <v>12004</v>
      </c>
      <c r="BA1349" t="s">
        <v>402</v>
      </c>
      <c r="BB1349" t="s">
        <v>403</v>
      </c>
      <c r="BC1349">
        <v>1985</v>
      </c>
      <c r="BD1349" t="s">
        <v>90</v>
      </c>
    </row>
    <row r="1350" spans="1:56" x14ac:dyDescent="0.35">
      <c r="A1350">
        <v>115297</v>
      </c>
      <c r="B1350" t="s">
        <v>1116</v>
      </c>
      <c r="D1350" t="s">
        <v>57</v>
      </c>
      <c r="E1350" t="s">
        <v>86</v>
      </c>
      <c r="F1350" t="s">
        <v>58</v>
      </c>
      <c r="G1350" t="s">
        <v>59</v>
      </c>
      <c r="H1350" t="s">
        <v>60</v>
      </c>
      <c r="J1350" t="s">
        <v>86</v>
      </c>
      <c r="L1350" t="s">
        <v>62</v>
      </c>
      <c r="M1350" t="s">
        <v>63</v>
      </c>
      <c r="N1350" t="s">
        <v>64</v>
      </c>
      <c r="P1350" t="s">
        <v>65</v>
      </c>
      <c r="R1350">
        <v>2.0999999999999999E-3</v>
      </c>
      <c r="T1350">
        <v>1.6999999999999999E-3</v>
      </c>
      <c r="V1350">
        <v>2.5999999999999999E-3</v>
      </c>
      <c r="W1350" t="s">
        <v>66</v>
      </c>
      <c r="X1350" t="s">
        <v>67</v>
      </c>
      <c r="Y1350" t="s">
        <v>67</v>
      </c>
      <c r="Z1350" t="s">
        <v>68</v>
      </c>
      <c r="AB1350">
        <v>4</v>
      </c>
      <c r="AC1350" t="s">
        <v>61</v>
      </c>
      <c r="AJ1350" t="s">
        <v>69</v>
      </c>
      <c r="AY1350" t="s">
        <v>771</v>
      </c>
      <c r="AZ1350">
        <v>9479</v>
      </c>
      <c r="BA1350" t="s">
        <v>1117</v>
      </c>
      <c r="BB1350" t="s">
        <v>1118</v>
      </c>
      <c r="BC1350">
        <v>1981</v>
      </c>
      <c r="BD1350" t="s">
        <v>90</v>
      </c>
    </row>
    <row r="1351" spans="1:56" x14ac:dyDescent="0.35">
      <c r="A1351">
        <v>115297</v>
      </c>
      <c r="B1351" t="s">
        <v>1116</v>
      </c>
      <c r="D1351" t="s">
        <v>57</v>
      </c>
      <c r="E1351" t="s">
        <v>86</v>
      </c>
      <c r="F1351" t="s">
        <v>58</v>
      </c>
      <c r="G1351" t="s">
        <v>59</v>
      </c>
      <c r="H1351" t="s">
        <v>60</v>
      </c>
      <c r="J1351" t="s">
        <v>86</v>
      </c>
      <c r="L1351" t="s">
        <v>74</v>
      </c>
      <c r="M1351" t="s">
        <v>63</v>
      </c>
      <c r="N1351" t="s">
        <v>64</v>
      </c>
      <c r="P1351" t="s">
        <v>65</v>
      </c>
      <c r="R1351">
        <v>1.6999999999999999E-3</v>
      </c>
      <c r="T1351">
        <v>1.5E-3</v>
      </c>
      <c r="V1351">
        <v>2.3E-3</v>
      </c>
      <c r="W1351" t="s">
        <v>66</v>
      </c>
      <c r="X1351" t="s">
        <v>67</v>
      </c>
      <c r="Y1351" t="s">
        <v>67</v>
      </c>
      <c r="Z1351" t="s">
        <v>68</v>
      </c>
      <c r="AB1351">
        <v>4</v>
      </c>
      <c r="AC1351" t="s">
        <v>61</v>
      </c>
      <c r="AJ1351" t="s">
        <v>69</v>
      </c>
      <c r="AY1351" t="s">
        <v>1119</v>
      </c>
      <c r="AZ1351">
        <v>10526</v>
      </c>
      <c r="BA1351" t="s">
        <v>1120</v>
      </c>
      <c r="BB1351" t="s">
        <v>1121</v>
      </c>
      <c r="BC1351">
        <v>1983</v>
      </c>
      <c r="BD1351" t="s">
        <v>90</v>
      </c>
    </row>
    <row r="1352" spans="1:56" x14ac:dyDescent="0.35">
      <c r="A1352">
        <v>115297</v>
      </c>
      <c r="B1352" t="s">
        <v>1116</v>
      </c>
      <c r="D1352" t="s">
        <v>57</v>
      </c>
      <c r="E1352" t="s">
        <v>86</v>
      </c>
      <c r="F1352" t="s">
        <v>58</v>
      </c>
      <c r="G1352" t="s">
        <v>59</v>
      </c>
      <c r="H1352" t="s">
        <v>60</v>
      </c>
      <c r="J1352" t="s">
        <v>86</v>
      </c>
      <c r="L1352" t="s">
        <v>74</v>
      </c>
      <c r="M1352" t="s">
        <v>63</v>
      </c>
      <c r="N1352" t="s">
        <v>64</v>
      </c>
      <c r="P1352" t="s">
        <v>65</v>
      </c>
      <c r="R1352">
        <v>7.5000000000000002E-4</v>
      </c>
      <c r="T1352">
        <v>5.4000000000000001E-4</v>
      </c>
      <c r="V1352">
        <v>8.4000000000000003E-4</v>
      </c>
      <c r="W1352" t="s">
        <v>66</v>
      </c>
      <c r="X1352" t="s">
        <v>67</v>
      </c>
      <c r="Y1352" t="s">
        <v>67</v>
      </c>
      <c r="Z1352" t="s">
        <v>68</v>
      </c>
      <c r="AB1352">
        <v>4</v>
      </c>
      <c r="AC1352" t="s">
        <v>61</v>
      </c>
      <c r="AJ1352" t="s">
        <v>69</v>
      </c>
      <c r="AY1352" t="s">
        <v>771</v>
      </c>
      <c r="AZ1352">
        <v>9479</v>
      </c>
      <c r="BA1352" t="s">
        <v>1117</v>
      </c>
      <c r="BB1352" t="s">
        <v>1118</v>
      </c>
      <c r="BC1352">
        <v>1981</v>
      </c>
      <c r="BD1352" t="s">
        <v>90</v>
      </c>
    </row>
    <row r="1353" spans="1:56" x14ac:dyDescent="0.35">
      <c r="A1353">
        <v>115297</v>
      </c>
      <c r="B1353" t="s">
        <v>1116</v>
      </c>
      <c r="D1353" t="s">
        <v>57</v>
      </c>
      <c r="E1353" t="s">
        <v>86</v>
      </c>
      <c r="F1353" t="s">
        <v>58</v>
      </c>
      <c r="G1353" t="s">
        <v>59</v>
      </c>
      <c r="H1353" t="s">
        <v>60</v>
      </c>
      <c r="J1353" t="s">
        <v>86</v>
      </c>
      <c r="L1353" t="s">
        <v>62</v>
      </c>
      <c r="M1353" t="s">
        <v>63</v>
      </c>
      <c r="N1353" t="s">
        <v>64</v>
      </c>
      <c r="P1353" t="s">
        <v>65</v>
      </c>
      <c r="R1353">
        <v>1.9E-3</v>
      </c>
      <c r="T1353">
        <v>1.82E-3</v>
      </c>
      <c r="V1353">
        <v>2.0300000000000001E-3</v>
      </c>
      <c r="W1353" t="s">
        <v>66</v>
      </c>
      <c r="X1353" t="s">
        <v>67</v>
      </c>
      <c r="Y1353" t="s">
        <v>67</v>
      </c>
      <c r="Z1353" t="s">
        <v>68</v>
      </c>
      <c r="AB1353">
        <v>4</v>
      </c>
      <c r="AC1353" t="s">
        <v>61</v>
      </c>
      <c r="AJ1353" t="s">
        <v>69</v>
      </c>
      <c r="AY1353" t="s">
        <v>771</v>
      </c>
      <c r="AZ1353">
        <v>9479</v>
      </c>
      <c r="BA1353" t="s">
        <v>1117</v>
      </c>
      <c r="BB1353" t="s">
        <v>1118</v>
      </c>
      <c r="BC1353">
        <v>1981</v>
      </c>
      <c r="BD1353" t="s">
        <v>90</v>
      </c>
    </row>
    <row r="1354" spans="1:56" x14ac:dyDescent="0.35">
      <c r="A1354">
        <v>115297</v>
      </c>
      <c r="B1354" t="s">
        <v>1116</v>
      </c>
      <c r="D1354" t="s">
        <v>57</v>
      </c>
      <c r="E1354" t="s">
        <v>86</v>
      </c>
      <c r="F1354" t="s">
        <v>58</v>
      </c>
      <c r="G1354" t="s">
        <v>59</v>
      </c>
      <c r="H1354" t="s">
        <v>60</v>
      </c>
      <c r="J1354" t="s">
        <v>86</v>
      </c>
      <c r="L1354" t="s">
        <v>74</v>
      </c>
      <c r="M1354" t="s">
        <v>63</v>
      </c>
      <c r="N1354" t="s">
        <v>64</v>
      </c>
      <c r="P1354" t="s">
        <v>65</v>
      </c>
      <c r="R1354">
        <v>7.6000000000000004E-4</v>
      </c>
      <c r="T1354">
        <v>6.4000000000000005E-4</v>
      </c>
      <c r="V1354">
        <v>8.9999999999999998E-4</v>
      </c>
      <c r="W1354" t="s">
        <v>66</v>
      </c>
      <c r="X1354" t="s">
        <v>67</v>
      </c>
      <c r="Y1354" t="s">
        <v>67</v>
      </c>
      <c r="Z1354" t="s">
        <v>68</v>
      </c>
      <c r="AB1354">
        <v>4</v>
      </c>
      <c r="AC1354" t="s">
        <v>61</v>
      </c>
      <c r="AJ1354" t="s">
        <v>69</v>
      </c>
      <c r="AY1354" t="s">
        <v>771</v>
      </c>
      <c r="AZ1354">
        <v>9479</v>
      </c>
      <c r="BA1354" t="s">
        <v>1117</v>
      </c>
      <c r="BB1354" t="s">
        <v>1118</v>
      </c>
      <c r="BC1354">
        <v>1981</v>
      </c>
      <c r="BD1354" t="s">
        <v>90</v>
      </c>
    </row>
    <row r="1355" spans="1:56" x14ac:dyDescent="0.35">
      <c r="A1355">
        <v>115297</v>
      </c>
      <c r="B1355" t="s">
        <v>1116</v>
      </c>
      <c r="D1355" t="s">
        <v>57</v>
      </c>
      <c r="E1355" t="s">
        <v>86</v>
      </c>
      <c r="F1355" t="s">
        <v>58</v>
      </c>
      <c r="G1355" t="s">
        <v>59</v>
      </c>
      <c r="H1355" t="s">
        <v>60</v>
      </c>
      <c r="J1355" t="s">
        <v>86</v>
      </c>
      <c r="L1355" t="s">
        <v>62</v>
      </c>
      <c r="M1355" t="s">
        <v>63</v>
      </c>
      <c r="N1355" t="s">
        <v>64</v>
      </c>
      <c r="P1355" t="s">
        <v>65</v>
      </c>
      <c r="R1355">
        <v>3.2000000000000002E-3</v>
      </c>
      <c r="T1355">
        <v>2.7000000000000001E-3</v>
      </c>
      <c r="V1355">
        <v>3.8E-3</v>
      </c>
      <c r="W1355" t="s">
        <v>66</v>
      </c>
      <c r="X1355" t="s">
        <v>67</v>
      </c>
      <c r="Y1355" t="s">
        <v>67</v>
      </c>
      <c r="Z1355" t="s">
        <v>68</v>
      </c>
      <c r="AB1355">
        <v>4</v>
      </c>
      <c r="AC1355" t="s">
        <v>61</v>
      </c>
      <c r="AJ1355" t="s">
        <v>69</v>
      </c>
      <c r="AY1355" t="s">
        <v>771</v>
      </c>
      <c r="AZ1355">
        <v>9479</v>
      </c>
      <c r="BA1355" t="s">
        <v>1117</v>
      </c>
      <c r="BB1355" t="s">
        <v>1118</v>
      </c>
      <c r="BC1355">
        <v>1981</v>
      </c>
      <c r="BD1355" t="s">
        <v>90</v>
      </c>
    </row>
    <row r="1356" spans="1:56" x14ac:dyDescent="0.35">
      <c r="A1356">
        <v>115297</v>
      </c>
      <c r="B1356" t="s">
        <v>1116</v>
      </c>
      <c r="D1356" t="s">
        <v>85</v>
      </c>
      <c r="E1356" t="s">
        <v>86</v>
      </c>
      <c r="F1356" t="s">
        <v>58</v>
      </c>
      <c r="G1356" t="s">
        <v>59</v>
      </c>
      <c r="H1356" t="s">
        <v>60</v>
      </c>
      <c r="J1356" t="s">
        <v>86</v>
      </c>
      <c r="M1356" t="s">
        <v>63</v>
      </c>
      <c r="N1356" t="s">
        <v>64</v>
      </c>
      <c r="P1356" t="s">
        <v>100</v>
      </c>
      <c r="R1356">
        <v>1.4E-3</v>
      </c>
      <c r="W1356" t="s">
        <v>66</v>
      </c>
      <c r="X1356" t="s">
        <v>67</v>
      </c>
      <c r="Y1356" t="s">
        <v>67</v>
      </c>
      <c r="Z1356" t="s">
        <v>68</v>
      </c>
      <c r="AB1356">
        <v>4</v>
      </c>
      <c r="AC1356" t="s">
        <v>61</v>
      </c>
      <c r="AJ1356" t="s">
        <v>69</v>
      </c>
      <c r="AY1356" t="s">
        <v>101</v>
      </c>
      <c r="AZ1356">
        <v>70421</v>
      </c>
      <c r="BA1356" t="s">
        <v>102</v>
      </c>
      <c r="BB1356" t="s">
        <v>103</v>
      </c>
      <c r="BC1356">
        <v>1974</v>
      </c>
      <c r="BD1356" t="s">
        <v>90</v>
      </c>
    </row>
    <row r="1357" spans="1:56" x14ac:dyDescent="0.35">
      <c r="A1357">
        <v>115297</v>
      </c>
      <c r="B1357" t="s">
        <v>1116</v>
      </c>
      <c r="D1357" t="s">
        <v>57</v>
      </c>
      <c r="E1357" t="s">
        <v>86</v>
      </c>
      <c r="F1357" t="s">
        <v>58</v>
      </c>
      <c r="G1357" t="s">
        <v>59</v>
      </c>
      <c r="H1357" t="s">
        <v>60</v>
      </c>
      <c r="J1357" t="s">
        <v>86</v>
      </c>
      <c r="L1357" t="s">
        <v>74</v>
      </c>
      <c r="M1357" t="s">
        <v>63</v>
      </c>
      <c r="N1357" t="s">
        <v>64</v>
      </c>
      <c r="P1357" t="s">
        <v>65</v>
      </c>
      <c r="R1357">
        <v>1E-3</v>
      </c>
      <c r="T1357">
        <v>8.0000000000000004E-4</v>
      </c>
      <c r="V1357">
        <v>1.2999999999999999E-3</v>
      </c>
      <c r="W1357" t="s">
        <v>66</v>
      </c>
      <c r="X1357" t="s">
        <v>67</v>
      </c>
      <c r="Y1357" t="s">
        <v>67</v>
      </c>
      <c r="Z1357" t="s">
        <v>68</v>
      </c>
      <c r="AB1357">
        <v>4</v>
      </c>
      <c r="AC1357" t="s">
        <v>61</v>
      </c>
      <c r="AJ1357" t="s">
        <v>69</v>
      </c>
      <c r="AY1357" t="s">
        <v>1119</v>
      </c>
      <c r="AZ1357">
        <v>10526</v>
      </c>
      <c r="BA1357" t="s">
        <v>1120</v>
      </c>
      <c r="BB1357" t="s">
        <v>1121</v>
      </c>
      <c r="BC1357">
        <v>1983</v>
      </c>
      <c r="BD1357" t="s">
        <v>90</v>
      </c>
    </row>
    <row r="1358" spans="1:56" x14ac:dyDescent="0.35">
      <c r="A1358">
        <v>115297</v>
      </c>
      <c r="B1358" t="s">
        <v>1116</v>
      </c>
      <c r="D1358" t="s">
        <v>57</v>
      </c>
      <c r="E1358" t="s">
        <v>86</v>
      </c>
      <c r="F1358" t="s">
        <v>58</v>
      </c>
      <c r="G1358" t="s">
        <v>59</v>
      </c>
      <c r="H1358" t="s">
        <v>60</v>
      </c>
      <c r="J1358" t="s">
        <v>86</v>
      </c>
      <c r="L1358" t="s">
        <v>74</v>
      </c>
      <c r="M1358" t="s">
        <v>63</v>
      </c>
      <c r="N1358" t="s">
        <v>64</v>
      </c>
      <c r="P1358" t="s">
        <v>65</v>
      </c>
      <c r="R1358">
        <v>1E-3</v>
      </c>
      <c r="T1358">
        <v>8.0000000000000004E-4</v>
      </c>
      <c r="V1358">
        <v>1.1000000000000001E-3</v>
      </c>
      <c r="W1358" t="s">
        <v>66</v>
      </c>
      <c r="X1358" t="s">
        <v>67</v>
      </c>
      <c r="Y1358" t="s">
        <v>67</v>
      </c>
      <c r="Z1358" t="s">
        <v>68</v>
      </c>
      <c r="AB1358">
        <v>4</v>
      </c>
      <c r="AC1358" t="s">
        <v>61</v>
      </c>
      <c r="AJ1358" t="s">
        <v>69</v>
      </c>
      <c r="AY1358" t="s">
        <v>771</v>
      </c>
      <c r="AZ1358">
        <v>9479</v>
      </c>
      <c r="BA1358" t="s">
        <v>1117</v>
      </c>
      <c r="BB1358" t="s">
        <v>1118</v>
      </c>
      <c r="BC1358">
        <v>1981</v>
      </c>
      <c r="BD1358" t="s">
        <v>90</v>
      </c>
    </row>
    <row r="1359" spans="1:56" x14ac:dyDescent="0.35">
      <c r="A1359">
        <v>115297</v>
      </c>
      <c r="B1359" t="s">
        <v>1116</v>
      </c>
      <c r="D1359" t="s">
        <v>57</v>
      </c>
      <c r="E1359" t="s">
        <v>86</v>
      </c>
      <c r="F1359" t="s">
        <v>58</v>
      </c>
      <c r="G1359" t="s">
        <v>59</v>
      </c>
      <c r="H1359" t="s">
        <v>60</v>
      </c>
      <c r="J1359" t="s">
        <v>86</v>
      </c>
      <c r="L1359" t="s">
        <v>74</v>
      </c>
      <c r="M1359" t="s">
        <v>63</v>
      </c>
      <c r="N1359" t="s">
        <v>64</v>
      </c>
      <c r="P1359" t="s">
        <v>65</v>
      </c>
      <c r="R1359">
        <v>7.2999999999999996E-4</v>
      </c>
      <c r="T1359">
        <v>5.9999999999999995E-4</v>
      </c>
      <c r="V1359">
        <v>8.8999999999999995E-4</v>
      </c>
      <c r="W1359" t="s">
        <v>66</v>
      </c>
      <c r="X1359" t="s">
        <v>67</v>
      </c>
      <c r="Y1359" t="s">
        <v>67</v>
      </c>
      <c r="Z1359" t="s">
        <v>68</v>
      </c>
      <c r="AB1359">
        <v>4</v>
      </c>
      <c r="AC1359" t="s">
        <v>61</v>
      </c>
      <c r="AJ1359" t="s">
        <v>69</v>
      </c>
      <c r="AY1359" t="s">
        <v>771</v>
      </c>
      <c r="AZ1359">
        <v>9479</v>
      </c>
      <c r="BA1359" t="s">
        <v>1117</v>
      </c>
      <c r="BB1359" t="s">
        <v>1118</v>
      </c>
      <c r="BC1359">
        <v>1981</v>
      </c>
      <c r="BD1359" t="s">
        <v>90</v>
      </c>
    </row>
    <row r="1360" spans="1:56" x14ac:dyDescent="0.35">
      <c r="A1360">
        <v>115297</v>
      </c>
      <c r="B1360" t="s">
        <v>1116</v>
      </c>
      <c r="D1360" t="s">
        <v>57</v>
      </c>
      <c r="E1360" t="s">
        <v>86</v>
      </c>
      <c r="F1360" t="s">
        <v>58</v>
      </c>
      <c r="G1360" t="s">
        <v>59</v>
      </c>
      <c r="H1360" t="s">
        <v>60</v>
      </c>
      <c r="J1360" t="s">
        <v>86</v>
      </c>
      <c r="L1360" t="s">
        <v>62</v>
      </c>
      <c r="M1360" t="s">
        <v>63</v>
      </c>
      <c r="N1360" t="s">
        <v>64</v>
      </c>
      <c r="P1360" t="s">
        <v>65</v>
      </c>
      <c r="R1360">
        <v>8.0000000000000004E-4</v>
      </c>
      <c r="T1360">
        <v>8.0000000000000004E-4</v>
      </c>
      <c r="V1360">
        <v>8.9999999999999998E-4</v>
      </c>
      <c r="W1360" t="s">
        <v>66</v>
      </c>
      <c r="X1360" t="s">
        <v>67</v>
      </c>
      <c r="Y1360" t="s">
        <v>67</v>
      </c>
      <c r="Z1360" t="s">
        <v>68</v>
      </c>
      <c r="AB1360">
        <v>4</v>
      </c>
      <c r="AC1360" t="s">
        <v>61</v>
      </c>
      <c r="AJ1360" t="s">
        <v>69</v>
      </c>
      <c r="AY1360" t="s">
        <v>1119</v>
      </c>
      <c r="AZ1360">
        <v>10526</v>
      </c>
      <c r="BA1360" t="s">
        <v>1120</v>
      </c>
      <c r="BB1360" t="s">
        <v>1121</v>
      </c>
      <c r="BC1360">
        <v>1983</v>
      </c>
      <c r="BD1360" t="s">
        <v>90</v>
      </c>
    </row>
    <row r="1361" spans="1:56" x14ac:dyDescent="0.35">
      <c r="A1361">
        <v>115297</v>
      </c>
      <c r="B1361" t="s">
        <v>1116</v>
      </c>
      <c r="D1361" t="s">
        <v>57</v>
      </c>
      <c r="E1361" t="s">
        <v>86</v>
      </c>
      <c r="F1361" t="s">
        <v>58</v>
      </c>
      <c r="G1361" t="s">
        <v>59</v>
      </c>
      <c r="H1361" t="s">
        <v>60</v>
      </c>
      <c r="I1361" t="s">
        <v>129</v>
      </c>
      <c r="J1361" t="s">
        <v>86</v>
      </c>
      <c r="K1361" t="s">
        <v>61</v>
      </c>
      <c r="L1361" t="s">
        <v>74</v>
      </c>
      <c r="M1361" t="s">
        <v>63</v>
      </c>
      <c r="N1361" t="s">
        <v>64</v>
      </c>
      <c r="P1361" t="s">
        <v>65</v>
      </c>
      <c r="R1361">
        <v>1.32E-3</v>
      </c>
      <c r="T1361">
        <v>1.1299999999999999E-3</v>
      </c>
      <c r="V1361">
        <v>1.5399999999999999E-3</v>
      </c>
      <c r="W1361" t="s">
        <v>66</v>
      </c>
      <c r="X1361" t="s">
        <v>67</v>
      </c>
      <c r="Y1361" t="s">
        <v>67</v>
      </c>
      <c r="Z1361" t="s">
        <v>68</v>
      </c>
      <c r="AB1361">
        <v>4</v>
      </c>
      <c r="AC1361" t="s">
        <v>61</v>
      </c>
      <c r="AJ1361" t="s">
        <v>69</v>
      </c>
      <c r="AY1361" t="s">
        <v>1122</v>
      </c>
      <c r="AZ1361">
        <v>11272</v>
      </c>
      <c r="BA1361" t="s">
        <v>1123</v>
      </c>
      <c r="BB1361" t="s">
        <v>1124</v>
      </c>
      <c r="BC1361">
        <v>1984</v>
      </c>
      <c r="BD1361" t="s">
        <v>1125</v>
      </c>
    </row>
    <row r="1362" spans="1:56" x14ac:dyDescent="0.35">
      <c r="A1362">
        <v>115297</v>
      </c>
      <c r="B1362" t="s">
        <v>1116</v>
      </c>
      <c r="D1362" t="s">
        <v>57</v>
      </c>
      <c r="E1362" t="s">
        <v>86</v>
      </c>
      <c r="F1362" t="s">
        <v>58</v>
      </c>
      <c r="G1362" t="s">
        <v>59</v>
      </c>
      <c r="H1362" t="s">
        <v>60</v>
      </c>
      <c r="J1362" t="s">
        <v>86</v>
      </c>
      <c r="L1362" t="s">
        <v>74</v>
      </c>
      <c r="M1362" t="s">
        <v>63</v>
      </c>
      <c r="N1362" t="s">
        <v>64</v>
      </c>
      <c r="P1362" t="s">
        <v>65</v>
      </c>
      <c r="R1362">
        <v>1.91E-3</v>
      </c>
      <c r="W1362" t="s">
        <v>66</v>
      </c>
      <c r="X1362" t="s">
        <v>67</v>
      </c>
      <c r="Y1362" t="s">
        <v>67</v>
      </c>
      <c r="Z1362" t="s">
        <v>68</v>
      </c>
      <c r="AB1362">
        <v>4</v>
      </c>
      <c r="AC1362" t="s">
        <v>61</v>
      </c>
      <c r="AJ1362" t="s">
        <v>69</v>
      </c>
      <c r="AY1362" t="s">
        <v>771</v>
      </c>
      <c r="AZ1362">
        <v>9479</v>
      </c>
      <c r="BA1362" t="s">
        <v>1117</v>
      </c>
      <c r="BB1362" t="s">
        <v>1118</v>
      </c>
      <c r="BC1362">
        <v>1981</v>
      </c>
      <c r="BD1362" t="s">
        <v>90</v>
      </c>
    </row>
    <row r="1363" spans="1:56" x14ac:dyDescent="0.35">
      <c r="A1363">
        <v>115297</v>
      </c>
      <c r="B1363" t="s">
        <v>1116</v>
      </c>
      <c r="D1363" t="s">
        <v>57</v>
      </c>
      <c r="E1363" t="s">
        <v>86</v>
      </c>
      <c r="F1363" t="s">
        <v>58</v>
      </c>
      <c r="G1363" t="s">
        <v>59</v>
      </c>
      <c r="H1363" t="s">
        <v>60</v>
      </c>
      <c r="J1363" t="s">
        <v>86</v>
      </c>
      <c r="L1363" t="s">
        <v>74</v>
      </c>
      <c r="M1363" t="s">
        <v>63</v>
      </c>
      <c r="N1363" t="s">
        <v>64</v>
      </c>
      <c r="P1363" t="s">
        <v>65</v>
      </c>
      <c r="R1363">
        <v>2.9E-4</v>
      </c>
      <c r="T1363">
        <v>1.9000000000000001E-4</v>
      </c>
      <c r="V1363">
        <v>4.4000000000000002E-4</v>
      </c>
      <c r="W1363" t="s">
        <v>66</v>
      </c>
      <c r="X1363" t="s">
        <v>67</v>
      </c>
      <c r="Y1363" t="s">
        <v>67</v>
      </c>
      <c r="Z1363" t="s">
        <v>68</v>
      </c>
      <c r="AB1363">
        <v>4</v>
      </c>
      <c r="AC1363" t="s">
        <v>61</v>
      </c>
      <c r="AJ1363" t="s">
        <v>69</v>
      </c>
      <c r="AY1363" t="s">
        <v>771</v>
      </c>
      <c r="AZ1363">
        <v>9479</v>
      </c>
      <c r="BA1363" t="s">
        <v>1117</v>
      </c>
      <c r="BB1363" t="s">
        <v>1118</v>
      </c>
      <c r="BC1363">
        <v>1981</v>
      </c>
      <c r="BD1363" t="s">
        <v>90</v>
      </c>
    </row>
    <row r="1364" spans="1:56" x14ac:dyDescent="0.35">
      <c r="A1364">
        <v>115297</v>
      </c>
      <c r="B1364" t="s">
        <v>1116</v>
      </c>
      <c r="D1364" t="s">
        <v>57</v>
      </c>
      <c r="E1364" t="s">
        <v>86</v>
      </c>
      <c r="F1364" t="s">
        <v>58</v>
      </c>
      <c r="G1364" t="s">
        <v>59</v>
      </c>
      <c r="H1364" t="s">
        <v>60</v>
      </c>
      <c r="J1364" t="s">
        <v>86</v>
      </c>
      <c r="L1364" t="s">
        <v>74</v>
      </c>
      <c r="M1364" t="s">
        <v>63</v>
      </c>
      <c r="N1364" t="s">
        <v>64</v>
      </c>
      <c r="P1364" t="s">
        <v>65</v>
      </c>
      <c r="R1364">
        <v>4.4999999999999999E-4</v>
      </c>
      <c r="T1364">
        <v>3.8000000000000002E-4</v>
      </c>
      <c r="V1364">
        <v>5.2999999999999998E-4</v>
      </c>
      <c r="W1364" t="s">
        <v>66</v>
      </c>
      <c r="X1364" t="s">
        <v>67</v>
      </c>
      <c r="Y1364" t="s">
        <v>67</v>
      </c>
      <c r="Z1364" t="s">
        <v>68</v>
      </c>
      <c r="AB1364">
        <v>4</v>
      </c>
      <c r="AC1364" t="s">
        <v>61</v>
      </c>
      <c r="AJ1364" t="s">
        <v>69</v>
      </c>
      <c r="AY1364" t="s">
        <v>771</v>
      </c>
      <c r="AZ1364">
        <v>9479</v>
      </c>
      <c r="BA1364" t="s">
        <v>1117</v>
      </c>
      <c r="BB1364" t="s">
        <v>1118</v>
      </c>
      <c r="BC1364">
        <v>1981</v>
      </c>
      <c r="BD1364" t="s">
        <v>90</v>
      </c>
    </row>
    <row r="1365" spans="1:56" x14ac:dyDescent="0.35">
      <c r="A1365">
        <v>115297</v>
      </c>
      <c r="B1365" t="s">
        <v>1116</v>
      </c>
      <c r="D1365" t="s">
        <v>57</v>
      </c>
      <c r="E1365" t="s">
        <v>86</v>
      </c>
      <c r="F1365" t="s">
        <v>58</v>
      </c>
      <c r="G1365" t="s">
        <v>59</v>
      </c>
      <c r="H1365" t="s">
        <v>60</v>
      </c>
      <c r="J1365" t="s">
        <v>86</v>
      </c>
      <c r="L1365" t="s">
        <v>62</v>
      </c>
      <c r="M1365" t="s">
        <v>63</v>
      </c>
      <c r="N1365" t="s">
        <v>64</v>
      </c>
      <c r="P1365" t="s">
        <v>65</v>
      </c>
      <c r="R1365">
        <v>1.48E-3</v>
      </c>
      <c r="T1365">
        <v>1.33E-3</v>
      </c>
      <c r="V1365">
        <v>1.64E-3</v>
      </c>
      <c r="W1365" t="s">
        <v>66</v>
      </c>
      <c r="X1365" t="s">
        <v>67</v>
      </c>
      <c r="Y1365" t="s">
        <v>67</v>
      </c>
      <c r="Z1365" t="s">
        <v>68</v>
      </c>
      <c r="AB1365">
        <v>4</v>
      </c>
      <c r="AC1365" t="s">
        <v>61</v>
      </c>
      <c r="AJ1365" t="s">
        <v>69</v>
      </c>
      <c r="AY1365" t="s">
        <v>771</v>
      </c>
      <c r="AZ1365">
        <v>9479</v>
      </c>
      <c r="BA1365" t="s">
        <v>1117</v>
      </c>
      <c r="BB1365" t="s">
        <v>1118</v>
      </c>
      <c r="BC1365">
        <v>1981</v>
      </c>
      <c r="BD1365" t="s">
        <v>90</v>
      </c>
    </row>
    <row r="1366" spans="1:56" x14ac:dyDescent="0.35">
      <c r="A1366">
        <v>115297</v>
      </c>
      <c r="B1366" t="s">
        <v>1116</v>
      </c>
      <c r="D1366" t="s">
        <v>57</v>
      </c>
      <c r="E1366" t="s">
        <v>86</v>
      </c>
      <c r="F1366" t="s">
        <v>58</v>
      </c>
      <c r="G1366" t="s">
        <v>59</v>
      </c>
      <c r="H1366" t="s">
        <v>60</v>
      </c>
      <c r="J1366" t="s">
        <v>86</v>
      </c>
      <c r="L1366" t="s">
        <v>62</v>
      </c>
      <c r="M1366" t="s">
        <v>63</v>
      </c>
      <c r="N1366" t="s">
        <v>64</v>
      </c>
      <c r="P1366" t="s">
        <v>65</v>
      </c>
      <c r="R1366">
        <v>1.6999999999999999E-3</v>
      </c>
      <c r="T1366">
        <v>1.42E-3</v>
      </c>
      <c r="V1366">
        <v>2.0400000000000001E-3</v>
      </c>
      <c r="W1366" t="s">
        <v>66</v>
      </c>
      <c r="X1366" t="s">
        <v>67</v>
      </c>
      <c r="Y1366" t="s">
        <v>67</v>
      </c>
      <c r="Z1366" t="s">
        <v>68</v>
      </c>
      <c r="AB1366">
        <v>4</v>
      </c>
      <c r="AC1366" t="s">
        <v>61</v>
      </c>
      <c r="AJ1366" t="s">
        <v>69</v>
      </c>
      <c r="AY1366" t="s">
        <v>771</v>
      </c>
      <c r="AZ1366">
        <v>9479</v>
      </c>
      <c r="BA1366" t="s">
        <v>1117</v>
      </c>
      <c r="BB1366" t="s">
        <v>1118</v>
      </c>
      <c r="BC1366">
        <v>1981</v>
      </c>
      <c r="BD1366" t="s">
        <v>90</v>
      </c>
    </row>
    <row r="1367" spans="1:56" x14ac:dyDescent="0.35">
      <c r="A1367">
        <v>115297</v>
      </c>
      <c r="B1367" t="s">
        <v>1116</v>
      </c>
      <c r="D1367" t="s">
        <v>57</v>
      </c>
      <c r="E1367" t="s">
        <v>86</v>
      </c>
      <c r="F1367" t="s">
        <v>58</v>
      </c>
      <c r="G1367" t="s">
        <v>59</v>
      </c>
      <c r="H1367" t="s">
        <v>60</v>
      </c>
      <c r="J1367" t="s">
        <v>86</v>
      </c>
      <c r="L1367" t="s">
        <v>74</v>
      </c>
      <c r="M1367" t="s">
        <v>63</v>
      </c>
      <c r="N1367" t="s">
        <v>64</v>
      </c>
      <c r="P1367" t="s">
        <v>65</v>
      </c>
      <c r="R1367">
        <v>1.1999999999999999E-3</v>
      </c>
      <c r="T1367">
        <v>9.8999999999999999E-4</v>
      </c>
      <c r="V1367">
        <v>1.6999999999999999E-3</v>
      </c>
      <c r="W1367" t="s">
        <v>66</v>
      </c>
      <c r="X1367" t="s">
        <v>67</v>
      </c>
      <c r="Y1367" t="s">
        <v>67</v>
      </c>
      <c r="Z1367" t="s">
        <v>68</v>
      </c>
      <c r="AB1367">
        <v>4</v>
      </c>
      <c r="AC1367" t="s">
        <v>61</v>
      </c>
      <c r="AJ1367" t="s">
        <v>69</v>
      </c>
      <c r="AY1367" t="s">
        <v>771</v>
      </c>
      <c r="AZ1367">
        <v>9479</v>
      </c>
      <c r="BA1367" t="s">
        <v>1117</v>
      </c>
      <c r="BB1367" t="s">
        <v>1118</v>
      </c>
      <c r="BC1367">
        <v>1981</v>
      </c>
      <c r="BD1367" t="s">
        <v>90</v>
      </c>
    </row>
    <row r="1368" spans="1:56" x14ac:dyDescent="0.35">
      <c r="A1368">
        <v>115297</v>
      </c>
      <c r="B1368" t="s">
        <v>1116</v>
      </c>
      <c r="D1368" t="s">
        <v>57</v>
      </c>
      <c r="E1368" t="s">
        <v>86</v>
      </c>
      <c r="F1368" t="s">
        <v>58</v>
      </c>
      <c r="G1368" t="s">
        <v>59</v>
      </c>
      <c r="H1368" t="s">
        <v>60</v>
      </c>
      <c r="J1368" t="s">
        <v>86</v>
      </c>
      <c r="L1368" t="s">
        <v>62</v>
      </c>
      <c r="M1368" t="s">
        <v>63</v>
      </c>
      <c r="N1368" t="s">
        <v>64</v>
      </c>
      <c r="P1368" t="s">
        <v>65</v>
      </c>
      <c r="R1368">
        <v>9.7000000000000005E-4</v>
      </c>
      <c r="T1368">
        <v>7.7999999999999999E-4</v>
      </c>
      <c r="V1368">
        <v>1.1900000000000001E-3</v>
      </c>
      <c r="W1368" t="s">
        <v>66</v>
      </c>
      <c r="X1368" t="s">
        <v>67</v>
      </c>
      <c r="Y1368" t="s">
        <v>67</v>
      </c>
      <c r="Z1368" t="s">
        <v>68</v>
      </c>
      <c r="AB1368">
        <v>4</v>
      </c>
      <c r="AC1368" t="s">
        <v>61</v>
      </c>
      <c r="AJ1368" t="s">
        <v>69</v>
      </c>
      <c r="AY1368" t="s">
        <v>771</v>
      </c>
      <c r="AZ1368">
        <v>9479</v>
      </c>
      <c r="BA1368" t="s">
        <v>1117</v>
      </c>
      <c r="BB1368" t="s">
        <v>1118</v>
      </c>
      <c r="BC1368">
        <v>1981</v>
      </c>
      <c r="BD1368" t="s">
        <v>90</v>
      </c>
    </row>
    <row r="1369" spans="1:56" x14ac:dyDescent="0.35">
      <c r="A1369">
        <v>115297</v>
      </c>
      <c r="B1369" t="s">
        <v>1116</v>
      </c>
      <c r="D1369" t="s">
        <v>57</v>
      </c>
      <c r="E1369" t="s">
        <v>86</v>
      </c>
      <c r="F1369" t="s">
        <v>58</v>
      </c>
      <c r="G1369" t="s">
        <v>59</v>
      </c>
      <c r="H1369" t="s">
        <v>60</v>
      </c>
      <c r="J1369" t="s">
        <v>86</v>
      </c>
      <c r="L1369" t="s">
        <v>62</v>
      </c>
      <c r="M1369" t="s">
        <v>63</v>
      </c>
      <c r="N1369" t="s">
        <v>64</v>
      </c>
      <c r="P1369" t="s">
        <v>65</v>
      </c>
      <c r="R1369">
        <v>2.5000000000000001E-3</v>
      </c>
      <c r="T1369">
        <v>2.2000000000000001E-3</v>
      </c>
      <c r="V1369">
        <v>3.0000000000000001E-3</v>
      </c>
      <c r="W1369" t="s">
        <v>66</v>
      </c>
      <c r="X1369" t="s">
        <v>67</v>
      </c>
      <c r="Y1369" t="s">
        <v>67</v>
      </c>
      <c r="Z1369" t="s">
        <v>68</v>
      </c>
      <c r="AB1369">
        <v>4</v>
      </c>
      <c r="AC1369" t="s">
        <v>61</v>
      </c>
      <c r="AJ1369" t="s">
        <v>69</v>
      </c>
      <c r="AY1369" t="s">
        <v>771</v>
      </c>
      <c r="AZ1369">
        <v>9479</v>
      </c>
      <c r="BA1369" t="s">
        <v>1117</v>
      </c>
      <c r="BB1369" t="s">
        <v>1118</v>
      </c>
      <c r="BC1369">
        <v>1981</v>
      </c>
      <c r="BD1369" t="s">
        <v>90</v>
      </c>
    </row>
    <row r="1370" spans="1:56" x14ac:dyDescent="0.35">
      <c r="A1370">
        <v>115297</v>
      </c>
      <c r="B1370" t="s">
        <v>1116</v>
      </c>
      <c r="D1370" t="s">
        <v>57</v>
      </c>
      <c r="E1370" t="s">
        <v>86</v>
      </c>
      <c r="F1370" t="s">
        <v>58</v>
      </c>
      <c r="G1370" t="s">
        <v>59</v>
      </c>
      <c r="H1370" t="s">
        <v>60</v>
      </c>
      <c r="J1370" t="s">
        <v>86</v>
      </c>
      <c r="L1370" t="s">
        <v>74</v>
      </c>
      <c r="M1370" t="s">
        <v>63</v>
      </c>
      <c r="N1370" t="s">
        <v>64</v>
      </c>
      <c r="P1370" t="s">
        <v>65</v>
      </c>
      <c r="R1370">
        <v>8.0999999999999996E-4</v>
      </c>
      <c r="T1370">
        <v>6.7000000000000002E-4</v>
      </c>
      <c r="V1370">
        <v>1E-3</v>
      </c>
      <c r="W1370" t="s">
        <v>66</v>
      </c>
      <c r="X1370" t="s">
        <v>67</v>
      </c>
      <c r="Y1370" t="s">
        <v>67</v>
      </c>
      <c r="Z1370" t="s">
        <v>68</v>
      </c>
      <c r="AB1370">
        <v>4</v>
      </c>
      <c r="AC1370" t="s">
        <v>61</v>
      </c>
      <c r="AJ1370" t="s">
        <v>69</v>
      </c>
      <c r="AY1370" t="s">
        <v>771</v>
      </c>
      <c r="AZ1370">
        <v>9479</v>
      </c>
      <c r="BA1370" t="s">
        <v>1117</v>
      </c>
      <c r="BB1370" t="s">
        <v>1118</v>
      </c>
      <c r="BC1370">
        <v>1981</v>
      </c>
      <c r="BD1370" t="s">
        <v>90</v>
      </c>
    </row>
    <row r="1371" spans="1:56" x14ac:dyDescent="0.35">
      <c r="A1371">
        <v>115297</v>
      </c>
      <c r="B1371" t="s">
        <v>1116</v>
      </c>
      <c r="D1371" t="s">
        <v>57</v>
      </c>
      <c r="E1371" t="s">
        <v>86</v>
      </c>
      <c r="F1371" t="s">
        <v>58</v>
      </c>
      <c r="G1371" t="s">
        <v>59</v>
      </c>
      <c r="H1371" t="s">
        <v>60</v>
      </c>
      <c r="J1371" t="s">
        <v>86</v>
      </c>
      <c r="L1371" t="s">
        <v>62</v>
      </c>
      <c r="M1371" t="s">
        <v>63</v>
      </c>
      <c r="N1371" t="s">
        <v>64</v>
      </c>
      <c r="P1371" t="s">
        <v>65</v>
      </c>
      <c r="R1371">
        <v>2.0999999999999999E-3</v>
      </c>
      <c r="T1371">
        <v>1.6999999999999999E-3</v>
      </c>
      <c r="V1371">
        <v>5.8599999999999998E-3</v>
      </c>
      <c r="W1371" t="s">
        <v>66</v>
      </c>
      <c r="X1371" t="s">
        <v>67</v>
      </c>
      <c r="Y1371" t="s">
        <v>67</v>
      </c>
      <c r="Z1371" t="s">
        <v>68</v>
      </c>
      <c r="AB1371">
        <v>4</v>
      </c>
      <c r="AC1371" t="s">
        <v>61</v>
      </c>
      <c r="AJ1371" t="s">
        <v>69</v>
      </c>
      <c r="AY1371" t="s">
        <v>771</v>
      </c>
      <c r="AZ1371">
        <v>9479</v>
      </c>
      <c r="BA1371" t="s">
        <v>1117</v>
      </c>
      <c r="BB1371" t="s">
        <v>1118</v>
      </c>
      <c r="BC1371">
        <v>1981</v>
      </c>
      <c r="BD1371" t="s">
        <v>90</v>
      </c>
    </row>
    <row r="1372" spans="1:56" x14ac:dyDescent="0.35">
      <c r="A1372">
        <v>115297</v>
      </c>
      <c r="B1372" t="s">
        <v>1116</v>
      </c>
      <c r="D1372" t="s">
        <v>57</v>
      </c>
      <c r="E1372" t="s">
        <v>86</v>
      </c>
      <c r="F1372" t="s">
        <v>58</v>
      </c>
      <c r="G1372" t="s">
        <v>59</v>
      </c>
      <c r="H1372" t="s">
        <v>60</v>
      </c>
      <c r="J1372" t="s">
        <v>86</v>
      </c>
      <c r="L1372" t="s">
        <v>62</v>
      </c>
      <c r="M1372" t="s">
        <v>63</v>
      </c>
      <c r="N1372" t="s">
        <v>64</v>
      </c>
      <c r="P1372" t="s">
        <v>65</v>
      </c>
      <c r="R1372">
        <v>1.2999999999999999E-3</v>
      </c>
      <c r="T1372">
        <v>8.0000000000000004E-4</v>
      </c>
      <c r="V1372">
        <v>2.2000000000000001E-3</v>
      </c>
      <c r="W1372" t="s">
        <v>66</v>
      </c>
      <c r="X1372" t="s">
        <v>67</v>
      </c>
      <c r="Y1372" t="s">
        <v>67</v>
      </c>
      <c r="Z1372" t="s">
        <v>68</v>
      </c>
      <c r="AB1372">
        <v>4</v>
      </c>
      <c r="AC1372" t="s">
        <v>61</v>
      </c>
      <c r="AJ1372" t="s">
        <v>69</v>
      </c>
      <c r="AY1372" t="s">
        <v>1119</v>
      </c>
      <c r="AZ1372">
        <v>10526</v>
      </c>
      <c r="BA1372" t="s">
        <v>1120</v>
      </c>
      <c r="BB1372" t="s">
        <v>1121</v>
      </c>
      <c r="BC1372">
        <v>1983</v>
      </c>
      <c r="BD1372" t="s">
        <v>90</v>
      </c>
    </row>
    <row r="1373" spans="1:56" x14ac:dyDescent="0.35">
      <c r="A1373">
        <v>115297</v>
      </c>
      <c r="B1373" t="s">
        <v>1116</v>
      </c>
      <c r="D1373" t="s">
        <v>57</v>
      </c>
      <c r="E1373" t="s">
        <v>86</v>
      </c>
      <c r="F1373" t="s">
        <v>58</v>
      </c>
      <c r="G1373" t="s">
        <v>59</v>
      </c>
      <c r="H1373" t="s">
        <v>60</v>
      </c>
      <c r="J1373" t="s">
        <v>86</v>
      </c>
      <c r="L1373" t="s">
        <v>74</v>
      </c>
      <c r="M1373" t="s">
        <v>63</v>
      </c>
      <c r="N1373" t="s">
        <v>64</v>
      </c>
      <c r="P1373" t="s">
        <v>65</v>
      </c>
      <c r="R1373">
        <v>1.67E-3</v>
      </c>
      <c r="T1373">
        <v>1.5399999999999999E-3</v>
      </c>
      <c r="V1373">
        <v>2.3400000000000001E-3</v>
      </c>
      <c r="W1373" t="s">
        <v>66</v>
      </c>
      <c r="X1373" t="s">
        <v>67</v>
      </c>
      <c r="Y1373" t="s">
        <v>67</v>
      </c>
      <c r="Z1373" t="s">
        <v>68</v>
      </c>
      <c r="AB1373">
        <v>4</v>
      </c>
      <c r="AC1373" t="s">
        <v>61</v>
      </c>
      <c r="AJ1373" t="s">
        <v>69</v>
      </c>
      <c r="AY1373" t="s">
        <v>771</v>
      </c>
      <c r="AZ1373">
        <v>9479</v>
      </c>
      <c r="BA1373" t="s">
        <v>1117</v>
      </c>
      <c r="BB1373" t="s">
        <v>1118</v>
      </c>
      <c r="BC1373">
        <v>1981</v>
      </c>
      <c r="BD1373" t="s">
        <v>90</v>
      </c>
    </row>
    <row r="1374" spans="1:56" x14ac:dyDescent="0.35">
      <c r="A1374">
        <v>115297</v>
      </c>
      <c r="B1374" t="s">
        <v>1116</v>
      </c>
      <c r="D1374" t="s">
        <v>57</v>
      </c>
      <c r="E1374" t="s">
        <v>86</v>
      </c>
      <c r="F1374" t="s">
        <v>58</v>
      </c>
      <c r="G1374" t="s">
        <v>59</v>
      </c>
      <c r="H1374" t="s">
        <v>60</v>
      </c>
      <c r="J1374" t="s">
        <v>86</v>
      </c>
      <c r="L1374" t="s">
        <v>62</v>
      </c>
      <c r="M1374" t="s">
        <v>63</v>
      </c>
      <c r="N1374" t="s">
        <v>64</v>
      </c>
      <c r="P1374" t="s">
        <v>65</v>
      </c>
      <c r="R1374">
        <v>3.2000000000000002E-3</v>
      </c>
      <c r="T1374">
        <v>2.8999999999999998E-3</v>
      </c>
      <c r="V1374">
        <v>3.7000000000000002E-3</v>
      </c>
      <c r="W1374" t="s">
        <v>66</v>
      </c>
      <c r="X1374" t="s">
        <v>67</v>
      </c>
      <c r="Y1374" t="s">
        <v>67</v>
      </c>
      <c r="Z1374" t="s">
        <v>68</v>
      </c>
      <c r="AB1374">
        <v>4</v>
      </c>
      <c r="AC1374" t="s">
        <v>61</v>
      </c>
      <c r="AJ1374" t="s">
        <v>69</v>
      </c>
      <c r="AY1374" t="s">
        <v>771</v>
      </c>
      <c r="AZ1374">
        <v>9479</v>
      </c>
      <c r="BA1374" t="s">
        <v>1117</v>
      </c>
      <c r="BB1374" t="s">
        <v>1118</v>
      </c>
      <c r="BC1374">
        <v>1981</v>
      </c>
      <c r="BD1374" t="s">
        <v>90</v>
      </c>
    </row>
    <row r="1375" spans="1:56" x14ac:dyDescent="0.35">
      <c r="A1375">
        <v>115297</v>
      </c>
      <c r="B1375" t="s">
        <v>1116</v>
      </c>
      <c r="E1375">
        <v>96</v>
      </c>
      <c r="F1375" t="s">
        <v>58</v>
      </c>
      <c r="G1375" t="s">
        <v>59</v>
      </c>
      <c r="H1375" t="s">
        <v>60</v>
      </c>
      <c r="J1375" t="s">
        <v>86</v>
      </c>
      <c r="L1375" t="s">
        <v>62</v>
      </c>
      <c r="M1375" t="s">
        <v>63</v>
      </c>
      <c r="N1375" t="s">
        <v>64</v>
      </c>
      <c r="P1375" t="s">
        <v>65</v>
      </c>
      <c r="R1375">
        <v>1.5E-3</v>
      </c>
      <c r="T1375">
        <v>1.1000000000000001E-3</v>
      </c>
      <c r="V1375">
        <v>2E-3</v>
      </c>
      <c r="W1375" t="s">
        <v>66</v>
      </c>
      <c r="X1375" t="s">
        <v>67</v>
      </c>
      <c r="Y1375" t="s">
        <v>67</v>
      </c>
      <c r="Z1375" t="s">
        <v>68</v>
      </c>
      <c r="AB1375">
        <v>4</v>
      </c>
      <c r="AC1375" t="s">
        <v>61</v>
      </c>
      <c r="AJ1375" t="s">
        <v>69</v>
      </c>
      <c r="AY1375" t="s">
        <v>96</v>
      </c>
      <c r="AZ1375">
        <v>6797</v>
      </c>
      <c r="BA1375" t="s">
        <v>97</v>
      </c>
      <c r="BB1375" t="s">
        <v>98</v>
      </c>
      <c r="BC1375">
        <v>1986</v>
      </c>
      <c r="BD1375" t="s">
        <v>90</v>
      </c>
    </row>
    <row r="1376" spans="1:56" x14ac:dyDescent="0.35">
      <c r="A1376">
        <v>115297</v>
      </c>
      <c r="B1376" t="s">
        <v>1116</v>
      </c>
      <c r="D1376" t="s">
        <v>57</v>
      </c>
      <c r="E1376" t="s">
        <v>86</v>
      </c>
      <c r="F1376" t="s">
        <v>58</v>
      </c>
      <c r="G1376" t="s">
        <v>59</v>
      </c>
      <c r="H1376" t="s">
        <v>60</v>
      </c>
      <c r="J1376" t="s">
        <v>86</v>
      </c>
      <c r="L1376" t="s">
        <v>62</v>
      </c>
      <c r="M1376" t="s">
        <v>63</v>
      </c>
      <c r="N1376" t="s">
        <v>64</v>
      </c>
      <c r="P1376" t="s">
        <v>65</v>
      </c>
      <c r="R1376">
        <v>1.1999999999999999E-3</v>
      </c>
      <c r="T1376">
        <v>8.1999999999999998E-4</v>
      </c>
      <c r="V1376">
        <v>2.1900000000000001E-3</v>
      </c>
      <c r="W1376" t="s">
        <v>66</v>
      </c>
      <c r="X1376" t="s">
        <v>67</v>
      </c>
      <c r="Y1376" t="s">
        <v>67</v>
      </c>
      <c r="Z1376" t="s">
        <v>68</v>
      </c>
      <c r="AB1376">
        <v>4</v>
      </c>
      <c r="AC1376" t="s">
        <v>61</v>
      </c>
      <c r="AJ1376" t="s">
        <v>69</v>
      </c>
      <c r="AY1376" t="s">
        <v>771</v>
      </c>
      <c r="AZ1376">
        <v>9479</v>
      </c>
      <c r="BA1376" t="s">
        <v>1117</v>
      </c>
      <c r="BB1376" t="s">
        <v>1118</v>
      </c>
      <c r="BC1376">
        <v>1981</v>
      </c>
      <c r="BD1376" t="s">
        <v>90</v>
      </c>
    </row>
    <row r="1377" spans="1:56" x14ac:dyDescent="0.35">
      <c r="A1377">
        <v>115297</v>
      </c>
      <c r="B1377" t="s">
        <v>1116</v>
      </c>
      <c r="D1377" t="s">
        <v>57</v>
      </c>
      <c r="E1377" t="s">
        <v>86</v>
      </c>
      <c r="F1377" t="s">
        <v>58</v>
      </c>
      <c r="G1377" t="s">
        <v>59</v>
      </c>
      <c r="H1377" t="s">
        <v>60</v>
      </c>
      <c r="J1377" t="s">
        <v>86</v>
      </c>
      <c r="L1377" t="s">
        <v>62</v>
      </c>
      <c r="M1377" t="s">
        <v>63</v>
      </c>
      <c r="N1377" t="s">
        <v>64</v>
      </c>
      <c r="P1377" t="s">
        <v>65</v>
      </c>
      <c r="R1377">
        <v>3.4499999999999999E-3</v>
      </c>
      <c r="T1377">
        <v>2E-3</v>
      </c>
      <c r="V1377">
        <v>7.1399999999999996E-3</v>
      </c>
      <c r="W1377" t="s">
        <v>66</v>
      </c>
      <c r="X1377" t="s">
        <v>67</v>
      </c>
      <c r="Y1377" t="s">
        <v>67</v>
      </c>
      <c r="Z1377" t="s">
        <v>68</v>
      </c>
      <c r="AB1377">
        <v>4</v>
      </c>
      <c r="AC1377" t="s">
        <v>61</v>
      </c>
      <c r="AJ1377" t="s">
        <v>69</v>
      </c>
      <c r="AY1377" t="s">
        <v>771</v>
      </c>
      <c r="AZ1377">
        <v>9479</v>
      </c>
      <c r="BA1377" t="s">
        <v>1117</v>
      </c>
      <c r="BB1377" t="s">
        <v>1118</v>
      </c>
      <c r="BC1377">
        <v>1981</v>
      </c>
      <c r="BD1377" t="s">
        <v>90</v>
      </c>
    </row>
    <row r="1378" spans="1:56" x14ac:dyDescent="0.35">
      <c r="A1378">
        <v>115297</v>
      </c>
      <c r="B1378" t="s">
        <v>1116</v>
      </c>
      <c r="D1378" t="s">
        <v>57</v>
      </c>
      <c r="E1378" t="s">
        <v>86</v>
      </c>
      <c r="F1378" t="s">
        <v>58</v>
      </c>
      <c r="G1378" t="s">
        <v>59</v>
      </c>
      <c r="H1378" t="s">
        <v>60</v>
      </c>
      <c r="J1378" t="s">
        <v>86</v>
      </c>
      <c r="L1378" t="s">
        <v>74</v>
      </c>
      <c r="M1378" t="s">
        <v>63</v>
      </c>
      <c r="N1378" t="s">
        <v>64</v>
      </c>
      <c r="P1378" t="s">
        <v>65</v>
      </c>
      <c r="R1378">
        <v>8.0000000000000004E-4</v>
      </c>
      <c r="T1378">
        <v>6.7000000000000002E-4</v>
      </c>
      <c r="V1378">
        <v>1E-3</v>
      </c>
      <c r="W1378" t="s">
        <v>66</v>
      </c>
      <c r="X1378" t="s">
        <v>67</v>
      </c>
      <c r="Y1378" t="s">
        <v>67</v>
      </c>
      <c r="Z1378" t="s">
        <v>68</v>
      </c>
      <c r="AB1378">
        <v>4</v>
      </c>
      <c r="AC1378" t="s">
        <v>61</v>
      </c>
      <c r="AJ1378" t="s">
        <v>69</v>
      </c>
      <c r="AY1378" t="s">
        <v>771</v>
      </c>
      <c r="AZ1378">
        <v>9479</v>
      </c>
      <c r="BA1378" t="s">
        <v>1117</v>
      </c>
      <c r="BB1378" t="s">
        <v>1118</v>
      </c>
      <c r="BC1378">
        <v>1981</v>
      </c>
      <c r="BD1378" t="s">
        <v>90</v>
      </c>
    </row>
    <row r="1379" spans="1:56" x14ac:dyDescent="0.35">
      <c r="A1379">
        <v>115297</v>
      </c>
      <c r="B1379" t="s">
        <v>1116</v>
      </c>
      <c r="D1379" t="s">
        <v>57</v>
      </c>
      <c r="E1379" t="s">
        <v>86</v>
      </c>
      <c r="F1379" t="s">
        <v>58</v>
      </c>
      <c r="G1379" t="s">
        <v>59</v>
      </c>
      <c r="H1379" t="s">
        <v>60</v>
      </c>
      <c r="J1379" t="s">
        <v>86</v>
      </c>
      <c r="L1379" t="s">
        <v>62</v>
      </c>
      <c r="M1379" t="s">
        <v>63</v>
      </c>
      <c r="N1379" t="s">
        <v>64</v>
      </c>
      <c r="P1379" t="s">
        <v>65</v>
      </c>
      <c r="R1379">
        <v>1.3500000000000001E-3</v>
      </c>
      <c r="T1379">
        <v>7.5000000000000002E-4</v>
      </c>
      <c r="V1379">
        <v>2.4399999999999999E-3</v>
      </c>
      <c r="W1379" t="s">
        <v>66</v>
      </c>
      <c r="X1379" t="s">
        <v>67</v>
      </c>
      <c r="Y1379" t="s">
        <v>67</v>
      </c>
      <c r="Z1379" t="s">
        <v>68</v>
      </c>
      <c r="AB1379">
        <v>4</v>
      </c>
      <c r="AC1379" t="s">
        <v>61</v>
      </c>
      <c r="AJ1379" t="s">
        <v>69</v>
      </c>
      <c r="AY1379" t="s">
        <v>771</v>
      </c>
      <c r="AZ1379">
        <v>9479</v>
      </c>
      <c r="BA1379" t="s">
        <v>1117</v>
      </c>
      <c r="BB1379" t="s">
        <v>1118</v>
      </c>
      <c r="BC1379">
        <v>1981</v>
      </c>
      <c r="BD1379" t="s">
        <v>90</v>
      </c>
    </row>
    <row r="1380" spans="1:56" x14ac:dyDescent="0.35">
      <c r="A1380">
        <v>115297</v>
      </c>
      <c r="B1380" t="s">
        <v>1116</v>
      </c>
      <c r="D1380" t="s">
        <v>57</v>
      </c>
      <c r="E1380" t="s">
        <v>86</v>
      </c>
      <c r="F1380" t="s">
        <v>58</v>
      </c>
      <c r="G1380" t="s">
        <v>59</v>
      </c>
      <c r="H1380" t="s">
        <v>60</v>
      </c>
      <c r="J1380" t="s">
        <v>86</v>
      </c>
      <c r="L1380" t="s">
        <v>62</v>
      </c>
      <c r="M1380" t="s">
        <v>63</v>
      </c>
      <c r="N1380" t="s">
        <v>64</v>
      </c>
      <c r="P1380" t="s">
        <v>65</v>
      </c>
      <c r="R1380">
        <v>1.2999999999999999E-3</v>
      </c>
      <c r="T1380">
        <v>6.9999999999999999E-4</v>
      </c>
      <c r="V1380">
        <v>2.3999999999999998E-3</v>
      </c>
      <c r="W1380" t="s">
        <v>66</v>
      </c>
      <c r="X1380" t="s">
        <v>67</v>
      </c>
      <c r="Y1380" t="s">
        <v>67</v>
      </c>
      <c r="Z1380" t="s">
        <v>68</v>
      </c>
      <c r="AB1380">
        <v>4</v>
      </c>
      <c r="AC1380" t="s">
        <v>61</v>
      </c>
      <c r="AJ1380" t="s">
        <v>69</v>
      </c>
      <c r="AY1380" t="s">
        <v>1119</v>
      </c>
      <c r="AZ1380">
        <v>10526</v>
      </c>
      <c r="BA1380" t="s">
        <v>1120</v>
      </c>
      <c r="BB1380" t="s">
        <v>1121</v>
      </c>
      <c r="BC1380">
        <v>1983</v>
      </c>
      <c r="BD1380" t="s">
        <v>90</v>
      </c>
    </row>
    <row r="1381" spans="1:56" x14ac:dyDescent="0.35">
      <c r="A1381">
        <v>115297</v>
      </c>
      <c r="B1381" t="s">
        <v>1116</v>
      </c>
      <c r="D1381" t="s">
        <v>57</v>
      </c>
      <c r="E1381" t="s">
        <v>86</v>
      </c>
      <c r="F1381" t="s">
        <v>58</v>
      </c>
      <c r="G1381" t="s">
        <v>59</v>
      </c>
      <c r="H1381" t="s">
        <v>60</v>
      </c>
      <c r="J1381" t="s">
        <v>86</v>
      </c>
      <c r="L1381" t="s">
        <v>74</v>
      </c>
      <c r="M1381" t="s">
        <v>63</v>
      </c>
      <c r="N1381" t="s">
        <v>64</v>
      </c>
      <c r="P1381" t="s">
        <v>65</v>
      </c>
      <c r="R1381">
        <v>1.57E-3</v>
      </c>
      <c r="T1381">
        <v>0</v>
      </c>
      <c r="V1381">
        <v>2.5699999999999998E-3</v>
      </c>
      <c r="W1381" t="s">
        <v>66</v>
      </c>
      <c r="X1381" t="s">
        <v>67</v>
      </c>
      <c r="Y1381" t="s">
        <v>67</v>
      </c>
      <c r="Z1381" t="s">
        <v>68</v>
      </c>
      <c r="AB1381">
        <v>4</v>
      </c>
      <c r="AC1381" t="s">
        <v>61</v>
      </c>
      <c r="AJ1381" t="s">
        <v>69</v>
      </c>
      <c r="AY1381" t="s">
        <v>771</v>
      </c>
      <c r="AZ1381">
        <v>9479</v>
      </c>
      <c r="BA1381" t="s">
        <v>1117</v>
      </c>
      <c r="BB1381" t="s">
        <v>1118</v>
      </c>
      <c r="BC1381">
        <v>1981</v>
      </c>
      <c r="BD1381" t="s">
        <v>90</v>
      </c>
    </row>
    <row r="1382" spans="1:56" x14ac:dyDescent="0.35">
      <c r="A1382">
        <v>115322</v>
      </c>
      <c r="B1382" t="s">
        <v>1126</v>
      </c>
      <c r="D1382" t="s">
        <v>57</v>
      </c>
      <c r="E1382">
        <v>87.3</v>
      </c>
      <c r="F1382" t="s">
        <v>58</v>
      </c>
      <c r="G1382" t="s">
        <v>59</v>
      </c>
      <c r="H1382" t="s">
        <v>60</v>
      </c>
      <c r="J1382">
        <v>32</v>
      </c>
      <c r="K1382" t="s">
        <v>61</v>
      </c>
      <c r="L1382" t="s">
        <v>74</v>
      </c>
      <c r="M1382" t="s">
        <v>63</v>
      </c>
      <c r="N1382" t="s">
        <v>64</v>
      </c>
      <c r="P1382" t="s">
        <v>65</v>
      </c>
      <c r="R1382">
        <v>0.60299999999999998</v>
      </c>
      <c r="T1382">
        <v>0.57699999999999996</v>
      </c>
      <c r="V1382">
        <v>0.63100000000000001</v>
      </c>
      <c r="W1382" t="s">
        <v>66</v>
      </c>
      <c r="X1382" t="s">
        <v>67</v>
      </c>
      <c r="Y1382" t="s">
        <v>67</v>
      </c>
      <c r="Z1382" t="s">
        <v>68</v>
      </c>
      <c r="AB1382">
        <v>4</v>
      </c>
      <c r="AC1382" t="s">
        <v>61</v>
      </c>
      <c r="AJ1382" t="s">
        <v>69</v>
      </c>
      <c r="AY1382" t="s">
        <v>80</v>
      </c>
      <c r="AZ1382">
        <v>12859</v>
      </c>
      <c r="BA1382" t="s">
        <v>81</v>
      </c>
      <c r="BB1382" t="s">
        <v>82</v>
      </c>
      <c r="BC1382">
        <v>1988</v>
      </c>
      <c r="BD1382" t="s">
        <v>73</v>
      </c>
    </row>
    <row r="1383" spans="1:56" x14ac:dyDescent="0.35">
      <c r="A1383">
        <v>115322</v>
      </c>
      <c r="B1383" t="s">
        <v>1126</v>
      </c>
      <c r="C1383" t="s">
        <v>91</v>
      </c>
      <c r="D1383" t="s">
        <v>57</v>
      </c>
      <c r="E1383">
        <v>87.3</v>
      </c>
      <c r="F1383" t="s">
        <v>58</v>
      </c>
      <c r="G1383" t="s">
        <v>59</v>
      </c>
      <c r="H1383" t="s">
        <v>60</v>
      </c>
      <c r="J1383" t="s">
        <v>86</v>
      </c>
      <c r="K1383" t="s">
        <v>61</v>
      </c>
      <c r="L1383" t="s">
        <v>74</v>
      </c>
      <c r="M1383" t="s">
        <v>63</v>
      </c>
      <c r="N1383" t="s">
        <v>64</v>
      </c>
      <c r="P1383" t="s">
        <v>65</v>
      </c>
      <c r="R1383">
        <v>0.51</v>
      </c>
      <c r="T1383">
        <v>0.48799999999999999</v>
      </c>
      <c r="V1383">
        <v>0.53300000000000003</v>
      </c>
      <c r="W1383" t="s">
        <v>66</v>
      </c>
      <c r="X1383" t="s">
        <v>67</v>
      </c>
      <c r="Y1383" t="s">
        <v>67</v>
      </c>
      <c r="Z1383" t="s">
        <v>68</v>
      </c>
      <c r="AB1383">
        <v>4</v>
      </c>
      <c r="AC1383" t="s">
        <v>61</v>
      </c>
      <c r="AJ1383" t="s">
        <v>69</v>
      </c>
      <c r="AY1383" t="s">
        <v>1127</v>
      </c>
      <c r="AZ1383">
        <v>10536</v>
      </c>
      <c r="BA1383" t="s">
        <v>1128</v>
      </c>
      <c r="BB1383" t="s">
        <v>1129</v>
      </c>
      <c r="BC1383">
        <v>1982</v>
      </c>
      <c r="BD1383" t="s">
        <v>148</v>
      </c>
    </row>
    <row r="1384" spans="1:56" x14ac:dyDescent="0.35">
      <c r="A1384">
        <v>115322</v>
      </c>
      <c r="B1384" t="s">
        <v>1126</v>
      </c>
      <c r="E1384">
        <v>93.3</v>
      </c>
      <c r="F1384" t="s">
        <v>58</v>
      </c>
      <c r="G1384" t="s">
        <v>59</v>
      </c>
      <c r="H1384" t="s">
        <v>60</v>
      </c>
      <c r="J1384">
        <v>30</v>
      </c>
      <c r="K1384" t="s">
        <v>61</v>
      </c>
      <c r="L1384" t="s">
        <v>74</v>
      </c>
      <c r="M1384" t="s">
        <v>63</v>
      </c>
      <c r="N1384" t="s">
        <v>64</v>
      </c>
      <c r="P1384" t="s">
        <v>65</v>
      </c>
      <c r="R1384">
        <v>0.50900000000000001</v>
      </c>
      <c r="T1384">
        <v>0.49199999999999999</v>
      </c>
      <c r="V1384">
        <v>0.53300000000000003</v>
      </c>
      <c r="W1384" t="s">
        <v>66</v>
      </c>
      <c r="X1384" t="s">
        <v>67</v>
      </c>
      <c r="Y1384" t="s">
        <v>67</v>
      </c>
      <c r="Z1384" t="s">
        <v>68</v>
      </c>
      <c r="AB1384">
        <v>4</v>
      </c>
      <c r="AC1384" t="s">
        <v>61</v>
      </c>
      <c r="AJ1384" t="s">
        <v>69</v>
      </c>
      <c r="AY1384" t="s">
        <v>116</v>
      </c>
      <c r="AZ1384">
        <v>344</v>
      </c>
      <c r="BA1384" t="s">
        <v>117</v>
      </c>
      <c r="BB1384" t="s">
        <v>118</v>
      </c>
      <c r="BC1384">
        <v>1992</v>
      </c>
      <c r="BD1384" t="s">
        <v>73</v>
      </c>
    </row>
    <row r="1385" spans="1:56" x14ac:dyDescent="0.35">
      <c r="A1385">
        <v>115866</v>
      </c>
      <c r="B1385" t="s">
        <v>1130</v>
      </c>
      <c r="D1385" t="s">
        <v>57</v>
      </c>
      <c r="E1385">
        <v>98</v>
      </c>
      <c r="F1385" t="s">
        <v>58</v>
      </c>
      <c r="G1385" t="s">
        <v>59</v>
      </c>
      <c r="H1385" t="s">
        <v>60</v>
      </c>
      <c r="J1385">
        <v>29</v>
      </c>
      <c r="K1385" t="s">
        <v>61</v>
      </c>
      <c r="L1385" t="s">
        <v>74</v>
      </c>
      <c r="M1385" t="s">
        <v>63</v>
      </c>
      <c r="N1385" t="s">
        <v>64</v>
      </c>
      <c r="O1385">
        <v>6</v>
      </c>
      <c r="P1385" t="s">
        <v>65</v>
      </c>
      <c r="R1385">
        <v>8.7000000000000001E-4</v>
      </c>
      <c r="T1385">
        <v>8.0999999999999996E-4</v>
      </c>
      <c r="V1385">
        <v>9.3999999999999997E-4</v>
      </c>
      <c r="W1385" t="s">
        <v>66</v>
      </c>
      <c r="X1385" t="s">
        <v>67</v>
      </c>
      <c r="Y1385" t="s">
        <v>67</v>
      </c>
      <c r="Z1385" t="s">
        <v>68</v>
      </c>
      <c r="AB1385">
        <v>4</v>
      </c>
      <c r="AC1385" t="s">
        <v>61</v>
      </c>
      <c r="AJ1385" t="s">
        <v>69</v>
      </c>
      <c r="AY1385" t="s">
        <v>263</v>
      </c>
      <c r="AZ1385">
        <v>12858</v>
      </c>
      <c r="BA1385" t="s">
        <v>264</v>
      </c>
      <c r="BB1385" t="s">
        <v>265</v>
      </c>
      <c r="BC1385">
        <v>1986</v>
      </c>
      <c r="BD1385" t="s">
        <v>73</v>
      </c>
    </row>
    <row r="1386" spans="1:56" x14ac:dyDescent="0.35">
      <c r="A1386">
        <v>115866</v>
      </c>
      <c r="B1386" t="s">
        <v>1130</v>
      </c>
      <c r="D1386" t="s">
        <v>85</v>
      </c>
      <c r="E1386" t="s">
        <v>86</v>
      </c>
      <c r="F1386" t="s">
        <v>58</v>
      </c>
      <c r="G1386" t="s">
        <v>59</v>
      </c>
      <c r="H1386" t="s">
        <v>60</v>
      </c>
      <c r="J1386" t="s">
        <v>86</v>
      </c>
      <c r="L1386" t="s">
        <v>62</v>
      </c>
      <c r="M1386" t="s">
        <v>63</v>
      </c>
      <c r="N1386" t="s">
        <v>64</v>
      </c>
      <c r="P1386" t="s">
        <v>100</v>
      </c>
      <c r="R1386">
        <v>0.66</v>
      </c>
      <c r="T1386">
        <v>0.53</v>
      </c>
      <c r="V1386">
        <v>0.8</v>
      </c>
      <c r="W1386" t="s">
        <v>66</v>
      </c>
      <c r="X1386" t="s">
        <v>67</v>
      </c>
      <c r="Y1386" t="s">
        <v>67</v>
      </c>
      <c r="Z1386" t="s">
        <v>68</v>
      </c>
      <c r="AB1386">
        <v>4</v>
      </c>
      <c r="AC1386" t="s">
        <v>61</v>
      </c>
      <c r="AJ1386" t="s">
        <v>69</v>
      </c>
      <c r="AY1386" t="s">
        <v>1131</v>
      </c>
      <c r="AZ1386">
        <v>2957</v>
      </c>
      <c r="BA1386" t="s">
        <v>1132</v>
      </c>
      <c r="BB1386" t="s">
        <v>1133</v>
      </c>
      <c r="BC1386">
        <v>1981</v>
      </c>
      <c r="BD1386" t="s">
        <v>90</v>
      </c>
    </row>
    <row r="1387" spans="1:56" x14ac:dyDescent="0.35">
      <c r="A1387">
        <v>115866</v>
      </c>
      <c r="B1387" t="s">
        <v>1130</v>
      </c>
      <c r="D1387" t="s">
        <v>85</v>
      </c>
      <c r="E1387" t="s">
        <v>86</v>
      </c>
      <c r="F1387" t="s">
        <v>58</v>
      </c>
      <c r="G1387" t="s">
        <v>59</v>
      </c>
      <c r="H1387" t="s">
        <v>60</v>
      </c>
      <c r="J1387">
        <v>5</v>
      </c>
      <c r="K1387" t="s">
        <v>320</v>
      </c>
      <c r="L1387" t="s">
        <v>62</v>
      </c>
      <c r="M1387" t="s">
        <v>63</v>
      </c>
      <c r="N1387" t="s">
        <v>64</v>
      </c>
      <c r="O1387">
        <v>7</v>
      </c>
      <c r="P1387" t="s">
        <v>100</v>
      </c>
      <c r="R1387">
        <v>3.8</v>
      </c>
      <c r="T1387">
        <v>2.8</v>
      </c>
      <c r="V1387">
        <v>5</v>
      </c>
      <c r="W1387" t="s">
        <v>66</v>
      </c>
      <c r="X1387" t="s">
        <v>67</v>
      </c>
      <c r="Y1387" t="s">
        <v>67</v>
      </c>
      <c r="Z1387" t="s">
        <v>68</v>
      </c>
      <c r="AB1387">
        <v>4</v>
      </c>
      <c r="AC1387" t="s">
        <v>61</v>
      </c>
      <c r="AJ1387" t="s">
        <v>69</v>
      </c>
      <c r="AY1387" t="s">
        <v>1134</v>
      </c>
      <c r="AZ1387">
        <v>179719</v>
      </c>
      <c r="BA1387" t="s">
        <v>1135</v>
      </c>
      <c r="BB1387" t="s">
        <v>1136</v>
      </c>
      <c r="BC1387">
        <v>2000</v>
      </c>
      <c r="BD1387" t="s">
        <v>324</v>
      </c>
    </row>
    <row r="1388" spans="1:56" x14ac:dyDescent="0.35">
      <c r="A1388">
        <v>115866</v>
      </c>
      <c r="B1388" t="s">
        <v>1130</v>
      </c>
      <c r="E1388">
        <v>100</v>
      </c>
      <c r="F1388" t="s">
        <v>58</v>
      </c>
      <c r="G1388" t="s">
        <v>59</v>
      </c>
      <c r="H1388" t="s">
        <v>60</v>
      </c>
      <c r="J1388" t="s">
        <v>86</v>
      </c>
      <c r="L1388" t="s">
        <v>62</v>
      </c>
      <c r="M1388" t="s">
        <v>63</v>
      </c>
      <c r="N1388" t="s">
        <v>64</v>
      </c>
      <c r="P1388" t="s">
        <v>65</v>
      </c>
      <c r="R1388">
        <v>1</v>
      </c>
      <c r="T1388">
        <v>0.7</v>
      </c>
      <c r="V1388">
        <v>1.4</v>
      </c>
      <c r="W1388" t="s">
        <v>66</v>
      </c>
      <c r="X1388" t="s">
        <v>67</v>
      </c>
      <c r="Y1388" t="s">
        <v>67</v>
      </c>
      <c r="Z1388" t="s">
        <v>68</v>
      </c>
      <c r="AB1388">
        <v>4</v>
      </c>
      <c r="AC1388" t="s">
        <v>61</v>
      </c>
      <c r="AJ1388" t="s">
        <v>69</v>
      </c>
      <c r="AY1388" t="s">
        <v>96</v>
      </c>
      <c r="AZ1388">
        <v>6797</v>
      </c>
      <c r="BA1388" t="s">
        <v>97</v>
      </c>
      <c r="BB1388" t="s">
        <v>98</v>
      </c>
      <c r="BC1388">
        <v>1986</v>
      </c>
      <c r="BD1388" t="s">
        <v>90</v>
      </c>
    </row>
    <row r="1389" spans="1:56" x14ac:dyDescent="0.35">
      <c r="A1389">
        <v>115902</v>
      </c>
      <c r="B1389" t="s">
        <v>1137</v>
      </c>
      <c r="D1389" t="s">
        <v>57</v>
      </c>
      <c r="E1389">
        <v>98</v>
      </c>
      <c r="F1389" t="s">
        <v>58</v>
      </c>
      <c r="G1389" t="s">
        <v>59</v>
      </c>
      <c r="H1389" t="s">
        <v>60</v>
      </c>
      <c r="J1389" t="s">
        <v>86</v>
      </c>
      <c r="K1389" t="s">
        <v>61</v>
      </c>
      <c r="L1389" t="s">
        <v>74</v>
      </c>
      <c r="M1389" t="s">
        <v>63</v>
      </c>
      <c r="N1389" t="s">
        <v>64</v>
      </c>
      <c r="O1389">
        <v>6</v>
      </c>
      <c r="P1389" t="s">
        <v>65</v>
      </c>
      <c r="R1389">
        <v>43.1</v>
      </c>
      <c r="T1389">
        <v>35</v>
      </c>
      <c r="V1389">
        <v>53</v>
      </c>
      <c r="W1389" t="s">
        <v>66</v>
      </c>
      <c r="X1389" t="s">
        <v>67</v>
      </c>
      <c r="Y1389" t="s">
        <v>67</v>
      </c>
      <c r="Z1389" t="s">
        <v>68</v>
      </c>
      <c r="AB1389">
        <v>4</v>
      </c>
      <c r="AC1389" t="s">
        <v>61</v>
      </c>
      <c r="AJ1389" t="s">
        <v>69</v>
      </c>
      <c r="AY1389" t="s">
        <v>120</v>
      </c>
      <c r="AZ1389">
        <v>14097</v>
      </c>
      <c r="BA1389" t="s">
        <v>121</v>
      </c>
      <c r="BB1389" t="s">
        <v>122</v>
      </c>
      <c r="BC1389">
        <v>1989</v>
      </c>
      <c r="BD1389" t="s">
        <v>123</v>
      </c>
    </row>
    <row r="1390" spans="1:56" x14ac:dyDescent="0.35">
      <c r="A1390">
        <v>116063</v>
      </c>
      <c r="B1390" t="s">
        <v>1138</v>
      </c>
      <c r="D1390" t="s">
        <v>57</v>
      </c>
      <c r="E1390" t="s">
        <v>79</v>
      </c>
      <c r="F1390" t="s">
        <v>58</v>
      </c>
      <c r="G1390" t="s">
        <v>59</v>
      </c>
      <c r="H1390" t="s">
        <v>60</v>
      </c>
      <c r="J1390">
        <v>30</v>
      </c>
      <c r="K1390" t="s">
        <v>61</v>
      </c>
      <c r="L1390" t="s">
        <v>74</v>
      </c>
      <c r="M1390" t="s">
        <v>63</v>
      </c>
      <c r="N1390" t="s">
        <v>64</v>
      </c>
      <c r="P1390" t="s">
        <v>65</v>
      </c>
      <c r="R1390">
        <v>0.86099999999999999</v>
      </c>
      <c r="T1390">
        <v>0.751</v>
      </c>
      <c r="V1390">
        <v>0.98699999999999999</v>
      </c>
      <c r="W1390" t="s">
        <v>66</v>
      </c>
      <c r="X1390" t="s">
        <v>67</v>
      </c>
      <c r="Y1390" t="s">
        <v>67</v>
      </c>
      <c r="Z1390" t="s">
        <v>68</v>
      </c>
      <c r="AB1390">
        <v>4</v>
      </c>
      <c r="AC1390" t="s">
        <v>61</v>
      </c>
      <c r="AJ1390" t="s">
        <v>69</v>
      </c>
      <c r="AY1390" t="s">
        <v>75</v>
      </c>
      <c r="AZ1390">
        <v>3217</v>
      </c>
      <c r="BA1390" t="s">
        <v>76</v>
      </c>
      <c r="BB1390" t="s">
        <v>77</v>
      </c>
      <c r="BC1390">
        <v>1990</v>
      </c>
      <c r="BD1390" t="s">
        <v>73</v>
      </c>
    </row>
    <row r="1391" spans="1:56" x14ac:dyDescent="0.35">
      <c r="A1391">
        <v>116063</v>
      </c>
      <c r="B1391" t="s">
        <v>1138</v>
      </c>
      <c r="D1391" t="s">
        <v>57</v>
      </c>
      <c r="E1391">
        <v>99</v>
      </c>
      <c r="F1391" t="s">
        <v>58</v>
      </c>
      <c r="G1391" t="s">
        <v>59</v>
      </c>
      <c r="H1391" t="s">
        <v>60</v>
      </c>
      <c r="I1391" t="s">
        <v>129</v>
      </c>
      <c r="J1391" t="s">
        <v>86</v>
      </c>
      <c r="L1391" t="s">
        <v>62</v>
      </c>
      <c r="M1391" t="s">
        <v>63</v>
      </c>
      <c r="N1391" t="s">
        <v>64</v>
      </c>
      <c r="P1391" t="s">
        <v>65</v>
      </c>
      <c r="R1391">
        <v>1.2</v>
      </c>
      <c r="T1391">
        <v>0.98</v>
      </c>
      <c r="V1391">
        <v>1.5</v>
      </c>
      <c r="W1391" t="s">
        <v>66</v>
      </c>
      <c r="X1391" t="s">
        <v>1139</v>
      </c>
      <c r="Y1391" t="s">
        <v>67</v>
      </c>
      <c r="Z1391" t="s">
        <v>68</v>
      </c>
      <c r="AB1391">
        <v>4</v>
      </c>
      <c r="AC1391" t="s">
        <v>61</v>
      </c>
      <c r="AJ1391" t="s">
        <v>69</v>
      </c>
      <c r="AY1391" t="s">
        <v>1140</v>
      </c>
      <c r="AZ1391">
        <v>15169</v>
      </c>
      <c r="BA1391" t="s">
        <v>1141</v>
      </c>
      <c r="BB1391" t="s">
        <v>1142</v>
      </c>
      <c r="BC1391">
        <v>1982</v>
      </c>
      <c r="BD1391" t="s">
        <v>90</v>
      </c>
    </row>
    <row r="1392" spans="1:56" x14ac:dyDescent="0.35">
      <c r="A1392">
        <v>116063</v>
      </c>
      <c r="B1392" t="s">
        <v>1138</v>
      </c>
      <c r="D1392" t="s">
        <v>57</v>
      </c>
      <c r="E1392">
        <v>99</v>
      </c>
      <c r="F1392" t="s">
        <v>58</v>
      </c>
      <c r="G1392" t="s">
        <v>59</v>
      </c>
      <c r="H1392" t="s">
        <v>60</v>
      </c>
      <c r="I1392" t="s">
        <v>129</v>
      </c>
      <c r="J1392" t="s">
        <v>86</v>
      </c>
      <c r="L1392" t="s">
        <v>74</v>
      </c>
      <c r="M1392" t="s">
        <v>63</v>
      </c>
      <c r="N1392" t="s">
        <v>64</v>
      </c>
      <c r="P1392" t="s">
        <v>65</v>
      </c>
      <c r="R1392">
        <v>1.37</v>
      </c>
      <c r="T1392">
        <v>1.169</v>
      </c>
      <c r="V1392">
        <v>1.73</v>
      </c>
      <c r="W1392" t="s">
        <v>66</v>
      </c>
      <c r="X1392" t="s">
        <v>67</v>
      </c>
      <c r="Y1392" t="s">
        <v>67</v>
      </c>
      <c r="Z1392" t="s">
        <v>68</v>
      </c>
      <c r="AB1392">
        <v>4</v>
      </c>
      <c r="AC1392" t="s">
        <v>61</v>
      </c>
      <c r="AJ1392" t="s">
        <v>69</v>
      </c>
      <c r="AY1392" t="s">
        <v>1140</v>
      </c>
      <c r="AZ1392">
        <v>15169</v>
      </c>
      <c r="BA1392" t="s">
        <v>1141</v>
      </c>
      <c r="BB1392" t="s">
        <v>1142</v>
      </c>
      <c r="BC1392">
        <v>1982</v>
      </c>
      <c r="BD1392" t="s">
        <v>90</v>
      </c>
    </row>
    <row r="1393" spans="1:56" x14ac:dyDescent="0.35">
      <c r="A1393">
        <v>117817</v>
      </c>
      <c r="B1393" t="s">
        <v>1143</v>
      </c>
      <c r="E1393">
        <v>100</v>
      </c>
      <c r="F1393" t="s">
        <v>58</v>
      </c>
      <c r="G1393" t="s">
        <v>59</v>
      </c>
      <c r="H1393" t="s">
        <v>60</v>
      </c>
      <c r="I1393" t="s">
        <v>705</v>
      </c>
      <c r="J1393" t="s">
        <v>86</v>
      </c>
      <c r="L1393" t="s">
        <v>74</v>
      </c>
      <c r="M1393" t="s">
        <v>63</v>
      </c>
      <c r="N1393" t="s">
        <v>64</v>
      </c>
      <c r="P1393" t="s">
        <v>65</v>
      </c>
      <c r="Q1393" t="s">
        <v>153</v>
      </c>
      <c r="R1393">
        <v>1</v>
      </c>
      <c r="W1393" t="s">
        <v>66</v>
      </c>
      <c r="X1393" t="s">
        <v>67</v>
      </c>
      <c r="Y1393" t="s">
        <v>67</v>
      </c>
      <c r="Z1393" t="s">
        <v>68</v>
      </c>
      <c r="AB1393">
        <v>4</v>
      </c>
      <c r="AC1393" t="s">
        <v>61</v>
      </c>
      <c r="AJ1393" t="s">
        <v>69</v>
      </c>
      <c r="AY1393" t="s">
        <v>96</v>
      </c>
      <c r="AZ1393">
        <v>6797</v>
      </c>
      <c r="BA1393" t="s">
        <v>97</v>
      </c>
      <c r="BB1393" t="s">
        <v>98</v>
      </c>
      <c r="BC1393">
        <v>1986</v>
      </c>
      <c r="BD1393" t="s">
        <v>90</v>
      </c>
    </row>
    <row r="1394" spans="1:56" x14ac:dyDescent="0.35">
      <c r="A1394">
        <v>117817</v>
      </c>
      <c r="B1394" t="s">
        <v>1143</v>
      </c>
      <c r="D1394" t="s">
        <v>85</v>
      </c>
      <c r="E1394" t="s">
        <v>128</v>
      </c>
      <c r="F1394" t="s">
        <v>58</v>
      </c>
      <c r="G1394" t="s">
        <v>59</v>
      </c>
      <c r="H1394" t="s">
        <v>60</v>
      </c>
      <c r="I1394" t="s">
        <v>129</v>
      </c>
      <c r="J1394" t="s">
        <v>86</v>
      </c>
      <c r="L1394" t="s">
        <v>74</v>
      </c>
      <c r="M1394" t="s">
        <v>63</v>
      </c>
      <c r="N1394" t="s">
        <v>64</v>
      </c>
      <c r="P1394" t="s">
        <v>65</v>
      </c>
      <c r="Q1394" t="s">
        <v>153</v>
      </c>
      <c r="R1394">
        <v>0.67</v>
      </c>
      <c r="W1394" t="s">
        <v>66</v>
      </c>
      <c r="X1394" t="s">
        <v>67</v>
      </c>
      <c r="Y1394" t="s">
        <v>67</v>
      </c>
      <c r="Z1394" t="s">
        <v>68</v>
      </c>
      <c r="AB1394">
        <v>4</v>
      </c>
      <c r="AC1394" t="s">
        <v>61</v>
      </c>
      <c r="AJ1394" t="s">
        <v>69</v>
      </c>
      <c r="AY1394" t="s">
        <v>630</v>
      </c>
      <c r="AZ1394">
        <v>15040</v>
      </c>
      <c r="BA1394" t="s">
        <v>631</v>
      </c>
      <c r="BB1394" t="s">
        <v>632</v>
      </c>
      <c r="BC1394">
        <v>1995</v>
      </c>
      <c r="BD1394" t="s">
        <v>90</v>
      </c>
    </row>
    <row r="1395" spans="1:56" x14ac:dyDescent="0.35">
      <c r="A1395">
        <v>117817</v>
      </c>
      <c r="B1395" t="s">
        <v>1143</v>
      </c>
      <c r="D1395" t="s">
        <v>57</v>
      </c>
      <c r="E1395" t="s">
        <v>86</v>
      </c>
      <c r="F1395" t="s">
        <v>58</v>
      </c>
      <c r="G1395" t="s">
        <v>59</v>
      </c>
      <c r="H1395" t="s">
        <v>60</v>
      </c>
      <c r="J1395">
        <v>1</v>
      </c>
      <c r="K1395" t="s">
        <v>387</v>
      </c>
      <c r="L1395" t="s">
        <v>74</v>
      </c>
      <c r="M1395" t="s">
        <v>63</v>
      </c>
      <c r="N1395" t="s">
        <v>64</v>
      </c>
      <c r="P1395" t="s">
        <v>65</v>
      </c>
      <c r="R1395">
        <v>1106.2</v>
      </c>
      <c r="T1395">
        <v>980.1</v>
      </c>
      <c r="V1395">
        <v>1326.6</v>
      </c>
      <c r="W1395" t="s">
        <v>66</v>
      </c>
      <c r="X1395" t="s">
        <v>67</v>
      </c>
      <c r="Y1395" t="s">
        <v>67</v>
      </c>
      <c r="Z1395" t="s">
        <v>68</v>
      </c>
      <c r="AB1395">
        <v>4</v>
      </c>
      <c r="AC1395" t="s">
        <v>61</v>
      </c>
      <c r="AJ1395" t="s">
        <v>69</v>
      </c>
      <c r="AY1395" t="s">
        <v>388</v>
      </c>
      <c r="AZ1395">
        <v>45758</v>
      </c>
      <c r="BA1395" t="s">
        <v>389</v>
      </c>
      <c r="BB1395" t="s">
        <v>390</v>
      </c>
      <c r="BC1395">
        <v>1982</v>
      </c>
      <c r="BD1395" t="s">
        <v>391</v>
      </c>
    </row>
    <row r="1396" spans="1:56" x14ac:dyDescent="0.35">
      <c r="A1396">
        <v>117817</v>
      </c>
      <c r="B1396" t="s">
        <v>1143</v>
      </c>
      <c r="D1396" t="s">
        <v>57</v>
      </c>
      <c r="E1396" t="s">
        <v>86</v>
      </c>
      <c r="F1396" t="s">
        <v>58</v>
      </c>
      <c r="G1396" t="s">
        <v>59</v>
      </c>
      <c r="H1396" t="s">
        <v>60</v>
      </c>
      <c r="J1396" t="s">
        <v>86</v>
      </c>
      <c r="L1396" t="s">
        <v>62</v>
      </c>
      <c r="M1396" t="s">
        <v>63</v>
      </c>
      <c r="N1396" t="s">
        <v>64</v>
      </c>
      <c r="O1396">
        <v>2</v>
      </c>
      <c r="P1396" t="s">
        <v>65</v>
      </c>
      <c r="Q1396" t="s">
        <v>153</v>
      </c>
      <c r="R1396">
        <v>0.24</v>
      </c>
      <c r="W1396" t="s">
        <v>66</v>
      </c>
      <c r="X1396" t="s">
        <v>67</v>
      </c>
      <c r="Y1396" t="s">
        <v>67</v>
      </c>
      <c r="Z1396" t="s">
        <v>68</v>
      </c>
      <c r="AB1396">
        <v>4</v>
      </c>
      <c r="AC1396" t="s">
        <v>61</v>
      </c>
      <c r="AJ1396" t="s">
        <v>69</v>
      </c>
      <c r="AY1396" t="s">
        <v>633</v>
      </c>
      <c r="AZ1396">
        <v>180491</v>
      </c>
      <c r="BA1396" t="s">
        <v>634</v>
      </c>
      <c r="BB1396" t="s">
        <v>635</v>
      </c>
      <c r="BC1396">
        <v>2000</v>
      </c>
      <c r="BD1396" t="s">
        <v>90</v>
      </c>
    </row>
    <row r="1397" spans="1:56" x14ac:dyDescent="0.35">
      <c r="A1397">
        <v>117817</v>
      </c>
      <c r="B1397" t="s">
        <v>1143</v>
      </c>
      <c r="D1397" t="s">
        <v>85</v>
      </c>
      <c r="E1397" t="s">
        <v>128</v>
      </c>
      <c r="F1397" t="s">
        <v>58</v>
      </c>
      <c r="G1397" t="s">
        <v>59</v>
      </c>
      <c r="H1397" t="s">
        <v>60</v>
      </c>
      <c r="I1397" t="s">
        <v>129</v>
      </c>
      <c r="J1397" t="s">
        <v>86</v>
      </c>
      <c r="L1397" t="s">
        <v>62</v>
      </c>
      <c r="M1397" t="s">
        <v>63</v>
      </c>
      <c r="N1397" t="s">
        <v>64</v>
      </c>
      <c r="P1397" t="s">
        <v>65</v>
      </c>
      <c r="Q1397" t="s">
        <v>153</v>
      </c>
      <c r="R1397">
        <v>0.16</v>
      </c>
      <c r="W1397" t="s">
        <v>66</v>
      </c>
      <c r="X1397" t="s">
        <v>67</v>
      </c>
      <c r="Y1397" t="s">
        <v>67</v>
      </c>
      <c r="Z1397" t="s">
        <v>68</v>
      </c>
      <c r="AB1397">
        <v>4</v>
      </c>
      <c r="AC1397" t="s">
        <v>61</v>
      </c>
      <c r="AJ1397" t="s">
        <v>69</v>
      </c>
      <c r="AY1397" t="s">
        <v>630</v>
      </c>
      <c r="AZ1397">
        <v>15040</v>
      </c>
      <c r="BA1397" t="s">
        <v>631</v>
      </c>
      <c r="BB1397" t="s">
        <v>632</v>
      </c>
      <c r="BC1397">
        <v>1995</v>
      </c>
      <c r="BD1397" t="s">
        <v>90</v>
      </c>
    </row>
    <row r="1398" spans="1:56" x14ac:dyDescent="0.35">
      <c r="A1398">
        <v>117817</v>
      </c>
      <c r="B1398" t="s">
        <v>1143</v>
      </c>
      <c r="D1398" t="s">
        <v>637</v>
      </c>
      <c r="E1398" t="s">
        <v>638</v>
      </c>
      <c r="F1398" t="s">
        <v>58</v>
      </c>
      <c r="G1398" t="s">
        <v>59</v>
      </c>
      <c r="H1398" t="s">
        <v>60</v>
      </c>
      <c r="I1398" t="s">
        <v>129</v>
      </c>
      <c r="J1398" t="s">
        <v>86</v>
      </c>
      <c r="K1398" t="s">
        <v>61</v>
      </c>
      <c r="L1398" t="s">
        <v>74</v>
      </c>
      <c r="M1398" t="s">
        <v>63</v>
      </c>
      <c r="N1398" t="s">
        <v>64</v>
      </c>
      <c r="P1398" t="s">
        <v>65</v>
      </c>
      <c r="Q1398" t="s">
        <v>153</v>
      </c>
      <c r="R1398">
        <v>0.32700000000000001</v>
      </c>
      <c r="W1398" t="s">
        <v>66</v>
      </c>
      <c r="X1398" t="s">
        <v>67</v>
      </c>
      <c r="Y1398" t="s">
        <v>67</v>
      </c>
      <c r="Z1398" t="s">
        <v>68</v>
      </c>
      <c r="AB1398">
        <v>4</v>
      </c>
      <c r="AC1398" t="s">
        <v>61</v>
      </c>
      <c r="AJ1398" t="s">
        <v>69</v>
      </c>
      <c r="AY1398" t="s">
        <v>639</v>
      </c>
      <c r="AZ1398">
        <v>180793</v>
      </c>
      <c r="BA1398" t="s">
        <v>640</v>
      </c>
      <c r="BB1398" t="s">
        <v>641</v>
      </c>
      <c r="BC1398">
        <v>1990</v>
      </c>
      <c r="BD1398" t="s">
        <v>642</v>
      </c>
    </row>
    <row r="1399" spans="1:56" x14ac:dyDescent="0.35">
      <c r="A1399">
        <v>117840</v>
      </c>
      <c r="B1399" t="s">
        <v>1144</v>
      </c>
      <c r="D1399" t="s">
        <v>637</v>
      </c>
      <c r="E1399" t="s">
        <v>86</v>
      </c>
      <c r="F1399" t="s">
        <v>58</v>
      </c>
      <c r="G1399" t="s">
        <v>59</v>
      </c>
      <c r="H1399" t="s">
        <v>60</v>
      </c>
      <c r="I1399" t="s">
        <v>129</v>
      </c>
      <c r="J1399" t="s">
        <v>86</v>
      </c>
      <c r="K1399" t="s">
        <v>61</v>
      </c>
      <c r="L1399" t="s">
        <v>74</v>
      </c>
      <c r="M1399" t="s">
        <v>63</v>
      </c>
      <c r="N1399" t="s">
        <v>64</v>
      </c>
      <c r="P1399" t="s">
        <v>65</v>
      </c>
      <c r="Q1399" t="s">
        <v>153</v>
      </c>
      <c r="R1399">
        <v>4.4999999999999998E-2</v>
      </c>
      <c r="W1399" t="s">
        <v>66</v>
      </c>
      <c r="X1399" t="s">
        <v>67</v>
      </c>
      <c r="Y1399" t="s">
        <v>67</v>
      </c>
      <c r="Z1399" t="s">
        <v>68</v>
      </c>
      <c r="AB1399">
        <v>4</v>
      </c>
      <c r="AC1399" t="s">
        <v>61</v>
      </c>
      <c r="AJ1399" t="s">
        <v>69</v>
      </c>
      <c r="AY1399" t="s">
        <v>639</v>
      </c>
      <c r="AZ1399">
        <v>180793</v>
      </c>
      <c r="BA1399" t="s">
        <v>640</v>
      </c>
      <c r="BB1399" t="s">
        <v>641</v>
      </c>
      <c r="BC1399">
        <v>1990</v>
      </c>
      <c r="BD1399" t="s">
        <v>642</v>
      </c>
    </row>
    <row r="1400" spans="1:56" x14ac:dyDescent="0.35">
      <c r="A1400">
        <v>118558</v>
      </c>
      <c r="B1400" t="s">
        <v>1145</v>
      </c>
      <c r="D1400" t="s">
        <v>57</v>
      </c>
      <c r="E1400">
        <v>96</v>
      </c>
      <c r="F1400" t="s">
        <v>58</v>
      </c>
      <c r="G1400" t="s">
        <v>59</v>
      </c>
      <c r="H1400" t="s">
        <v>60</v>
      </c>
      <c r="J1400">
        <v>33</v>
      </c>
      <c r="K1400" t="s">
        <v>61</v>
      </c>
      <c r="L1400" t="s">
        <v>74</v>
      </c>
      <c r="M1400" t="s">
        <v>63</v>
      </c>
      <c r="N1400" t="s">
        <v>64</v>
      </c>
      <c r="P1400" t="s">
        <v>65</v>
      </c>
      <c r="R1400">
        <v>1.18</v>
      </c>
      <c r="T1400">
        <v>1.07</v>
      </c>
      <c r="V1400">
        <v>1.3</v>
      </c>
      <c r="W1400" t="s">
        <v>66</v>
      </c>
      <c r="X1400" t="s">
        <v>67</v>
      </c>
      <c r="Y1400" t="s">
        <v>67</v>
      </c>
      <c r="Z1400" t="s">
        <v>68</v>
      </c>
      <c r="AB1400">
        <v>4</v>
      </c>
      <c r="AC1400" t="s">
        <v>61</v>
      </c>
      <c r="AJ1400" t="s">
        <v>69</v>
      </c>
      <c r="AY1400" t="s">
        <v>141</v>
      </c>
      <c r="AZ1400">
        <v>12447</v>
      </c>
      <c r="BA1400" t="s">
        <v>142</v>
      </c>
      <c r="BB1400" t="s">
        <v>143</v>
      </c>
      <c r="BC1400">
        <v>1985</v>
      </c>
      <c r="BD1400" t="s">
        <v>73</v>
      </c>
    </row>
    <row r="1401" spans="1:56" x14ac:dyDescent="0.35">
      <c r="A1401">
        <v>118558</v>
      </c>
      <c r="B1401" t="s">
        <v>1145</v>
      </c>
      <c r="D1401" t="s">
        <v>57</v>
      </c>
      <c r="E1401">
        <v>96</v>
      </c>
      <c r="F1401" t="s">
        <v>58</v>
      </c>
      <c r="G1401" t="s">
        <v>59</v>
      </c>
      <c r="H1401" t="s">
        <v>60</v>
      </c>
      <c r="J1401" t="s">
        <v>86</v>
      </c>
      <c r="K1401" t="s">
        <v>61</v>
      </c>
      <c r="L1401" t="s">
        <v>74</v>
      </c>
      <c r="M1401" t="s">
        <v>63</v>
      </c>
      <c r="N1401" t="s">
        <v>64</v>
      </c>
      <c r="P1401" t="s">
        <v>65</v>
      </c>
      <c r="R1401">
        <v>1.0900000000000001</v>
      </c>
      <c r="T1401">
        <v>0.99</v>
      </c>
      <c r="V1401">
        <v>1.2</v>
      </c>
      <c r="W1401" t="s">
        <v>66</v>
      </c>
      <c r="X1401" t="s">
        <v>67</v>
      </c>
      <c r="Y1401" t="s">
        <v>67</v>
      </c>
      <c r="Z1401" t="s">
        <v>68</v>
      </c>
      <c r="AB1401">
        <v>4</v>
      </c>
      <c r="AC1401" t="s">
        <v>61</v>
      </c>
      <c r="AJ1401" t="s">
        <v>69</v>
      </c>
      <c r="AY1401" t="s">
        <v>258</v>
      </c>
      <c r="AZ1401">
        <v>10954</v>
      </c>
      <c r="BA1401" t="s">
        <v>259</v>
      </c>
      <c r="BB1401" t="s">
        <v>260</v>
      </c>
      <c r="BC1401">
        <v>1984</v>
      </c>
      <c r="BD1401" t="s">
        <v>261</v>
      </c>
    </row>
    <row r="1402" spans="1:56" x14ac:dyDescent="0.35">
      <c r="A1402">
        <v>118616</v>
      </c>
      <c r="B1402" t="s">
        <v>1146</v>
      </c>
      <c r="D1402" t="s">
        <v>57</v>
      </c>
      <c r="E1402">
        <v>97</v>
      </c>
      <c r="F1402" t="s">
        <v>58</v>
      </c>
      <c r="G1402" t="s">
        <v>59</v>
      </c>
      <c r="H1402" t="s">
        <v>60</v>
      </c>
      <c r="J1402">
        <v>34</v>
      </c>
      <c r="K1402" t="s">
        <v>61</v>
      </c>
      <c r="L1402" t="s">
        <v>74</v>
      </c>
      <c r="M1402" t="s">
        <v>63</v>
      </c>
      <c r="N1402" t="s">
        <v>64</v>
      </c>
      <c r="P1402" t="s">
        <v>65</v>
      </c>
      <c r="R1402">
        <v>19.8</v>
      </c>
      <c r="W1402" t="s">
        <v>66</v>
      </c>
      <c r="X1402" t="s">
        <v>67</v>
      </c>
      <c r="Y1402" t="s">
        <v>67</v>
      </c>
      <c r="Z1402" t="s">
        <v>68</v>
      </c>
      <c r="AB1402">
        <v>4</v>
      </c>
      <c r="AC1402" t="s">
        <v>61</v>
      </c>
      <c r="AJ1402" t="s">
        <v>69</v>
      </c>
      <c r="AY1402" t="s">
        <v>141</v>
      </c>
      <c r="AZ1402">
        <v>12447</v>
      </c>
      <c r="BA1402" t="s">
        <v>142</v>
      </c>
      <c r="BB1402" t="s">
        <v>143</v>
      </c>
      <c r="BC1402">
        <v>1985</v>
      </c>
      <c r="BD1402" t="s">
        <v>73</v>
      </c>
    </row>
    <row r="1403" spans="1:56" x14ac:dyDescent="0.35">
      <c r="A1403">
        <v>118616</v>
      </c>
      <c r="B1403" t="s">
        <v>1146</v>
      </c>
      <c r="D1403" t="s">
        <v>57</v>
      </c>
      <c r="E1403">
        <v>97</v>
      </c>
      <c r="F1403" t="s">
        <v>58</v>
      </c>
      <c r="G1403" t="s">
        <v>59</v>
      </c>
      <c r="H1403" t="s">
        <v>60</v>
      </c>
      <c r="J1403" t="s">
        <v>86</v>
      </c>
      <c r="K1403" t="s">
        <v>61</v>
      </c>
      <c r="L1403" t="s">
        <v>74</v>
      </c>
      <c r="M1403" t="s">
        <v>63</v>
      </c>
      <c r="N1403" t="s">
        <v>64</v>
      </c>
      <c r="P1403" t="s">
        <v>65</v>
      </c>
      <c r="R1403">
        <v>19.600000000000001</v>
      </c>
      <c r="T1403">
        <v>14.8</v>
      </c>
      <c r="V1403">
        <v>25.9</v>
      </c>
      <c r="W1403" t="s">
        <v>66</v>
      </c>
      <c r="X1403" t="s">
        <v>67</v>
      </c>
      <c r="Y1403" t="s">
        <v>67</v>
      </c>
      <c r="Z1403" t="s">
        <v>68</v>
      </c>
      <c r="AB1403">
        <v>4</v>
      </c>
      <c r="AC1403" t="s">
        <v>61</v>
      </c>
      <c r="AJ1403" t="s">
        <v>69</v>
      </c>
      <c r="AY1403" t="s">
        <v>258</v>
      </c>
      <c r="AZ1403">
        <v>10954</v>
      </c>
      <c r="BA1403" t="s">
        <v>259</v>
      </c>
      <c r="BB1403" t="s">
        <v>260</v>
      </c>
      <c r="BC1403">
        <v>1984</v>
      </c>
      <c r="BD1403" t="s">
        <v>261</v>
      </c>
    </row>
    <row r="1404" spans="1:56" x14ac:dyDescent="0.35">
      <c r="A1404">
        <v>118616</v>
      </c>
      <c r="B1404" t="s">
        <v>1146</v>
      </c>
      <c r="D1404" t="s">
        <v>57</v>
      </c>
      <c r="E1404">
        <v>99</v>
      </c>
      <c r="F1404" t="s">
        <v>58</v>
      </c>
      <c r="G1404" t="s">
        <v>59</v>
      </c>
      <c r="H1404" t="s">
        <v>60</v>
      </c>
      <c r="J1404">
        <v>29</v>
      </c>
      <c r="K1404" t="s">
        <v>61</v>
      </c>
      <c r="L1404" t="s">
        <v>74</v>
      </c>
      <c r="M1404" t="s">
        <v>63</v>
      </c>
      <c r="N1404" t="s">
        <v>64</v>
      </c>
      <c r="P1404" t="s">
        <v>65</v>
      </c>
      <c r="R1404">
        <v>20.7</v>
      </c>
      <c r="W1404" t="s">
        <v>66</v>
      </c>
      <c r="X1404" t="s">
        <v>67</v>
      </c>
      <c r="Y1404" t="s">
        <v>67</v>
      </c>
      <c r="Z1404" t="s">
        <v>68</v>
      </c>
      <c r="AB1404">
        <v>4</v>
      </c>
      <c r="AC1404" t="s">
        <v>61</v>
      </c>
      <c r="AJ1404" t="s">
        <v>69</v>
      </c>
      <c r="AY1404" t="s">
        <v>141</v>
      </c>
      <c r="AZ1404">
        <v>12447</v>
      </c>
      <c r="BA1404" t="s">
        <v>142</v>
      </c>
      <c r="BB1404" t="s">
        <v>143</v>
      </c>
      <c r="BC1404">
        <v>1985</v>
      </c>
      <c r="BD1404" t="s">
        <v>73</v>
      </c>
    </row>
    <row r="1405" spans="1:56" x14ac:dyDescent="0.35">
      <c r="A1405">
        <v>118741</v>
      </c>
      <c r="B1405" t="s">
        <v>1147</v>
      </c>
      <c r="E1405">
        <v>96</v>
      </c>
      <c r="F1405" t="s">
        <v>58</v>
      </c>
      <c r="G1405" t="s">
        <v>59</v>
      </c>
      <c r="H1405" t="s">
        <v>60</v>
      </c>
      <c r="J1405" t="s">
        <v>86</v>
      </c>
      <c r="L1405" t="s">
        <v>62</v>
      </c>
      <c r="M1405" t="s">
        <v>63</v>
      </c>
      <c r="N1405" t="s">
        <v>64</v>
      </c>
      <c r="P1405" t="s">
        <v>65</v>
      </c>
      <c r="Q1405" t="s">
        <v>153</v>
      </c>
      <c r="R1405">
        <v>10</v>
      </c>
      <c r="W1405" t="s">
        <v>66</v>
      </c>
      <c r="X1405" t="s">
        <v>67</v>
      </c>
      <c r="Y1405" t="s">
        <v>67</v>
      </c>
      <c r="Z1405" t="s">
        <v>68</v>
      </c>
      <c r="AB1405">
        <v>4</v>
      </c>
      <c r="AC1405" t="s">
        <v>61</v>
      </c>
      <c r="AJ1405" t="s">
        <v>69</v>
      </c>
      <c r="AY1405" t="s">
        <v>96</v>
      </c>
      <c r="AZ1405">
        <v>6797</v>
      </c>
      <c r="BA1405" t="s">
        <v>97</v>
      </c>
      <c r="BB1405" t="s">
        <v>98</v>
      </c>
      <c r="BC1405">
        <v>1986</v>
      </c>
      <c r="BD1405" t="s">
        <v>90</v>
      </c>
    </row>
    <row r="1406" spans="1:56" x14ac:dyDescent="0.35">
      <c r="A1406">
        <v>118752</v>
      </c>
      <c r="B1406" t="s">
        <v>1148</v>
      </c>
      <c r="D1406" t="s">
        <v>85</v>
      </c>
      <c r="E1406" t="s">
        <v>86</v>
      </c>
      <c r="F1406" t="s">
        <v>58</v>
      </c>
      <c r="G1406" t="s">
        <v>59</v>
      </c>
      <c r="H1406" t="s">
        <v>60</v>
      </c>
      <c r="J1406" t="s">
        <v>86</v>
      </c>
      <c r="L1406" t="s">
        <v>62</v>
      </c>
      <c r="M1406" t="s">
        <v>63</v>
      </c>
      <c r="N1406" t="s">
        <v>64</v>
      </c>
      <c r="P1406" t="s">
        <v>100</v>
      </c>
      <c r="T1406">
        <v>0.01</v>
      </c>
      <c r="V1406">
        <v>1</v>
      </c>
      <c r="W1406" t="s">
        <v>66</v>
      </c>
      <c r="X1406" t="s">
        <v>67</v>
      </c>
      <c r="Y1406" t="s">
        <v>67</v>
      </c>
      <c r="Z1406" t="s">
        <v>68</v>
      </c>
      <c r="AB1406">
        <v>4</v>
      </c>
      <c r="AC1406" t="s">
        <v>61</v>
      </c>
      <c r="AJ1406" t="s">
        <v>69</v>
      </c>
      <c r="AY1406" t="s">
        <v>255</v>
      </c>
      <c r="AZ1406">
        <v>8960</v>
      </c>
      <c r="BA1406" t="s">
        <v>256</v>
      </c>
      <c r="BB1406" t="s">
        <v>257</v>
      </c>
      <c r="BC1406">
        <v>1972</v>
      </c>
      <c r="BD1406" t="s">
        <v>90</v>
      </c>
    </row>
    <row r="1407" spans="1:56" x14ac:dyDescent="0.35">
      <c r="A1407">
        <v>118796</v>
      </c>
      <c r="B1407" t="s">
        <v>1149</v>
      </c>
      <c r="D1407" t="s">
        <v>57</v>
      </c>
      <c r="E1407" t="s">
        <v>86</v>
      </c>
      <c r="F1407" t="s">
        <v>58</v>
      </c>
      <c r="G1407" t="s">
        <v>59</v>
      </c>
      <c r="H1407" t="s">
        <v>60</v>
      </c>
      <c r="J1407">
        <v>31</v>
      </c>
      <c r="K1407" t="s">
        <v>61</v>
      </c>
      <c r="L1407" t="s">
        <v>74</v>
      </c>
      <c r="M1407" t="s">
        <v>63</v>
      </c>
      <c r="N1407" t="s">
        <v>64</v>
      </c>
      <c r="P1407" t="s">
        <v>65</v>
      </c>
      <c r="R1407">
        <v>6.54</v>
      </c>
      <c r="T1407">
        <v>5.27</v>
      </c>
      <c r="V1407">
        <v>8.1199999999999992</v>
      </c>
      <c r="W1407" t="s">
        <v>66</v>
      </c>
      <c r="X1407" t="s">
        <v>67</v>
      </c>
      <c r="Y1407" t="s">
        <v>67</v>
      </c>
      <c r="Z1407" t="s">
        <v>68</v>
      </c>
      <c r="AB1407">
        <v>4</v>
      </c>
      <c r="AC1407" t="s">
        <v>61</v>
      </c>
      <c r="AJ1407" t="s">
        <v>69</v>
      </c>
      <c r="AY1407" t="s">
        <v>141</v>
      </c>
      <c r="AZ1407">
        <v>12447</v>
      </c>
      <c r="BA1407" t="s">
        <v>142</v>
      </c>
      <c r="BB1407" t="s">
        <v>143</v>
      </c>
      <c r="BC1407">
        <v>1985</v>
      </c>
      <c r="BD1407" t="s">
        <v>73</v>
      </c>
    </row>
    <row r="1408" spans="1:56" x14ac:dyDescent="0.35">
      <c r="A1408">
        <v>118796</v>
      </c>
      <c r="B1408" t="s">
        <v>1149</v>
      </c>
      <c r="D1408" t="s">
        <v>57</v>
      </c>
      <c r="E1408" t="s">
        <v>86</v>
      </c>
      <c r="F1408" t="s">
        <v>58</v>
      </c>
      <c r="G1408" t="s">
        <v>59</v>
      </c>
      <c r="H1408" t="s">
        <v>60</v>
      </c>
      <c r="J1408" t="s">
        <v>86</v>
      </c>
      <c r="K1408" t="s">
        <v>61</v>
      </c>
      <c r="L1408" t="s">
        <v>74</v>
      </c>
      <c r="M1408" t="s">
        <v>63</v>
      </c>
      <c r="N1408" t="s">
        <v>64</v>
      </c>
      <c r="P1408" t="s">
        <v>65</v>
      </c>
      <c r="R1408">
        <v>6.8</v>
      </c>
      <c r="T1408">
        <v>4.7</v>
      </c>
      <c r="V1408">
        <v>9.8000000000000007</v>
      </c>
      <c r="W1408" t="s">
        <v>66</v>
      </c>
      <c r="X1408" t="s">
        <v>67</v>
      </c>
      <c r="Y1408" t="s">
        <v>67</v>
      </c>
      <c r="Z1408" t="s">
        <v>68</v>
      </c>
      <c r="AB1408">
        <v>4</v>
      </c>
      <c r="AC1408" t="s">
        <v>61</v>
      </c>
      <c r="AJ1408" t="s">
        <v>69</v>
      </c>
      <c r="AY1408" t="s">
        <v>124</v>
      </c>
      <c r="AZ1408">
        <v>2189</v>
      </c>
      <c r="BA1408" t="s">
        <v>125</v>
      </c>
      <c r="BB1408" t="s">
        <v>126</v>
      </c>
      <c r="BC1408">
        <v>1981</v>
      </c>
      <c r="BD1408" t="s">
        <v>127</v>
      </c>
    </row>
    <row r="1409" spans="1:56" x14ac:dyDescent="0.35">
      <c r="A1409">
        <v>118796</v>
      </c>
      <c r="B1409" t="s">
        <v>1149</v>
      </c>
      <c r="D1409" t="s">
        <v>57</v>
      </c>
      <c r="E1409" t="s">
        <v>128</v>
      </c>
      <c r="F1409" t="s">
        <v>58</v>
      </c>
      <c r="G1409" t="s">
        <v>59</v>
      </c>
      <c r="H1409" t="s">
        <v>60</v>
      </c>
      <c r="I1409" t="s">
        <v>129</v>
      </c>
      <c r="J1409" t="s">
        <v>86</v>
      </c>
      <c r="K1409" t="s">
        <v>61</v>
      </c>
      <c r="L1409" t="s">
        <v>74</v>
      </c>
      <c r="M1409" t="s">
        <v>63</v>
      </c>
      <c r="N1409" t="s">
        <v>64</v>
      </c>
      <c r="P1409" t="s">
        <v>65</v>
      </c>
      <c r="R1409">
        <v>6.25</v>
      </c>
      <c r="W1409" t="s">
        <v>66</v>
      </c>
      <c r="X1409" t="s">
        <v>67</v>
      </c>
      <c r="Y1409" t="s">
        <v>67</v>
      </c>
      <c r="Z1409" t="s">
        <v>68</v>
      </c>
      <c r="AB1409">
        <v>4</v>
      </c>
      <c r="AC1409" t="s">
        <v>61</v>
      </c>
      <c r="AJ1409" t="s">
        <v>69</v>
      </c>
      <c r="AY1409" t="s">
        <v>134</v>
      </c>
      <c r="AZ1409">
        <v>15031</v>
      </c>
      <c r="BA1409" t="s">
        <v>135</v>
      </c>
      <c r="BB1409" t="s">
        <v>136</v>
      </c>
      <c r="BC1409">
        <v>1995</v>
      </c>
      <c r="BD1409" t="s">
        <v>133</v>
      </c>
    </row>
    <row r="1410" spans="1:56" x14ac:dyDescent="0.35">
      <c r="A1410">
        <v>118796</v>
      </c>
      <c r="B1410" t="s">
        <v>1149</v>
      </c>
      <c r="D1410" t="s">
        <v>57</v>
      </c>
      <c r="E1410" t="s">
        <v>86</v>
      </c>
      <c r="F1410" t="s">
        <v>58</v>
      </c>
      <c r="G1410" t="s">
        <v>59</v>
      </c>
      <c r="H1410" t="s">
        <v>60</v>
      </c>
      <c r="J1410" t="s">
        <v>86</v>
      </c>
      <c r="K1410" t="s">
        <v>61</v>
      </c>
      <c r="L1410" t="s">
        <v>74</v>
      </c>
      <c r="M1410" t="s">
        <v>63</v>
      </c>
      <c r="N1410" t="s">
        <v>64</v>
      </c>
      <c r="P1410" t="s">
        <v>65</v>
      </c>
      <c r="R1410">
        <v>6.5</v>
      </c>
      <c r="T1410">
        <v>5</v>
      </c>
      <c r="V1410">
        <v>8.3000000000000007</v>
      </c>
      <c r="W1410" t="s">
        <v>66</v>
      </c>
      <c r="X1410" t="s">
        <v>67</v>
      </c>
      <c r="Y1410" t="s">
        <v>67</v>
      </c>
      <c r="Z1410" t="s">
        <v>68</v>
      </c>
      <c r="AB1410">
        <v>4</v>
      </c>
      <c r="AC1410" t="s">
        <v>61</v>
      </c>
      <c r="AJ1410" t="s">
        <v>69</v>
      </c>
      <c r="AY1410" t="s">
        <v>124</v>
      </c>
      <c r="AZ1410">
        <v>2189</v>
      </c>
      <c r="BA1410" t="s">
        <v>125</v>
      </c>
      <c r="BB1410" t="s">
        <v>126</v>
      </c>
      <c r="BC1410">
        <v>1981</v>
      </c>
      <c r="BD1410" t="s">
        <v>127</v>
      </c>
    </row>
    <row r="1411" spans="1:56" x14ac:dyDescent="0.35">
      <c r="A1411">
        <v>118967</v>
      </c>
      <c r="B1411" t="s">
        <v>1150</v>
      </c>
      <c r="D1411" t="s">
        <v>57</v>
      </c>
      <c r="E1411" t="s">
        <v>86</v>
      </c>
      <c r="F1411" t="s">
        <v>58</v>
      </c>
      <c r="G1411" t="s">
        <v>59</v>
      </c>
      <c r="H1411" t="s">
        <v>60</v>
      </c>
      <c r="I1411" t="s">
        <v>129</v>
      </c>
      <c r="J1411" t="s">
        <v>86</v>
      </c>
      <c r="L1411" t="s">
        <v>62</v>
      </c>
      <c r="M1411" t="s">
        <v>63</v>
      </c>
      <c r="N1411" t="s">
        <v>64</v>
      </c>
      <c r="P1411" t="s">
        <v>65</v>
      </c>
      <c r="R1411">
        <v>1.2</v>
      </c>
      <c r="T1411">
        <v>0.8</v>
      </c>
      <c r="V1411">
        <v>1.9</v>
      </c>
      <c r="W1411" t="s">
        <v>66</v>
      </c>
      <c r="X1411" t="s">
        <v>67</v>
      </c>
      <c r="Y1411" t="s">
        <v>67</v>
      </c>
      <c r="Z1411" t="s">
        <v>68</v>
      </c>
      <c r="AB1411">
        <v>4</v>
      </c>
      <c r="AC1411" t="s">
        <v>61</v>
      </c>
      <c r="AJ1411" t="s">
        <v>69</v>
      </c>
      <c r="AY1411" t="s">
        <v>1151</v>
      </c>
      <c r="AZ1411">
        <v>6021</v>
      </c>
      <c r="BA1411" t="s">
        <v>1152</v>
      </c>
      <c r="BB1411" t="s">
        <v>1153</v>
      </c>
      <c r="BC1411">
        <v>1976</v>
      </c>
      <c r="BD1411" t="s">
        <v>90</v>
      </c>
    </row>
    <row r="1412" spans="1:56" x14ac:dyDescent="0.35">
      <c r="A1412">
        <v>118967</v>
      </c>
      <c r="B1412" t="s">
        <v>1150</v>
      </c>
      <c r="D1412" t="s">
        <v>57</v>
      </c>
      <c r="E1412" t="s">
        <v>86</v>
      </c>
      <c r="F1412" t="s">
        <v>58</v>
      </c>
      <c r="G1412" t="s">
        <v>59</v>
      </c>
      <c r="H1412" t="s">
        <v>60</v>
      </c>
      <c r="I1412" t="s">
        <v>129</v>
      </c>
      <c r="J1412" t="s">
        <v>86</v>
      </c>
      <c r="L1412" t="s">
        <v>62</v>
      </c>
      <c r="M1412" t="s">
        <v>63</v>
      </c>
      <c r="N1412" t="s">
        <v>64</v>
      </c>
      <c r="P1412" t="s">
        <v>65</v>
      </c>
      <c r="R1412">
        <v>2</v>
      </c>
      <c r="T1412">
        <v>1.9</v>
      </c>
      <c r="V1412">
        <v>2.2000000000000002</v>
      </c>
      <c r="W1412" t="s">
        <v>66</v>
      </c>
      <c r="X1412" t="s">
        <v>67</v>
      </c>
      <c r="Y1412" t="s">
        <v>67</v>
      </c>
      <c r="Z1412" t="s">
        <v>68</v>
      </c>
      <c r="AB1412">
        <v>4</v>
      </c>
      <c r="AC1412" t="s">
        <v>61</v>
      </c>
      <c r="AJ1412" t="s">
        <v>69</v>
      </c>
      <c r="AY1412" t="s">
        <v>1151</v>
      </c>
      <c r="AZ1412">
        <v>6021</v>
      </c>
      <c r="BA1412" t="s">
        <v>1152</v>
      </c>
      <c r="BB1412" t="s">
        <v>1153</v>
      </c>
      <c r="BC1412">
        <v>1976</v>
      </c>
      <c r="BD1412" t="s">
        <v>90</v>
      </c>
    </row>
    <row r="1413" spans="1:56" x14ac:dyDescent="0.35">
      <c r="A1413">
        <v>118967</v>
      </c>
      <c r="B1413" t="s">
        <v>1150</v>
      </c>
      <c r="D1413" t="s">
        <v>85</v>
      </c>
      <c r="E1413" t="s">
        <v>86</v>
      </c>
      <c r="F1413" t="s">
        <v>58</v>
      </c>
      <c r="G1413" t="s">
        <v>59</v>
      </c>
      <c r="H1413" t="s">
        <v>60</v>
      </c>
      <c r="J1413" t="s">
        <v>86</v>
      </c>
      <c r="L1413" t="s">
        <v>62</v>
      </c>
      <c r="M1413" t="s">
        <v>63</v>
      </c>
      <c r="N1413" t="s">
        <v>64</v>
      </c>
      <c r="P1413" t="s">
        <v>100</v>
      </c>
      <c r="R1413">
        <v>2.4</v>
      </c>
      <c r="T1413">
        <v>2</v>
      </c>
      <c r="V1413">
        <v>2.9</v>
      </c>
      <c r="W1413" t="s">
        <v>66</v>
      </c>
      <c r="X1413" t="s">
        <v>67</v>
      </c>
      <c r="Y1413" t="s">
        <v>67</v>
      </c>
      <c r="Z1413" t="s">
        <v>68</v>
      </c>
      <c r="AB1413">
        <v>4</v>
      </c>
      <c r="AC1413" t="s">
        <v>61</v>
      </c>
      <c r="AJ1413" t="s">
        <v>69</v>
      </c>
      <c r="AY1413" t="s">
        <v>872</v>
      </c>
      <c r="AZ1413">
        <v>73461</v>
      </c>
      <c r="BA1413" t="s">
        <v>873</v>
      </c>
      <c r="BB1413" t="s">
        <v>874</v>
      </c>
      <c r="BC1413">
        <v>1983</v>
      </c>
      <c r="BD1413" t="s">
        <v>90</v>
      </c>
    </row>
    <row r="1414" spans="1:56" x14ac:dyDescent="0.35">
      <c r="A1414">
        <v>118967</v>
      </c>
      <c r="B1414" t="s">
        <v>1150</v>
      </c>
      <c r="D1414" t="s">
        <v>85</v>
      </c>
      <c r="E1414" t="s">
        <v>86</v>
      </c>
      <c r="F1414" t="s">
        <v>58</v>
      </c>
      <c r="G1414" t="s">
        <v>59</v>
      </c>
      <c r="H1414" t="s">
        <v>60</v>
      </c>
      <c r="J1414" t="s">
        <v>86</v>
      </c>
      <c r="L1414" t="s">
        <v>62</v>
      </c>
      <c r="M1414" t="s">
        <v>63</v>
      </c>
      <c r="N1414" t="s">
        <v>64</v>
      </c>
      <c r="P1414" t="s">
        <v>100</v>
      </c>
      <c r="R1414">
        <v>2.4</v>
      </c>
      <c r="T1414">
        <v>2</v>
      </c>
      <c r="V1414">
        <v>3.2</v>
      </c>
      <c r="W1414" t="s">
        <v>66</v>
      </c>
      <c r="X1414" t="s">
        <v>67</v>
      </c>
      <c r="Y1414" t="s">
        <v>67</v>
      </c>
      <c r="Z1414" t="s">
        <v>68</v>
      </c>
      <c r="AB1414">
        <v>4</v>
      </c>
      <c r="AC1414" t="s">
        <v>61</v>
      </c>
      <c r="AJ1414" t="s">
        <v>69</v>
      </c>
      <c r="AY1414" t="s">
        <v>872</v>
      </c>
      <c r="AZ1414">
        <v>73461</v>
      </c>
      <c r="BA1414" t="s">
        <v>873</v>
      </c>
      <c r="BB1414" t="s">
        <v>874</v>
      </c>
      <c r="BC1414">
        <v>1983</v>
      </c>
      <c r="BD1414" t="s">
        <v>90</v>
      </c>
    </row>
    <row r="1415" spans="1:56" x14ac:dyDescent="0.35">
      <c r="A1415">
        <v>118967</v>
      </c>
      <c r="B1415" t="s">
        <v>1150</v>
      </c>
      <c r="D1415" t="s">
        <v>57</v>
      </c>
      <c r="E1415" t="s">
        <v>86</v>
      </c>
      <c r="F1415" t="s">
        <v>58</v>
      </c>
      <c r="G1415" t="s">
        <v>59</v>
      </c>
      <c r="H1415" t="s">
        <v>60</v>
      </c>
      <c r="I1415" t="s">
        <v>129</v>
      </c>
      <c r="J1415" t="s">
        <v>86</v>
      </c>
      <c r="L1415" t="s">
        <v>62</v>
      </c>
      <c r="M1415" t="s">
        <v>63</v>
      </c>
      <c r="N1415" t="s">
        <v>64</v>
      </c>
      <c r="P1415" t="s">
        <v>65</v>
      </c>
      <c r="R1415">
        <v>2.4</v>
      </c>
      <c r="T1415">
        <v>2</v>
      </c>
      <c r="V1415">
        <v>3</v>
      </c>
      <c r="W1415" t="s">
        <v>66</v>
      </c>
      <c r="X1415" t="s">
        <v>67</v>
      </c>
      <c r="Y1415" t="s">
        <v>67</v>
      </c>
      <c r="Z1415" t="s">
        <v>68</v>
      </c>
      <c r="AB1415">
        <v>4</v>
      </c>
      <c r="AC1415" t="s">
        <v>61</v>
      </c>
      <c r="AJ1415" t="s">
        <v>69</v>
      </c>
      <c r="AY1415" t="s">
        <v>1151</v>
      </c>
      <c r="AZ1415">
        <v>6021</v>
      </c>
      <c r="BA1415" t="s">
        <v>1152</v>
      </c>
      <c r="BB1415" t="s">
        <v>1153</v>
      </c>
      <c r="BC1415">
        <v>1976</v>
      </c>
      <c r="BD1415" t="s">
        <v>90</v>
      </c>
    </row>
    <row r="1416" spans="1:56" x14ac:dyDescent="0.35">
      <c r="A1416">
        <v>118967</v>
      </c>
      <c r="B1416" t="s">
        <v>1150</v>
      </c>
      <c r="D1416" t="s">
        <v>57</v>
      </c>
      <c r="E1416" t="s">
        <v>79</v>
      </c>
      <c r="F1416" t="s">
        <v>58</v>
      </c>
      <c r="G1416" t="s">
        <v>59</v>
      </c>
      <c r="H1416" t="s">
        <v>60</v>
      </c>
      <c r="I1416" t="s">
        <v>129</v>
      </c>
      <c r="J1416">
        <v>23</v>
      </c>
      <c r="K1416" t="s">
        <v>61</v>
      </c>
      <c r="L1416" t="s">
        <v>74</v>
      </c>
      <c r="M1416" t="s">
        <v>63</v>
      </c>
      <c r="N1416" t="s">
        <v>64</v>
      </c>
      <c r="O1416">
        <v>6</v>
      </c>
      <c r="P1416" t="s">
        <v>65</v>
      </c>
      <c r="R1416">
        <v>2.66</v>
      </c>
      <c r="T1416">
        <v>2.3199999999999998</v>
      </c>
      <c r="V1416">
        <v>3.13</v>
      </c>
      <c r="W1416" t="s">
        <v>66</v>
      </c>
      <c r="X1416" t="s">
        <v>67</v>
      </c>
      <c r="Y1416" t="s">
        <v>67</v>
      </c>
      <c r="Z1416" t="s">
        <v>68</v>
      </c>
      <c r="AB1416">
        <v>4</v>
      </c>
      <c r="AC1416" t="s">
        <v>61</v>
      </c>
      <c r="AJ1416" t="s">
        <v>69</v>
      </c>
      <c r="AY1416" t="s">
        <v>181</v>
      </c>
      <c r="AZ1416">
        <v>17395</v>
      </c>
      <c r="BA1416" t="s">
        <v>182</v>
      </c>
      <c r="BB1416" t="s">
        <v>183</v>
      </c>
      <c r="BC1416">
        <v>1993</v>
      </c>
      <c r="BD1416" t="s">
        <v>73</v>
      </c>
    </row>
    <row r="1417" spans="1:56" x14ac:dyDescent="0.35">
      <c r="A1417">
        <v>118967</v>
      </c>
      <c r="B1417" t="s">
        <v>1150</v>
      </c>
      <c r="D1417" t="s">
        <v>85</v>
      </c>
      <c r="E1417" t="s">
        <v>86</v>
      </c>
      <c r="F1417" t="s">
        <v>58</v>
      </c>
      <c r="G1417" t="s">
        <v>59</v>
      </c>
      <c r="H1417" t="s">
        <v>60</v>
      </c>
      <c r="J1417" t="s">
        <v>86</v>
      </c>
      <c r="L1417" t="s">
        <v>62</v>
      </c>
      <c r="M1417" t="s">
        <v>63</v>
      </c>
      <c r="N1417" t="s">
        <v>64</v>
      </c>
      <c r="P1417" t="s">
        <v>100</v>
      </c>
      <c r="R1417">
        <v>1.2</v>
      </c>
      <c r="T1417">
        <v>0.7</v>
      </c>
      <c r="V1417">
        <v>1.6</v>
      </c>
      <c r="W1417" t="s">
        <v>66</v>
      </c>
      <c r="X1417" t="s">
        <v>67</v>
      </c>
      <c r="Y1417" t="s">
        <v>67</v>
      </c>
      <c r="Z1417" t="s">
        <v>68</v>
      </c>
      <c r="AB1417">
        <v>4</v>
      </c>
      <c r="AC1417" t="s">
        <v>61</v>
      </c>
      <c r="AJ1417" t="s">
        <v>69</v>
      </c>
      <c r="AY1417" t="s">
        <v>872</v>
      </c>
      <c r="AZ1417">
        <v>73461</v>
      </c>
      <c r="BA1417" t="s">
        <v>873</v>
      </c>
      <c r="BB1417" t="s">
        <v>874</v>
      </c>
      <c r="BC1417">
        <v>1983</v>
      </c>
      <c r="BD1417" t="s">
        <v>90</v>
      </c>
    </row>
    <row r="1418" spans="1:56" x14ac:dyDescent="0.35">
      <c r="A1418">
        <v>118967</v>
      </c>
      <c r="B1418" t="s">
        <v>1150</v>
      </c>
      <c r="D1418" t="s">
        <v>57</v>
      </c>
      <c r="E1418" t="s">
        <v>86</v>
      </c>
      <c r="F1418" t="s">
        <v>58</v>
      </c>
      <c r="G1418" t="s">
        <v>59</v>
      </c>
      <c r="H1418" t="s">
        <v>60</v>
      </c>
      <c r="J1418" t="s">
        <v>86</v>
      </c>
      <c r="L1418" t="s">
        <v>74</v>
      </c>
      <c r="M1418" t="s">
        <v>63</v>
      </c>
      <c r="N1418" t="s">
        <v>64</v>
      </c>
      <c r="O1418">
        <v>7</v>
      </c>
      <c r="P1418" t="s">
        <v>65</v>
      </c>
      <c r="R1418">
        <v>3.7</v>
      </c>
      <c r="W1418" t="s">
        <v>66</v>
      </c>
      <c r="X1418" t="s">
        <v>67</v>
      </c>
      <c r="Y1418" t="s">
        <v>67</v>
      </c>
      <c r="Z1418" t="s">
        <v>68</v>
      </c>
      <c r="AB1418">
        <v>4</v>
      </c>
      <c r="AC1418" t="s">
        <v>61</v>
      </c>
      <c r="AJ1418" t="s">
        <v>69</v>
      </c>
      <c r="AY1418" t="s">
        <v>872</v>
      </c>
      <c r="AZ1418">
        <v>73461</v>
      </c>
      <c r="BA1418" t="s">
        <v>873</v>
      </c>
      <c r="BB1418" t="s">
        <v>874</v>
      </c>
      <c r="BC1418">
        <v>1983</v>
      </c>
      <c r="BD1418" t="s">
        <v>90</v>
      </c>
    </row>
    <row r="1419" spans="1:56" x14ac:dyDescent="0.35">
      <c r="A1419">
        <v>118967</v>
      </c>
      <c r="B1419" t="s">
        <v>1150</v>
      </c>
      <c r="D1419" t="s">
        <v>85</v>
      </c>
      <c r="E1419" t="s">
        <v>86</v>
      </c>
      <c r="F1419" t="s">
        <v>58</v>
      </c>
      <c r="G1419" t="s">
        <v>59</v>
      </c>
      <c r="H1419" t="s">
        <v>60</v>
      </c>
      <c r="I1419" t="s">
        <v>129</v>
      </c>
      <c r="J1419" t="s">
        <v>86</v>
      </c>
      <c r="L1419" t="s">
        <v>62</v>
      </c>
      <c r="M1419" t="s">
        <v>63</v>
      </c>
      <c r="N1419" t="s">
        <v>64</v>
      </c>
      <c r="P1419" t="s">
        <v>100</v>
      </c>
      <c r="R1419">
        <v>2.9</v>
      </c>
      <c r="T1419">
        <v>2.6</v>
      </c>
      <c r="V1419">
        <v>3.2</v>
      </c>
      <c r="W1419" t="s">
        <v>66</v>
      </c>
      <c r="X1419" t="s">
        <v>67</v>
      </c>
      <c r="Y1419" t="s">
        <v>67</v>
      </c>
      <c r="Z1419" t="s">
        <v>68</v>
      </c>
      <c r="AB1419">
        <v>4</v>
      </c>
      <c r="AC1419" t="s">
        <v>61</v>
      </c>
      <c r="AJ1419" t="s">
        <v>69</v>
      </c>
      <c r="AY1419" t="s">
        <v>872</v>
      </c>
      <c r="AZ1419">
        <v>73461</v>
      </c>
      <c r="BA1419" t="s">
        <v>873</v>
      </c>
      <c r="BB1419" t="s">
        <v>874</v>
      </c>
      <c r="BC1419">
        <v>1983</v>
      </c>
      <c r="BD1419" t="s">
        <v>90</v>
      </c>
    </row>
    <row r="1420" spans="1:56" x14ac:dyDescent="0.35">
      <c r="A1420">
        <v>118967</v>
      </c>
      <c r="B1420" t="s">
        <v>1150</v>
      </c>
      <c r="D1420" t="s">
        <v>57</v>
      </c>
      <c r="E1420" t="s">
        <v>86</v>
      </c>
      <c r="F1420" t="s">
        <v>58</v>
      </c>
      <c r="G1420" t="s">
        <v>59</v>
      </c>
      <c r="H1420" t="s">
        <v>60</v>
      </c>
      <c r="J1420" t="s">
        <v>86</v>
      </c>
      <c r="L1420" t="s">
        <v>74</v>
      </c>
      <c r="M1420" t="s">
        <v>63</v>
      </c>
      <c r="N1420" t="s">
        <v>64</v>
      </c>
      <c r="P1420" t="s">
        <v>65</v>
      </c>
      <c r="R1420">
        <v>1.6</v>
      </c>
      <c r="W1420" t="s">
        <v>66</v>
      </c>
      <c r="X1420" t="s">
        <v>67</v>
      </c>
      <c r="Y1420" t="s">
        <v>67</v>
      </c>
      <c r="Z1420" t="s">
        <v>68</v>
      </c>
      <c r="AB1420">
        <v>4</v>
      </c>
      <c r="AC1420" t="s">
        <v>61</v>
      </c>
      <c r="AJ1420" t="s">
        <v>69</v>
      </c>
      <c r="AY1420" t="s">
        <v>1154</v>
      </c>
      <c r="AZ1420">
        <v>926</v>
      </c>
      <c r="BA1420" t="s">
        <v>1155</v>
      </c>
      <c r="BB1420" t="s">
        <v>1156</v>
      </c>
      <c r="BC1420">
        <v>1976</v>
      </c>
      <c r="BD1420" t="s">
        <v>90</v>
      </c>
    </row>
    <row r="1421" spans="1:56" x14ac:dyDescent="0.35">
      <c r="A1421">
        <v>118967</v>
      </c>
      <c r="B1421" t="s">
        <v>1150</v>
      </c>
      <c r="C1421" t="s">
        <v>195</v>
      </c>
      <c r="D1421" t="s">
        <v>85</v>
      </c>
      <c r="E1421" t="s">
        <v>86</v>
      </c>
      <c r="F1421" t="s">
        <v>58</v>
      </c>
      <c r="G1421" t="s">
        <v>59</v>
      </c>
      <c r="H1421" t="s">
        <v>60</v>
      </c>
      <c r="J1421" t="s">
        <v>86</v>
      </c>
      <c r="L1421" t="s">
        <v>62</v>
      </c>
      <c r="M1421" t="s">
        <v>63</v>
      </c>
      <c r="N1421" t="s">
        <v>64</v>
      </c>
      <c r="P1421" t="s">
        <v>65</v>
      </c>
      <c r="R1421">
        <v>3.1</v>
      </c>
      <c r="W1421" t="s">
        <v>66</v>
      </c>
      <c r="X1421" t="s">
        <v>67</v>
      </c>
      <c r="Y1421" t="s">
        <v>67</v>
      </c>
      <c r="Z1421" t="s">
        <v>68</v>
      </c>
      <c r="AB1421">
        <v>4</v>
      </c>
      <c r="AC1421" t="s">
        <v>61</v>
      </c>
      <c r="AJ1421" t="s">
        <v>69</v>
      </c>
      <c r="AY1421" t="s">
        <v>1157</v>
      </c>
      <c r="AZ1421">
        <v>6502</v>
      </c>
      <c r="BA1421" t="s">
        <v>1158</v>
      </c>
      <c r="BB1421" t="s">
        <v>1159</v>
      </c>
      <c r="BC1421">
        <v>1980</v>
      </c>
      <c r="BD1421" t="s">
        <v>90</v>
      </c>
    </row>
    <row r="1422" spans="1:56" x14ac:dyDescent="0.35">
      <c r="A1422">
        <v>118967</v>
      </c>
      <c r="B1422" t="s">
        <v>1150</v>
      </c>
      <c r="D1422" t="s">
        <v>85</v>
      </c>
      <c r="E1422" t="s">
        <v>86</v>
      </c>
      <c r="F1422" t="s">
        <v>58</v>
      </c>
      <c r="G1422" t="s">
        <v>59</v>
      </c>
      <c r="H1422" t="s">
        <v>60</v>
      </c>
      <c r="I1422" t="s">
        <v>129</v>
      </c>
      <c r="J1422" t="s">
        <v>86</v>
      </c>
      <c r="L1422" t="s">
        <v>62</v>
      </c>
      <c r="M1422" t="s">
        <v>63</v>
      </c>
      <c r="N1422" t="s">
        <v>64</v>
      </c>
      <c r="P1422" t="s">
        <v>65</v>
      </c>
      <c r="R1422">
        <v>3</v>
      </c>
      <c r="T1422">
        <v>2.8</v>
      </c>
      <c r="V1422">
        <v>3.3</v>
      </c>
      <c r="W1422" t="s">
        <v>66</v>
      </c>
      <c r="X1422" t="s">
        <v>67</v>
      </c>
      <c r="Y1422" t="s">
        <v>67</v>
      </c>
      <c r="Z1422" t="s">
        <v>68</v>
      </c>
      <c r="AB1422">
        <v>4</v>
      </c>
      <c r="AC1422" t="s">
        <v>61</v>
      </c>
      <c r="AJ1422" t="s">
        <v>69</v>
      </c>
      <c r="AY1422" t="s">
        <v>718</v>
      </c>
      <c r="AZ1422">
        <v>10141</v>
      </c>
      <c r="BA1422" t="s">
        <v>719</v>
      </c>
      <c r="BB1422" t="s">
        <v>720</v>
      </c>
      <c r="BC1422">
        <v>1983</v>
      </c>
      <c r="BD1422" t="s">
        <v>721</v>
      </c>
    </row>
    <row r="1423" spans="1:56" x14ac:dyDescent="0.35">
      <c r="A1423">
        <v>118967</v>
      </c>
      <c r="B1423" t="s">
        <v>1150</v>
      </c>
      <c r="D1423" t="s">
        <v>57</v>
      </c>
      <c r="E1423" t="s">
        <v>86</v>
      </c>
      <c r="F1423" t="s">
        <v>58</v>
      </c>
      <c r="G1423" t="s">
        <v>59</v>
      </c>
      <c r="H1423" t="s">
        <v>60</v>
      </c>
      <c r="J1423" t="s">
        <v>86</v>
      </c>
      <c r="L1423" t="s">
        <v>74</v>
      </c>
      <c r="M1423" t="s">
        <v>63</v>
      </c>
      <c r="N1423" t="s">
        <v>64</v>
      </c>
      <c r="P1423" t="s">
        <v>65</v>
      </c>
      <c r="R1423">
        <v>2.58</v>
      </c>
      <c r="W1423" t="s">
        <v>66</v>
      </c>
      <c r="X1423" t="s">
        <v>67</v>
      </c>
      <c r="Y1423" t="s">
        <v>67</v>
      </c>
      <c r="Z1423" t="s">
        <v>68</v>
      </c>
      <c r="AB1423">
        <v>4</v>
      </c>
      <c r="AC1423" t="s">
        <v>61</v>
      </c>
      <c r="AJ1423" t="s">
        <v>69</v>
      </c>
      <c r="AY1423" t="s">
        <v>1154</v>
      </c>
      <c r="AZ1423">
        <v>926</v>
      </c>
      <c r="BA1423" t="s">
        <v>1155</v>
      </c>
      <c r="BB1423" t="s">
        <v>1156</v>
      </c>
      <c r="BC1423">
        <v>1976</v>
      </c>
      <c r="BD1423" t="s">
        <v>90</v>
      </c>
    </row>
    <row r="1424" spans="1:56" x14ac:dyDescent="0.35">
      <c r="A1424">
        <v>118967</v>
      </c>
      <c r="B1424" t="s">
        <v>1150</v>
      </c>
      <c r="D1424" t="s">
        <v>85</v>
      </c>
      <c r="E1424" t="s">
        <v>86</v>
      </c>
      <c r="F1424" t="s">
        <v>58</v>
      </c>
      <c r="G1424" t="s">
        <v>59</v>
      </c>
      <c r="H1424" t="s">
        <v>60</v>
      </c>
      <c r="I1424" t="s">
        <v>129</v>
      </c>
      <c r="J1424" t="s">
        <v>86</v>
      </c>
      <c r="L1424" t="s">
        <v>62</v>
      </c>
      <c r="M1424" t="s">
        <v>63</v>
      </c>
      <c r="N1424" t="s">
        <v>64</v>
      </c>
      <c r="P1424" t="s">
        <v>100</v>
      </c>
      <c r="R1424">
        <v>2.4</v>
      </c>
      <c r="W1424" t="s">
        <v>66</v>
      </c>
      <c r="X1424" t="s">
        <v>67</v>
      </c>
      <c r="Y1424" t="s">
        <v>67</v>
      </c>
      <c r="Z1424" t="s">
        <v>68</v>
      </c>
      <c r="AB1424">
        <v>4</v>
      </c>
      <c r="AC1424" t="s">
        <v>61</v>
      </c>
      <c r="AJ1424" t="s">
        <v>69</v>
      </c>
      <c r="AY1424" t="s">
        <v>722</v>
      </c>
      <c r="AZ1424">
        <v>5087</v>
      </c>
      <c r="BA1424" t="s">
        <v>723</v>
      </c>
      <c r="BB1424" t="s">
        <v>724</v>
      </c>
      <c r="BC1424">
        <v>1979</v>
      </c>
      <c r="BD1424" t="s">
        <v>90</v>
      </c>
    </row>
    <row r="1425" spans="1:56" x14ac:dyDescent="0.35">
      <c r="A1425">
        <v>118967</v>
      </c>
      <c r="B1425" t="s">
        <v>1150</v>
      </c>
      <c r="D1425" t="s">
        <v>57</v>
      </c>
      <c r="E1425" t="s">
        <v>407</v>
      </c>
      <c r="F1425" t="s">
        <v>58</v>
      </c>
      <c r="G1425" t="s">
        <v>59</v>
      </c>
      <c r="H1425" t="s">
        <v>60</v>
      </c>
      <c r="I1425" t="s">
        <v>188</v>
      </c>
      <c r="J1425" t="s">
        <v>86</v>
      </c>
      <c r="K1425" t="s">
        <v>61</v>
      </c>
      <c r="L1425" t="s">
        <v>190</v>
      </c>
      <c r="M1425" t="s">
        <v>63</v>
      </c>
      <c r="N1425" t="s">
        <v>64</v>
      </c>
      <c r="O1425">
        <v>7</v>
      </c>
      <c r="P1425" t="s">
        <v>65</v>
      </c>
      <c r="R1425">
        <v>2.7096990760000002</v>
      </c>
      <c r="T1425">
        <v>2.3372006280000002</v>
      </c>
      <c r="V1425">
        <v>3.1412521560000002</v>
      </c>
      <c r="W1425" t="s">
        <v>66</v>
      </c>
      <c r="X1425" t="s">
        <v>67</v>
      </c>
      <c r="Y1425" t="s">
        <v>67</v>
      </c>
      <c r="Z1425" t="s">
        <v>68</v>
      </c>
      <c r="AB1425">
        <v>4</v>
      </c>
      <c r="AC1425" t="s">
        <v>61</v>
      </c>
      <c r="AJ1425" t="s">
        <v>69</v>
      </c>
      <c r="AY1425" t="s">
        <v>1160</v>
      </c>
      <c r="AZ1425">
        <v>115501</v>
      </c>
      <c r="BA1425" t="s">
        <v>1161</v>
      </c>
      <c r="BB1425" t="s">
        <v>1162</v>
      </c>
      <c r="BC1425">
        <v>2006</v>
      </c>
      <c r="BD1425" t="s">
        <v>804</v>
      </c>
    </row>
    <row r="1426" spans="1:56" x14ac:dyDescent="0.35">
      <c r="A1426">
        <v>118967</v>
      </c>
      <c r="B1426" t="s">
        <v>1150</v>
      </c>
      <c r="D1426" t="s">
        <v>85</v>
      </c>
      <c r="E1426" t="s">
        <v>86</v>
      </c>
      <c r="F1426" t="s">
        <v>58</v>
      </c>
      <c r="G1426" t="s">
        <v>59</v>
      </c>
      <c r="H1426" t="s">
        <v>60</v>
      </c>
      <c r="J1426" t="s">
        <v>86</v>
      </c>
      <c r="L1426" t="s">
        <v>62</v>
      </c>
      <c r="M1426" t="s">
        <v>63</v>
      </c>
      <c r="N1426" t="s">
        <v>64</v>
      </c>
      <c r="P1426" t="s">
        <v>100</v>
      </c>
      <c r="R1426">
        <v>2.1</v>
      </c>
      <c r="T1426">
        <v>1.8</v>
      </c>
      <c r="V1426">
        <v>2.5</v>
      </c>
      <c r="W1426" t="s">
        <v>66</v>
      </c>
      <c r="X1426" t="s">
        <v>67</v>
      </c>
      <c r="Y1426" t="s">
        <v>67</v>
      </c>
      <c r="Z1426" t="s">
        <v>68</v>
      </c>
      <c r="AB1426">
        <v>4</v>
      </c>
      <c r="AC1426" t="s">
        <v>61</v>
      </c>
      <c r="AJ1426" t="s">
        <v>69</v>
      </c>
      <c r="AY1426" t="s">
        <v>872</v>
      </c>
      <c r="AZ1426">
        <v>73461</v>
      </c>
      <c r="BA1426" t="s">
        <v>873</v>
      </c>
      <c r="BB1426" t="s">
        <v>874</v>
      </c>
      <c r="BC1426">
        <v>1983</v>
      </c>
      <c r="BD1426" t="s">
        <v>90</v>
      </c>
    </row>
    <row r="1427" spans="1:56" x14ac:dyDescent="0.35">
      <c r="A1427">
        <v>119062</v>
      </c>
      <c r="B1427" t="s">
        <v>1163</v>
      </c>
      <c r="D1427" t="s">
        <v>85</v>
      </c>
      <c r="E1427" t="s">
        <v>253</v>
      </c>
      <c r="F1427" t="s">
        <v>58</v>
      </c>
      <c r="G1427" t="s">
        <v>59</v>
      </c>
      <c r="H1427" t="s">
        <v>60</v>
      </c>
      <c r="I1427" t="s">
        <v>129</v>
      </c>
      <c r="J1427" t="s">
        <v>86</v>
      </c>
      <c r="L1427" t="s">
        <v>62</v>
      </c>
      <c r="M1427" t="s">
        <v>63</v>
      </c>
      <c r="N1427" t="s">
        <v>64</v>
      </c>
      <c r="P1427" t="s">
        <v>65</v>
      </c>
      <c r="Q1427" t="s">
        <v>153</v>
      </c>
      <c r="R1427">
        <v>0.12</v>
      </c>
      <c r="W1427" t="s">
        <v>66</v>
      </c>
      <c r="X1427" t="s">
        <v>67</v>
      </c>
      <c r="Y1427" t="s">
        <v>67</v>
      </c>
      <c r="Z1427" t="s">
        <v>68</v>
      </c>
      <c r="AB1427">
        <v>4</v>
      </c>
      <c r="AC1427" t="s">
        <v>61</v>
      </c>
      <c r="AJ1427" t="s">
        <v>69</v>
      </c>
      <c r="AY1427" t="s">
        <v>630</v>
      </c>
      <c r="AZ1427">
        <v>15040</v>
      </c>
      <c r="BA1427" t="s">
        <v>631</v>
      </c>
      <c r="BB1427" t="s">
        <v>632</v>
      </c>
      <c r="BC1427">
        <v>1995</v>
      </c>
      <c r="BD1427" t="s">
        <v>90</v>
      </c>
    </row>
    <row r="1428" spans="1:56" x14ac:dyDescent="0.35">
      <c r="A1428">
        <v>119062</v>
      </c>
      <c r="B1428" t="s">
        <v>1163</v>
      </c>
      <c r="D1428" t="s">
        <v>85</v>
      </c>
      <c r="E1428" t="s">
        <v>253</v>
      </c>
      <c r="F1428" t="s">
        <v>58</v>
      </c>
      <c r="G1428" t="s">
        <v>59</v>
      </c>
      <c r="H1428" t="s">
        <v>60</v>
      </c>
      <c r="I1428" t="s">
        <v>129</v>
      </c>
      <c r="J1428" t="s">
        <v>86</v>
      </c>
      <c r="L1428" t="s">
        <v>74</v>
      </c>
      <c r="M1428" t="s">
        <v>63</v>
      </c>
      <c r="N1428" t="s">
        <v>64</v>
      </c>
      <c r="P1428" t="s">
        <v>65</v>
      </c>
      <c r="Q1428" t="s">
        <v>153</v>
      </c>
      <c r="R1428">
        <v>0.26</v>
      </c>
      <c r="W1428" t="s">
        <v>66</v>
      </c>
      <c r="X1428" t="s">
        <v>67</v>
      </c>
      <c r="Y1428" t="s">
        <v>67</v>
      </c>
      <c r="Z1428" t="s">
        <v>68</v>
      </c>
      <c r="AB1428">
        <v>4</v>
      </c>
      <c r="AC1428" t="s">
        <v>61</v>
      </c>
      <c r="AJ1428" t="s">
        <v>69</v>
      </c>
      <c r="AY1428" t="s">
        <v>630</v>
      </c>
      <c r="AZ1428">
        <v>15040</v>
      </c>
      <c r="BA1428" t="s">
        <v>631</v>
      </c>
      <c r="BB1428" t="s">
        <v>632</v>
      </c>
      <c r="BC1428">
        <v>1995</v>
      </c>
      <c r="BD1428" t="s">
        <v>90</v>
      </c>
    </row>
    <row r="1429" spans="1:56" x14ac:dyDescent="0.35">
      <c r="A1429">
        <v>119062</v>
      </c>
      <c r="B1429" t="s">
        <v>1163</v>
      </c>
      <c r="D1429" t="s">
        <v>57</v>
      </c>
      <c r="E1429" t="s">
        <v>86</v>
      </c>
      <c r="F1429" t="s">
        <v>58</v>
      </c>
      <c r="G1429" t="s">
        <v>59</v>
      </c>
      <c r="H1429" t="s">
        <v>60</v>
      </c>
      <c r="J1429" t="s">
        <v>86</v>
      </c>
      <c r="L1429" t="s">
        <v>62</v>
      </c>
      <c r="M1429" t="s">
        <v>63</v>
      </c>
      <c r="N1429" t="s">
        <v>64</v>
      </c>
      <c r="O1429">
        <v>2</v>
      </c>
      <c r="P1429" t="s">
        <v>65</v>
      </c>
      <c r="Q1429" t="s">
        <v>153</v>
      </c>
      <c r="R1429">
        <v>0.14000000000000001</v>
      </c>
      <c r="W1429" t="s">
        <v>66</v>
      </c>
      <c r="X1429" t="s">
        <v>67</v>
      </c>
      <c r="Y1429" t="s">
        <v>67</v>
      </c>
      <c r="Z1429" t="s">
        <v>68</v>
      </c>
      <c r="AB1429">
        <v>4</v>
      </c>
      <c r="AC1429" t="s">
        <v>61</v>
      </c>
      <c r="AJ1429" t="s">
        <v>69</v>
      </c>
      <c r="AY1429" t="s">
        <v>633</v>
      </c>
      <c r="AZ1429">
        <v>180491</v>
      </c>
      <c r="BA1429" t="s">
        <v>634</v>
      </c>
      <c r="BB1429" t="s">
        <v>635</v>
      </c>
      <c r="BC1429">
        <v>2000</v>
      </c>
      <c r="BD1429" t="s">
        <v>90</v>
      </c>
    </row>
    <row r="1430" spans="1:56" x14ac:dyDescent="0.35">
      <c r="A1430">
        <v>119324</v>
      </c>
      <c r="B1430" t="s">
        <v>1164</v>
      </c>
      <c r="D1430" t="s">
        <v>85</v>
      </c>
      <c r="E1430" t="s">
        <v>86</v>
      </c>
      <c r="F1430" t="s">
        <v>58</v>
      </c>
      <c r="G1430" t="s">
        <v>59</v>
      </c>
      <c r="H1430" t="s">
        <v>60</v>
      </c>
      <c r="J1430" t="s">
        <v>86</v>
      </c>
      <c r="L1430" t="s">
        <v>62</v>
      </c>
      <c r="M1430" t="s">
        <v>63</v>
      </c>
      <c r="N1430" t="s">
        <v>64</v>
      </c>
      <c r="P1430" t="s">
        <v>100</v>
      </c>
      <c r="T1430">
        <v>5</v>
      </c>
      <c r="V1430">
        <v>15</v>
      </c>
      <c r="W1430" t="s">
        <v>66</v>
      </c>
      <c r="X1430" t="s">
        <v>67</v>
      </c>
      <c r="Y1430" t="s">
        <v>67</v>
      </c>
      <c r="Z1430" t="s">
        <v>68</v>
      </c>
      <c r="AB1430">
        <v>4</v>
      </c>
      <c r="AC1430" t="s">
        <v>61</v>
      </c>
      <c r="AJ1430" t="s">
        <v>69</v>
      </c>
      <c r="AY1430" t="s">
        <v>715</v>
      </c>
      <c r="AZ1430">
        <v>5671</v>
      </c>
      <c r="BA1430" t="s">
        <v>716</v>
      </c>
      <c r="BB1430" t="s">
        <v>717</v>
      </c>
      <c r="BC1430">
        <v>1977</v>
      </c>
      <c r="BD1430" t="s">
        <v>90</v>
      </c>
    </row>
    <row r="1431" spans="1:56" x14ac:dyDescent="0.35">
      <c r="A1431">
        <v>119324</v>
      </c>
      <c r="B1431" t="s">
        <v>1164</v>
      </c>
      <c r="D1431" t="s">
        <v>85</v>
      </c>
      <c r="E1431" t="s">
        <v>86</v>
      </c>
      <c r="F1431" t="s">
        <v>58</v>
      </c>
      <c r="G1431" t="s">
        <v>59</v>
      </c>
      <c r="H1431" t="s">
        <v>60</v>
      </c>
      <c r="I1431" t="s">
        <v>129</v>
      </c>
      <c r="J1431" t="s">
        <v>86</v>
      </c>
      <c r="L1431" t="s">
        <v>62</v>
      </c>
      <c r="M1431" t="s">
        <v>63</v>
      </c>
      <c r="N1431" t="s">
        <v>64</v>
      </c>
      <c r="P1431" t="s">
        <v>65</v>
      </c>
      <c r="R1431">
        <v>25.8</v>
      </c>
      <c r="T1431">
        <v>23.4</v>
      </c>
      <c r="V1431">
        <v>28.6</v>
      </c>
      <c r="W1431" t="s">
        <v>66</v>
      </c>
      <c r="X1431" t="s">
        <v>67</v>
      </c>
      <c r="Y1431" t="s">
        <v>67</v>
      </c>
      <c r="Z1431" t="s">
        <v>68</v>
      </c>
      <c r="AB1431">
        <v>4</v>
      </c>
      <c r="AC1431" t="s">
        <v>61</v>
      </c>
      <c r="AJ1431" t="s">
        <v>69</v>
      </c>
      <c r="AY1431" t="s">
        <v>718</v>
      </c>
      <c r="AZ1431">
        <v>10141</v>
      </c>
      <c r="BA1431" t="s">
        <v>719</v>
      </c>
      <c r="BB1431" t="s">
        <v>720</v>
      </c>
      <c r="BC1431">
        <v>1983</v>
      </c>
      <c r="BD1431" t="s">
        <v>721</v>
      </c>
    </row>
    <row r="1432" spans="1:56" x14ac:dyDescent="0.35">
      <c r="A1432">
        <v>119324</v>
      </c>
      <c r="B1432" t="s">
        <v>1164</v>
      </c>
      <c r="D1432" t="s">
        <v>85</v>
      </c>
      <c r="E1432" t="s">
        <v>86</v>
      </c>
      <c r="F1432" t="s">
        <v>58</v>
      </c>
      <c r="G1432" t="s">
        <v>59</v>
      </c>
      <c r="H1432" t="s">
        <v>60</v>
      </c>
      <c r="I1432" t="s">
        <v>129</v>
      </c>
      <c r="J1432" t="s">
        <v>86</v>
      </c>
      <c r="L1432" t="s">
        <v>62</v>
      </c>
      <c r="M1432" t="s">
        <v>63</v>
      </c>
      <c r="N1432" t="s">
        <v>64</v>
      </c>
      <c r="P1432" t="s">
        <v>100</v>
      </c>
      <c r="R1432">
        <v>26.1</v>
      </c>
      <c r="W1432" t="s">
        <v>66</v>
      </c>
      <c r="X1432" t="s">
        <v>67</v>
      </c>
      <c r="Y1432" t="s">
        <v>67</v>
      </c>
      <c r="Z1432" t="s">
        <v>68</v>
      </c>
      <c r="AB1432">
        <v>4</v>
      </c>
      <c r="AC1432" t="s">
        <v>61</v>
      </c>
      <c r="AJ1432" t="s">
        <v>69</v>
      </c>
      <c r="AY1432" t="s">
        <v>722</v>
      </c>
      <c r="AZ1432">
        <v>5087</v>
      </c>
      <c r="BA1432" t="s">
        <v>723</v>
      </c>
      <c r="BB1432" t="s">
        <v>724</v>
      </c>
      <c r="BC1432">
        <v>1979</v>
      </c>
      <c r="BD1432" t="s">
        <v>90</v>
      </c>
    </row>
    <row r="1433" spans="1:56" x14ac:dyDescent="0.35">
      <c r="A1433">
        <v>119346</v>
      </c>
      <c r="B1433" t="s">
        <v>1165</v>
      </c>
      <c r="D1433" t="s">
        <v>57</v>
      </c>
      <c r="E1433" t="s">
        <v>128</v>
      </c>
      <c r="F1433" t="s">
        <v>58</v>
      </c>
      <c r="G1433" t="s">
        <v>59</v>
      </c>
      <c r="H1433" t="s">
        <v>60</v>
      </c>
      <c r="I1433" t="s">
        <v>129</v>
      </c>
      <c r="J1433" t="s">
        <v>86</v>
      </c>
      <c r="K1433" t="s">
        <v>61</v>
      </c>
      <c r="L1433" t="s">
        <v>74</v>
      </c>
      <c r="M1433" t="s">
        <v>63</v>
      </c>
      <c r="N1433" t="s">
        <v>64</v>
      </c>
      <c r="P1433" t="s">
        <v>65</v>
      </c>
      <c r="R1433">
        <v>36.200000000000003</v>
      </c>
      <c r="W1433" t="s">
        <v>66</v>
      </c>
      <c r="X1433" t="s">
        <v>67</v>
      </c>
      <c r="Y1433" t="s">
        <v>67</v>
      </c>
      <c r="Z1433" t="s">
        <v>68</v>
      </c>
      <c r="AB1433">
        <v>4</v>
      </c>
      <c r="AC1433" t="s">
        <v>61</v>
      </c>
      <c r="AJ1433" t="s">
        <v>69</v>
      </c>
      <c r="AY1433" t="s">
        <v>134</v>
      </c>
      <c r="AZ1433">
        <v>15031</v>
      </c>
      <c r="BA1433" t="s">
        <v>135</v>
      </c>
      <c r="BB1433" t="s">
        <v>136</v>
      </c>
      <c r="BC1433">
        <v>1995</v>
      </c>
      <c r="BD1433" t="s">
        <v>133</v>
      </c>
    </row>
    <row r="1434" spans="1:56" x14ac:dyDescent="0.35">
      <c r="A1434">
        <v>119346</v>
      </c>
      <c r="B1434" t="s">
        <v>1165</v>
      </c>
      <c r="D1434" t="s">
        <v>57</v>
      </c>
      <c r="E1434" t="s">
        <v>128</v>
      </c>
      <c r="F1434" t="s">
        <v>58</v>
      </c>
      <c r="G1434" t="s">
        <v>59</v>
      </c>
      <c r="H1434" t="s">
        <v>60</v>
      </c>
      <c r="I1434" t="s">
        <v>129</v>
      </c>
      <c r="J1434" t="s">
        <v>86</v>
      </c>
      <c r="K1434" t="s">
        <v>61</v>
      </c>
      <c r="L1434" t="s">
        <v>74</v>
      </c>
      <c r="M1434" t="s">
        <v>63</v>
      </c>
      <c r="N1434" t="s">
        <v>64</v>
      </c>
      <c r="P1434" t="s">
        <v>65</v>
      </c>
      <c r="R1434">
        <v>40.4</v>
      </c>
      <c r="W1434" t="s">
        <v>66</v>
      </c>
      <c r="X1434" t="s">
        <v>67</v>
      </c>
      <c r="Y1434" t="s">
        <v>67</v>
      </c>
      <c r="Z1434" t="s">
        <v>68</v>
      </c>
      <c r="AB1434">
        <v>4</v>
      </c>
      <c r="AC1434" t="s">
        <v>61</v>
      </c>
      <c r="AJ1434" t="s">
        <v>69</v>
      </c>
      <c r="AY1434" t="s">
        <v>134</v>
      </c>
      <c r="AZ1434">
        <v>15031</v>
      </c>
      <c r="BA1434" t="s">
        <v>135</v>
      </c>
      <c r="BB1434" t="s">
        <v>136</v>
      </c>
      <c r="BC1434">
        <v>1995</v>
      </c>
      <c r="BD1434" t="s">
        <v>133</v>
      </c>
    </row>
    <row r="1435" spans="1:56" x14ac:dyDescent="0.35">
      <c r="A1435">
        <v>119346</v>
      </c>
      <c r="B1435" t="s">
        <v>1165</v>
      </c>
      <c r="D1435" t="s">
        <v>57</v>
      </c>
      <c r="E1435">
        <v>97</v>
      </c>
      <c r="F1435" t="s">
        <v>58</v>
      </c>
      <c r="G1435" t="s">
        <v>59</v>
      </c>
      <c r="H1435" t="s">
        <v>60</v>
      </c>
      <c r="J1435">
        <v>32</v>
      </c>
      <c r="K1435" t="s">
        <v>61</v>
      </c>
      <c r="L1435" t="s">
        <v>74</v>
      </c>
      <c r="M1435" t="s">
        <v>63</v>
      </c>
      <c r="N1435" t="s">
        <v>64</v>
      </c>
      <c r="P1435" t="s">
        <v>65</v>
      </c>
      <c r="R1435">
        <v>36.200000000000003</v>
      </c>
      <c r="T1435">
        <v>31.5</v>
      </c>
      <c r="V1435">
        <v>41.6</v>
      </c>
      <c r="W1435" t="s">
        <v>66</v>
      </c>
      <c r="X1435" t="s">
        <v>67</v>
      </c>
      <c r="Y1435" t="s">
        <v>67</v>
      </c>
      <c r="Z1435" t="s">
        <v>68</v>
      </c>
      <c r="AB1435">
        <v>4</v>
      </c>
      <c r="AC1435" t="s">
        <v>61</v>
      </c>
      <c r="AJ1435" t="s">
        <v>69</v>
      </c>
      <c r="AY1435" t="s">
        <v>141</v>
      </c>
      <c r="AZ1435">
        <v>12447</v>
      </c>
      <c r="BA1435" t="s">
        <v>142</v>
      </c>
      <c r="BB1435" t="s">
        <v>143</v>
      </c>
      <c r="BC1435">
        <v>1985</v>
      </c>
      <c r="BD1435" t="s">
        <v>73</v>
      </c>
    </row>
    <row r="1436" spans="1:56" x14ac:dyDescent="0.35">
      <c r="A1436">
        <v>119346</v>
      </c>
      <c r="B1436" t="s">
        <v>1165</v>
      </c>
      <c r="D1436" t="s">
        <v>57</v>
      </c>
      <c r="E1436" t="s">
        <v>810</v>
      </c>
      <c r="F1436" t="s">
        <v>58</v>
      </c>
      <c r="G1436" t="s">
        <v>59</v>
      </c>
      <c r="H1436" t="s">
        <v>60</v>
      </c>
      <c r="J1436" t="s">
        <v>86</v>
      </c>
      <c r="K1436" t="s">
        <v>61</v>
      </c>
      <c r="L1436" t="s">
        <v>74</v>
      </c>
      <c r="M1436" t="s">
        <v>63</v>
      </c>
      <c r="N1436" t="s">
        <v>64</v>
      </c>
      <c r="P1436" t="s">
        <v>65</v>
      </c>
      <c r="R1436">
        <v>34.299999999999997</v>
      </c>
      <c r="T1436">
        <v>29.9</v>
      </c>
      <c r="V1436">
        <v>39.4</v>
      </c>
      <c r="W1436" t="s">
        <v>66</v>
      </c>
      <c r="X1436" t="s">
        <v>67</v>
      </c>
      <c r="Y1436" t="s">
        <v>67</v>
      </c>
      <c r="Z1436" t="s">
        <v>68</v>
      </c>
      <c r="AB1436">
        <v>4</v>
      </c>
      <c r="AC1436" t="s">
        <v>61</v>
      </c>
      <c r="AJ1436" t="s">
        <v>69</v>
      </c>
      <c r="AY1436" t="s">
        <v>258</v>
      </c>
      <c r="AZ1436">
        <v>10954</v>
      </c>
      <c r="BA1436" t="s">
        <v>259</v>
      </c>
      <c r="BB1436" t="s">
        <v>260</v>
      </c>
      <c r="BC1436">
        <v>1984</v>
      </c>
      <c r="BD1436" t="s">
        <v>261</v>
      </c>
    </row>
    <row r="1437" spans="1:56" x14ac:dyDescent="0.35">
      <c r="A1437">
        <v>119346</v>
      </c>
      <c r="B1437" t="s">
        <v>1165</v>
      </c>
      <c r="D1437" t="s">
        <v>57</v>
      </c>
      <c r="E1437" t="s">
        <v>128</v>
      </c>
      <c r="F1437" t="s">
        <v>58</v>
      </c>
      <c r="G1437" t="s">
        <v>59</v>
      </c>
      <c r="H1437" t="s">
        <v>60</v>
      </c>
      <c r="I1437" t="s">
        <v>129</v>
      </c>
      <c r="J1437" t="s">
        <v>86</v>
      </c>
      <c r="K1437" t="s">
        <v>61</v>
      </c>
      <c r="L1437" t="s">
        <v>74</v>
      </c>
      <c r="M1437" t="s">
        <v>63</v>
      </c>
      <c r="N1437" t="s">
        <v>64</v>
      </c>
      <c r="P1437" t="s">
        <v>65</v>
      </c>
      <c r="R1437">
        <v>33.200000000000003</v>
      </c>
      <c r="W1437" t="s">
        <v>66</v>
      </c>
      <c r="X1437" t="s">
        <v>67</v>
      </c>
      <c r="Y1437" t="s">
        <v>67</v>
      </c>
      <c r="Z1437" t="s">
        <v>68</v>
      </c>
      <c r="AB1437">
        <v>4</v>
      </c>
      <c r="AC1437" t="s">
        <v>61</v>
      </c>
      <c r="AJ1437" t="s">
        <v>69</v>
      </c>
      <c r="AY1437" t="s">
        <v>134</v>
      </c>
      <c r="AZ1437">
        <v>15031</v>
      </c>
      <c r="BA1437" t="s">
        <v>135</v>
      </c>
      <c r="BB1437" t="s">
        <v>136</v>
      </c>
      <c r="BC1437">
        <v>1995</v>
      </c>
      <c r="BD1437" t="s">
        <v>133</v>
      </c>
    </row>
    <row r="1438" spans="1:56" x14ac:dyDescent="0.35">
      <c r="A1438">
        <v>119619</v>
      </c>
      <c r="B1438" t="s">
        <v>1166</v>
      </c>
      <c r="D1438" t="s">
        <v>57</v>
      </c>
      <c r="E1438">
        <v>99</v>
      </c>
      <c r="F1438" t="s">
        <v>58</v>
      </c>
      <c r="G1438" t="s">
        <v>59</v>
      </c>
      <c r="H1438" t="s">
        <v>60</v>
      </c>
      <c r="J1438">
        <v>30</v>
      </c>
      <c r="K1438" t="s">
        <v>61</v>
      </c>
      <c r="L1438" t="s">
        <v>74</v>
      </c>
      <c r="M1438" t="s">
        <v>63</v>
      </c>
      <c r="N1438" t="s">
        <v>64</v>
      </c>
      <c r="P1438" t="s">
        <v>65</v>
      </c>
      <c r="R1438">
        <v>14.2</v>
      </c>
      <c r="T1438">
        <v>13.2</v>
      </c>
      <c r="V1438">
        <v>15.3</v>
      </c>
      <c r="W1438" t="s">
        <v>66</v>
      </c>
      <c r="X1438" t="s">
        <v>67</v>
      </c>
      <c r="Y1438" t="s">
        <v>67</v>
      </c>
      <c r="Z1438" t="s">
        <v>68</v>
      </c>
      <c r="AB1438">
        <v>4</v>
      </c>
      <c r="AC1438" t="s">
        <v>61</v>
      </c>
      <c r="AJ1438" t="s">
        <v>69</v>
      </c>
      <c r="AY1438" t="s">
        <v>286</v>
      </c>
      <c r="AZ1438">
        <v>12448</v>
      </c>
      <c r="BA1438" t="s">
        <v>287</v>
      </c>
      <c r="BB1438" t="s">
        <v>288</v>
      </c>
      <c r="BC1438">
        <v>1984</v>
      </c>
      <c r="BD1438" t="s">
        <v>73</v>
      </c>
    </row>
    <row r="1439" spans="1:56" x14ac:dyDescent="0.35">
      <c r="A1439">
        <v>119619</v>
      </c>
      <c r="B1439" t="s">
        <v>1166</v>
      </c>
      <c r="D1439" t="s">
        <v>57</v>
      </c>
      <c r="E1439" t="s">
        <v>79</v>
      </c>
      <c r="F1439" t="s">
        <v>58</v>
      </c>
      <c r="G1439" t="s">
        <v>59</v>
      </c>
      <c r="H1439" t="s">
        <v>60</v>
      </c>
      <c r="I1439" t="s">
        <v>188</v>
      </c>
      <c r="J1439" t="s">
        <v>289</v>
      </c>
      <c r="K1439" t="s">
        <v>184</v>
      </c>
      <c r="L1439" t="s">
        <v>74</v>
      </c>
      <c r="M1439" t="s">
        <v>63</v>
      </c>
      <c r="N1439" t="s">
        <v>64</v>
      </c>
      <c r="P1439" t="s">
        <v>65</v>
      </c>
      <c r="R1439">
        <v>10.89</v>
      </c>
      <c r="T1439">
        <v>9.64</v>
      </c>
      <c r="V1439">
        <v>12.31</v>
      </c>
      <c r="W1439" t="s">
        <v>66</v>
      </c>
      <c r="X1439" t="s">
        <v>67</v>
      </c>
      <c r="Y1439" t="s">
        <v>290</v>
      </c>
      <c r="Z1439" t="s">
        <v>68</v>
      </c>
      <c r="AB1439">
        <v>4</v>
      </c>
      <c r="AC1439" t="s">
        <v>61</v>
      </c>
      <c r="AJ1439" t="s">
        <v>69</v>
      </c>
      <c r="AY1439" t="s">
        <v>291</v>
      </c>
      <c r="AZ1439">
        <v>3910</v>
      </c>
      <c r="BA1439" t="s">
        <v>292</v>
      </c>
      <c r="BB1439" t="s">
        <v>293</v>
      </c>
      <c r="BC1439">
        <v>1992</v>
      </c>
      <c r="BD1439" t="s">
        <v>185</v>
      </c>
    </row>
    <row r="1440" spans="1:56" x14ac:dyDescent="0.35">
      <c r="A1440">
        <v>119619</v>
      </c>
      <c r="B1440" t="s">
        <v>1166</v>
      </c>
      <c r="D1440" t="s">
        <v>57</v>
      </c>
      <c r="E1440" t="s">
        <v>79</v>
      </c>
      <c r="F1440" t="s">
        <v>58</v>
      </c>
      <c r="G1440" t="s">
        <v>59</v>
      </c>
      <c r="H1440" t="s">
        <v>60</v>
      </c>
      <c r="I1440" t="s">
        <v>129</v>
      </c>
      <c r="J1440" t="s">
        <v>86</v>
      </c>
      <c r="K1440" t="s">
        <v>61</v>
      </c>
      <c r="L1440" t="s">
        <v>74</v>
      </c>
      <c r="M1440" t="s">
        <v>63</v>
      </c>
      <c r="N1440" t="s">
        <v>64</v>
      </c>
      <c r="P1440" t="s">
        <v>65</v>
      </c>
      <c r="R1440">
        <v>14.2</v>
      </c>
      <c r="T1440">
        <v>13.2</v>
      </c>
      <c r="V1440">
        <v>15.3</v>
      </c>
      <c r="W1440" t="s">
        <v>66</v>
      </c>
      <c r="X1440" t="s">
        <v>67</v>
      </c>
      <c r="Y1440" t="s">
        <v>290</v>
      </c>
      <c r="Z1440" t="s">
        <v>68</v>
      </c>
      <c r="AB1440">
        <v>4</v>
      </c>
      <c r="AC1440" t="s">
        <v>61</v>
      </c>
      <c r="AJ1440" t="s">
        <v>69</v>
      </c>
      <c r="AY1440" t="s">
        <v>291</v>
      </c>
      <c r="AZ1440">
        <v>3910</v>
      </c>
      <c r="BA1440" t="s">
        <v>292</v>
      </c>
      <c r="BB1440" t="s">
        <v>293</v>
      </c>
      <c r="BC1440">
        <v>1992</v>
      </c>
      <c r="BD1440" t="s">
        <v>294</v>
      </c>
    </row>
    <row r="1441" spans="1:56" x14ac:dyDescent="0.35">
      <c r="A1441">
        <v>119619</v>
      </c>
      <c r="B1441" t="s">
        <v>1166</v>
      </c>
      <c r="D1441" t="s">
        <v>57</v>
      </c>
      <c r="E1441">
        <v>99</v>
      </c>
      <c r="F1441" t="s">
        <v>58</v>
      </c>
      <c r="G1441" t="s">
        <v>59</v>
      </c>
      <c r="H1441" t="s">
        <v>60</v>
      </c>
      <c r="J1441">
        <v>31</v>
      </c>
      <c r="K1441" t="s">
        <v>61</v>
      </c>
      <c r="L1441" t="s">
        <v>74</v>
      </c>
      <c r="M1441" t="s">
        <v>63</v>
      </c>
      <c r="N1441" t="s">
        <v>64</v>
      </c>
      <c r="P1441" t="s">
        <v>65</v>
      </c>
      <c r="R1441">
        <v>15.3</v>
      </c>
      <c r="T1441">
        <v>14.4</v>
      </c>
      <c r="V1441">
        <v>16.298999999999999</v>
      </c>
      <c r="W1441" t="s">
        <v>66</v>
      </c>
      <c r="X1441" t="s">
        <v>67</v>
      </c>
      <c r="Y1441" t="s">
        <v>67</v>
      </c>
      <c r="Z1441" t="s">
        <v>68</v>
      </c>
      <c r="AB1441">
        <v>4</v>
      </c>
      <c r="AC1441" t="s">
        <v>61</v>
      </c>
      <c r="AJ1441" t="s">
        <v>69</v>
      </c>
      <c r="AY1441" t="s">
        <v>286</v>
      </c>
      <c r="AZ1441">
        <v>12448</v>
      </c>
      <c r="BA1441" t="s">
        <v>287</v>
      </c>
      <c r="BB1441" t="s">
        <v>288</v>
      </c>
      <c r="BC1441">
        <v>1984</v>
      </c>
      <c r="BD1441" t="s">
        <v>73</v>
      </c>
    </row>
    <row r="1442" spans="1:56" x14ac:dyDescent="0.35">
      <c r="A1442">
        <v>120070</v>
      </c>
      <c r="B1442" t="s">
        <v>1167</v>
      </c>
      <c r="D1442" t="s">
        <v>57</v>
      </c>
      <c r="E1442">
        <v>99</v>
      </c>
      <c r="F1442" t="s">
        <v>58</v>
      </c>
      <c r="G1442" t="s">
        <v>59</v>
      </c>
      <c r="H1442" t="s">
        <v>60</v>
      </c>
      <c r="J1442" t="s">
        <v>86</v>
      </c>
      <c r="K1442" t="s">
        <v>61</v>
      </c>
      <c r="L1442" t="s">
        <v>74</v>
      </c>
      <c r="M1442" t="s">
        <v>63</v>
      </c>
      <c r="N1442" t="s">
        <v>64</v>
      </c>
      <c r="P1442" t="s">
        <v>65</v>
      </c>
      <c r="R1442">
        <v>735</v>
      </c>
      <c r="W1442" t="s">
        <v>66</v>
      </c>
      <c r="X1442" t="s">
        <v>67</v>
      </c>
      <c r="Y1442" t="s">
        <v>67</v>
      </c>
      <c r="Z1442" t="s">
        <v>68</v>
      </c>
      <c r="AB1442">
        <v>4</v>
      </c>
      <c r="AC1442" t="s">
        <v>61</v>
      </c>
      <c r="AJ1442" t="s">
        <v>69</v>
      </c>
      <c r="AY1442" t="s">
        <v>263</v>
      </c>
      <c r="AZ1442">
        <v>12858</v>
      </c>
      <c r="BA1442" t="s">
        <v>264</v>
      </c>
      <c r="BB1442" t="s">
        <v>265</v>
      </c>
      <c r="BC1442">
        <v>1986</v>
      </c>
      <c r="BD1442" t="s">
        <v>1168</v>
      </c>
    </row>
    <row r="1443" spans="1:56" x14ac:dyDescent="0.35">
      <c r="A1443">
        <v>120218</v>
      </c>
      <c r="B1443" t="s">
        <v>1169</v>
      </c>
      <c r="D1443" t="s">
        <v>57</v>
      </c>
      <c r="E1443">
        <v>95</v>
      </c>
      <c r="F1443" t="s">
        <v>58</v>
      </c>
      <c r="G1443" t="s">
        <v>59</v>
      </c>
      <c r="H1443" t="s">
        <v>60</v>
      </c>
      <c r="J1443" t="s">
        <v>86</v>
      </c>
      <c r="K1443" t="s">
        <v>61</v>
      </c>
      <c r="L1443" t="s">
        <v>74</v>
      </c>
      <c r="M1443" t="s">
        <v>63</v>
      </c>
      <c r="N1443" t="s">
        <v>64</v>
      </c>
      <c r="P1443" t="s">
        <v>65</v>
      </c>
      <c r="R1443">
        <v>23.9</v>
      </c>
      <c r="T1443">
        <v>22.9</v>
      </c>
      <c r="V1443">
        <v>25</v>
      </c>
      <c r="W1443" t="s">
        <v>66</v>
      </c>
      <c r="X1443" t="s">
        <v>67</v>
      </c>
      <c r="Y1443" t="s">
        <v>67</v>
      </c>
      <c r="Z1443" t="s">
        <v>68</v>
      </c>
      <c r="AB1443">
        <v>4</v>
      </c>
      <c r="AC1443" t="s">
        <v>61</v>
      </c>
      <c r="AJ1443" t="s">
        <v>69</v>
      </c>
      <c r="AY1443" t="s">
        <v>141</v>
      </c>
      <c r="AZ1443">
        <v>12447</v>
      </c>
      <c r="BA1443" t="s">
        <v>142</v>
      </c>
      <c r="BB1443" t="s">
        <v>143</v>
      </c>
      <c r="BC1443">
        <v>1985</v>
      </c>
      <c r="BD1443" t="s">
        <v>1035</v>
      </c>
    </row>
    <row r="1444" spans="1:56" x14ac:dyDescent="0.35">
      <c r="A1444">
        <v>120627</v>
      </c>
      <c r="B1444" t="s">
        <v>1170</v>
      </c>
      <c r="C1444" t="s">
        <v>91</v>
      </c>
      <c r="D1444" t="s">
        <v>85</v>
      </c>
      <c r="E1444" t="s">
        <v>1171</v>
      </c>
      <c r="F1444" t="s">
        <v>58</v>
      </c>
      <c r="G1444" t="s">
        <v>59</v>
      </c>
      <c r="H1444" t="s">
        <v>60</v>
      </c>
      <c r="J1444" t="s">
        <v>86</v>
      </c>
      <c r="M1444" t="s">
        <v>63</v>
      </c>
      <c r="N1444" t="s">
        <v>64</v>
      </c>
      <c r="P1444" t="s">
        <v>65</v>
      </c>
      <c r="R1444">
        <v>0.74</v>
      </c>
      <c r="W1444" t="s">
        <v>66</v>
      </c>
      <c r="X1444" t="s">
        <v>67</v>
      </c>
      <c r="Y1444" t="s">
        <v>67</v>
      </c>
      <c r="Z1444" t="s">
        <v>68</v>
      </c>
      <c r="AB1444">
        <v>4</v>
      </c>
      <c r="AC1444" t="s">
        <v>61</v>
      </c>
      <c r="AJ1444" t="s">
        <v>69</v>
      </c>
      <c r="AY1444" t="s">
        <v>618</v>
      </c>
      <c r="AZ1444">
        <v>2082</v>
      </c>
      <c r="BA1444" t="s">
        <v>619</v>
      </c>
      <c r="BB1444" t="s">
        <v>620</v>
      </c>
      <c r="BC1444">
        <v>1960</v>
      </c>
      <c r="BD1444" t="s">
        <v>90</v>
      </c>
    </row>
    <row r="1445" spans="1:56" x14ac:dyDescent="0.35">
      <c r="A1445">
        <v>120809</v>
      </c>
      <c r="B1445" t="s">
        <v>1172</v>
      </c>
      <c r="D1445" t="s">
        <v>57</v>
      </c>
      <c r="E1445" t="s">
        <v>128</v>
      </c>
      <c r="F1445" t="s">
        <v>58</v>
      </c>
      <c r="G1445" t="s">
        <v>59</v>
      </c>
      <c r="H1445" t="s">
        <v>60</v>
      </c>
      <c r="I1445" t="s">
        <v>129</v>
      </c>
      <c r="J1445" t="s">
        <v>86</v>
      </c>
      <c r="K1445" t="s">
        <v>61</v>
      </c>
      <c r="L1445" t="s">
        <v>74</v>
      </c>
      <c r="M1445" t="s">
        <v>63</v>
      </c>
      <c r="N1445" t="s">
        <v>64</v>
      </c>
      <c r="P1445" t="s">
        <v>65</v>
      </c>
      <c r="R1445">
        <v>9.2200000000000006</v>
      </c>
      <c r="W1445" t="s">
        <v>66</v>
      </c>
      <c r="X1445" t="s">
        <v>67</v>
      </c>
      <c r="Y1445" t="s">
        <v>67</v>
      </c>
      <c r="Z1445" t="s">
        <v>68</v>
      </c>
      <c r="AB1445">
        <v>4</v>
      </c>
      <c r="AC1445" t="s">
        <v>61</v>
      </c>
      <c r="AJ1445" t="s">
        <v>69</v>
      </c>
      <c r="AY1445" t="s">
        <v>134</v>
      </c>
      <c r="AZ1445">
        <v>15031</v>
      </c>
      <c r="BA1445" t="s">
        <v>135</v>
      </c>
      <c r="BB1445" t="s">
        <v>136</v>
      </c>
      <c r="BC1445">
        <v>1995</v>
      </c>
      <c r="BD1445" t="s">
        <v>133</v>
      </c>
    </row>
    <row r="1446" spans="1:56" x14ac:dyDescent="0.35">
      <c r="A1446">
        <v>120809</v>
      </c>
      <c r="B1446" t="s">
        <v>1172</v>
      </c>
      <c r="D1446" t="s">
        <v>57</v>
      </c>
      <c r="E1446" t="s">
        <v>86</v>
      </c>
      <c r="F1446" t="s">
        <v>58</v>
      </c>
      <c r="G1446" t="s">
        <v>59</v>
      </c>
      <c r="H1446" t="s">
        <v>60</v>
      </c>
      <c r="J1446" t="s">
        <v>86</v>
      </c>
      <c r="L1446" t="s">
        <v>74</v>
      </c>
      <c r="M1446" t="s">
        <v>63</v>
      </c>
      <c r="N1446" t="s">
        <v>64</v>
      </c>
      <c r="P1446" t="s">
        <v>65</v>
      </c>
      <c r="R1446">
        <v>3.5</v>
      </c>
      <c r="W1446" t="s">
        <v>66</v>
      </c>
      <c r="X1446" t="s">
        <v>67</v>
      </c>
      <c r="Y1446" t="s">
        <v>67</v>
      </c>
      <c r="Z1446" t="s">
        <v>68</v>
      </c>
      <c r="AB1446">
        <v>4</v>
      </c>
      <c r="AC1446" t="s">
        <v>61</v>
      </c>
      <c r="AJ1446" t="s">
        <v>69</v>
      </c>
      <c r="AY1446" t="s">
        <v>811</v>
      </c>
      <c r="AZ1446">
        <v>569</v>
      </c>
      <c r="BA1446" t="s">
        <v>812</v>
      </c>
      <c r="BB1446" t="s">
        <v>813</v>
      </c>
      <c r="BC1446">
        <v>1980</v>
      </c>
      <c r="BD1446" t="s">
        <v>90</v>
      </c>
    </row>
    <row r="1447" spans="1:56" x14ac:dyDescent="0.35">
      <c r="A1447">
        <v>120809</v>
      </c>
      <c r="B1447" t="s">
        <v>1172</v>
      </c>
      <c r="D1447" t="s">
        <v>57</v>
      </c>
      <c r="E1447" t="s">
        <v>79</v>
      </c>
      <c r="F1447" t="s">
        <v>58</v>
      </c>
      <c r="G1447" t="s">
        <v>59</v>
      </c>
      <c r="H1447" t="s">
        <v>60</v>
      </c>
      <c r="J1447">
        <v>31</v>
      </c>
      <c r="K1447" t="s">
        <v>61</v>
      </c>
      <c r="L1447" t="s">
        <v>74</v>
      </c>
      <c r="M1447" t="s">
        <v>63</v>
      </c>
      <c r="N1447" t="s">
        <v>64</v>
      </c>
      <c r="P1447" t="s">
        <v>65</v>
      </c>
      <c r="R1447">
        <v>9.2200000000000006</v>
      </c>
      <c r="T1447">
        <v>8.6199999999999992</v>
      </c>
      <c r="V1447">
        <v>9.8699999999999992</v>
      </c>
      <c r="W1447" t="s">
        <v>66</v>
      </c>
      <c r="X1447" t="s">
        <v>67</v>
      </c>
      <c r="Y1447" t="s">
        <v>67</v>
      </c>
      <c r="Z1447" t="s">
        <v>68</v>
      </c>
      <c r="AB1447">
        <v>4</v>
      </c>
      <c r="AC1447" t="s">
        <v>61</v>
      </c>
      <c r="AJ1447" t="s">
        <v>69</v>
      </c>
      <c r="AY1447" t="s">
        <v>75</v>
      </c>
      <c r="AZ1447">
        <v>3217</v>
      </c>
      <c r="BA1447" t="s">
        <v>76</v>
      </c>
      <c r="BB1447" t="s">
        <v>77</v>
      </c>
      <c r="BC1447">
        <v>1990</v>
      </c>
      <c r="BD1447" t="s">
        <v>73</v>
      </c>
    </row>
    <row r="1448" spans="1:56" x14ac:dyDescent="0.35">
      <c r="A1448">
        <v>120809</v>
      </c>
      <c r="B1448" t="s">
        <v>1172</v>
      </c>
      <c r="D1448" t="s">
        <v>85</v>
      </c>
      <c r="E1448" t="s">
        <v>86</v>
      </c>
      <c r="F1448" t="s">
        <v>58</v>
      </c>
      <c r="G1448" t="s">
        <v>59</v>
      </c>
      <c r="H1448" t="s">
        <v>60</v>
      </c>
      <c r="J1448" t="s">
        <v>86</v>
      </c>
      <c r="L1448" t="s">
        <v>74</v>
      </c>
      <c r="M1448" t="s">
        <v>63</v>
      </c>
      <c r="N1448" t="s">
        <v>64</v>
      </c>
      <c r="P1448" t="s">
        <v>100</v>
      </c>
      <c r="R1448">
        <v>3.5</v>
      </c>
      <c r="W1448" t="s">
        <v>66</v>
      </c>
      <c r="X1448" t="s">
        <v>67</v>
      </c>
      <c r="Y1448" t="s">
        <v>67</v>
      </c>
      <c r="Z1448" t="s">
        <v>68</v>
      </c>
      <c r="AB1448">
        <v>4</v>
      </c>
      <c r="AC1448" t="s">
        <v>61</v>
      </c>
      <c r="AJ1448" t="s">
        <v>69</v>
      </c>
      <c r="AY1448" t="s">
        <v>745</v>
      </c>
      <c r="AZ1448">
        <v>59196</v>
      </c>
      <c r="BA1448" t="s">
        <v>746</v>
      </c>
      <c r="BB1448" t="s">
        <v>747</v>
      </c>
      <c r="BC1448">
        <v>1977</v>
      </c>
      <c r="BD1448" t="s">
        <v>90</v>
      </c>
    </row>
    <row r="1449" spans="1:56" x14ac:dyDescent="0.35">
      <c r="A1449">
        <v>120821</v>
      </c>
      <c r="B1449" t="s">
        <v>1173</v>
      </c>
      <c r="D1449" t="s">
        <v>57</v>
      </c>
      <c r="E1449" t="s">
        <v>86</v>
      </c>
      <c r="F1449" t="s">
        <v>58</v>
      </c>
      <c r="G1449" t="s">
        <v>59</v>
      </c>
      <c r="H1449" t="s">
        <v>60</v>
      </c>
      <c r="J1449" t="s">
        <v>86</v>
      </c>
      <c r="L1449" t="s">
        <v>74</v>
      </c>
      <c r="M1449" t="s">
        <v>63</v>
      </c>
      <c r="N1449" t="s">
        <v>64</v>
      </c>
      <c r="P1449" t="s">
        <v>65</v>
      </c>
      <c r="R1449">
        <v>3.01</v>
      </c>
      <c r="T1449">
        <v>2.65</v>
      </c>
      <c r="V1449">
        <v>3.4</v>
      </c>
      <c r="W1449" t="s">
        <v>66</v>
      </c>
      <c r="X1449" t="s">
        <v>67</v>
      </c>
      <c r="Y1449" t="s">
        <v>67</v>
      </c>
      <c r="Z1449" t="s">
        <v>68</v>
      </c>
      <c r="AB1449">
        <v>4</v>
      </c>
      <c r="AC1449" t="s">
        <v>61</v>
      </c>
      <c r="AJ1449" t="s">
        <v>69</v>
      </c>
      <c r="AY1449" t="s">
        <v>144</v>
      </c>
      <c r="AZ1449">
        <v>12665</v>
      </c>
      <c r="BA1449" t="s">
        <v>145</v>
      </c>
      <c r="BB1449" t="s">
        <v>146</v>
      </c>
      <c r="BC1449">
        <v>1987</v>
      </c>
      <c r="BD1449" t="s">
        <v>90</v>
      </c>
    </row>
    <row r="1450" spans="1:56" x14ac:dyDescent="0.35">
      <c r="A1450">
        <v>120821</v>
      </c>
      <c r="B1450" t="s">
        <v>1173</v>
      </c>
      <c r="E1450" t="s">
        <v>86</v>
      </c>
      <c r="F1450" t="s">
        <v>58</v>
      </c>
      <c r="G1450" t="s">
        <v>59</v>
      </c>
      <c r="H1450" t="s">
        <v>60</v>
      </c>
      <c r="I1450" t="s">
        <v>129</v>
      </c>
      <c r="J1450" t="s">
        <v>86</v>
      </c>
      <c r="K1450" t="s">
        <v>61</v>
      </c>
      <c r="L1450" t="s">
        <v>74</v>
      </c>
      <c r="M1450" t="s">
        <v>63</v>
      </c>
      <c r="N1450" t="s">
        <v>64</v>
      </c>
      <c r="P1450" t="s">
        <v>100</v>
      </c>
      <c r="R1450">
        <v>2.76</v>
      </c>
      <c r="T1450">
        <v>1.67</v>
      </c>
      <c r="V1450">
        <v>4.34</v>
      </c>
      <c r="W1450" t="s">
        <v>66</v>
      </c>
      <c r="X1450" t="s">
        <v>67</v>
      </c>
      <c r="Y1450" t="s">
        <v>67</v>
      </c>
      <c r="Z1450" t="s">
        <v>68</v>
      </c>
      <c r="AB1450">
        <v>4</v>
      </c>
      <c r="AC1450" t="s">
        <v>61</v>
      </c>
      <c r="AJ1450" t="s">
        <v>69</v>
      </c>
      <c r="AY1450" t="s">
        <v>422</v>
      </c>
      <c r="AZ1450">
        <v>14128</v>
      </c>
      <c r="BA1450" t="s">
        <v>423</v>
      </c>
      <c r="BB1450" t="s">
        <v>424</v>
      </c>
      <c r="BC1450">
        <v>1985</v>
      </c>
      <c r="BD1450" t="s">
        <v>833</v>
      </c>
    </row>
    <row r="1451" spans="1:56" x14ac:dyDescent="0.35">
      <c r="A1451">
        <v>120821</v>
      </c>
      <c r="B1451" t="s">
        <v>1173</v>
      </c>
      <c r="D1451" t="s">
        <v>57</v>
      </c>
      <c r="E1451">
        <v>99</v>
      </c>
      <c r="F1451" t="s">
        <v>58</v>
      </c>
      <c r="G1451" t="s">
        <v>59</v>
      </c>
      <c r="H1451" t="s">
        <v>60</v>
      </c>
      <c r="J1451" t="s">
        <v>86</v>
      </c>
      <c r="K1451" t="s">
        <v>61</v>
      </c>
      <c r="L1451" t="s">
        <v>74</v>
      </c>
      <c r="M1451" t="s">
        <v>63</v>
      </c>
      <c r="N1451" t="s">
        <v>64</v>
      </c>
      <c r="P1451" t="s">
        <v>65</v>
      </c>
      <c r="R1451">
        <v>2.99</v>
      </c>
      <c r="T1451">
        <v>2.56</v>
      </c>
      <c r="V1451">
        <v>3.5</v>
      </c>
      <c r="W1451" t="s">
        <v>66</v>
      </c>
      <c r="X1451" t="s">
        <v>67</v>
      </c>
      <c r="Y1451" t="s">
        <v>67</v>
      </c>
      <c r="Z1451" t="s">
        <v>68</v>
      </c>
      <c r="AB1451">
        <v>4</v>
      </c>
      <c r="AC1451" t="s">
        <v>61</v>
      </c>
      <c r="AJ1451" t="s">
        <v>69</v>
      </c>
      <c r="AY1451" t="s">
        <v>75</v>
      </c>
      <c r="AZ1451">
        <v>3217</v>
      </c>
      <c r="BA1451" t="s">
        <v>76</v>
      </c>
      <c r="BB1451" t="s">
        <v>77</v>
      </c>
      <c r="BC1451">
        <v>1990</v>
      </c>
      <c r="BD1451" t="s">
        <v>1174</v>
      </c>
    </row>
    <row r="1452" spans="1:56" x14ac:dyDescent="0.35">
      <c r="A1452">
        <v>120821</v>
      </c>
      <c r="B1452" t="s">
        <v>1173</v>
      </c>
      <c r="D1452" t="s">
        <v>85</v>
      </c>
      <c r="E1452">
        <v>97</v>
      </c>
      <c r="F1452" t="s">
        <v>58</v>
      </c>
      <c r="G1452" t="s">
        <v>59</v>
      </c>
      <c r="H1452" t="s">
        <v>60</v>
      </c>
      <c r="J1452">
        <v>30</v>
      </c>
      <c r="K1452" t="s">
        <v>61</v>
      </c>
      <c r="L1452" t="s">
        <v>74</v>
      </c>
      <c r="M1452" t="s">
        <v>63</v>
      </c>
      <c r="N1452" t="s">
        <v>64</v>
      </c>
      <c r="P1452" t="s">
        <v>65</v>
      </c>
      <c r="R1452">
        <v>2.76</v>
      </c>
      <c r="W1452" t="s">
        <v>66</v>
      </c>
      <c r="X1452" t="s">
        <v>67</v>
      </c>
      <c r="Y1452" t="s">
        <v>67</v>
      </c>
      <c r="Z1452" t="s">
        <v>68</v>
      </c>
      <c r="AB1452">
        <v>4</v>
      </c>
      <c r="AC1452" t="s">
        <v>61</v>
      </c>
      <c r="AJ1452" t="s">
        <v>69</v>
      </c>
      <c r="AY1452" t="s">
        <v>321</v>
      </c>
      <c r="AZ1452">
        <v>12123</v>
      </c>
      <c r="BA1452" t="s">
        <v>1175</v>
      </c>
      <c r="BB1452" t="s">
        <v>1176</v>
      </c>
      <c r="BC1452">
        <v>1987</v>
      </c>
      <c r="BD1452" t="s">
        <v>73</v>
      </c>
    </row>
    <row r="1453" spans="1:56" x14ac:dyDescent="0.35">
      <c r="A1453">
        <v>120832</v>
      </c>
      <c r="B1453" t="s">
        <v>1177</v>
      </c>
      <c r="D1453" t="s">
        <v>57</v>
      </c>
      <c r="E1453" t="s">
        <v>128</v>
      </c>
      <c r="F1453" t="s">
        <v>58</v>
      </c>
      <c r="G1453" t="s">
        <v>59</v>
      </c>
      <c r="H1453" t="s">
        <v>60</v>
      </c>
      <c r="I1453" t="s">
        <v>129</v>
      </c>
      <c r="J1453" t="s">
        <v>86</v>
      </c>
      <c r="K1453" t="s">
        <v>61</v>
      </c>
      <c r="L1453" t="s">
        <v>74</v>
      </c>
      <c r="M1453" t="s">
        <v>63</v>
      </c>
      <c r="N1453" t="s">
        <v>64</v>
      </c>
      <c r="P1453" t="s">
        <v>65</v>
      </c>
      <c r="R1453">
        <v>7.75</v>
      </c>
      <c r="W1453" t="s">
        <v>66</v>
      </c>
      <c r="X1453" t="s">
        <v>67</v>
      </c>
      <c r="Y1453" t="s">
        <v>67</v>
      </c>
      <c r="Z1453" t="s">
        <v>68</v>
      </c>
      <c r="AB1453">
        <v>4</v>
      </c>
      <c r="AC1453" t="s">
        <v>61</v>
      </c>
      <c r="AJ1453" t="s">
        <v>69</v>
      </c>
      <c r="AY1453" t="s">
        <v>134</v>
      </c>
      <c r="AZ1453">
        <v>15031</v>
      </c>
      <c r="BA1453" t="s">
        <v>135</v>
      </c>
      <c r="BB1453" t="s">
        <v>136</v>
      </c>
      <c r="BC1453">
        <v>1995</v>
      </c>
      <c r="BD1453" t="s">
        <v>133</v>
      </c>
    </row>
    <row r="1454" spans="1:56" x14ac:dyDescent="0.35">
      <c r="A1454">
        <v>120832</v>
      </c>
      <c r="B1454" t="s">
        <v>1177</v>
      </c>
      <c r="D1454" t="s">
        <v>57</v>
      </c>
      <c r="E1454" t="s">
        <v>86</v>
      </c>
      <c r="F1454" t="s">
        <v>58</v>
      </c>
      <c r="G1454" t="s">
        <v>59</v>
      </c>
      <c r="H1454" t="s">
        <v>60</v>
      </c>
      <c r="J1454" t="s">
        <v>86</v>
      </c>
      <c r="K1454" t="s">
        <v>61</v>
      </c>
      <c r="L1454" t="s">
        <v>74</v>
      </c>
      <c r="M1454" t="s">
        <v>63</v>
      </c>
      <c r="N1454" t="s">
        <v>64</v>
      </c>
      <c r="P1454" t="s">
        <v>65</v>
      </c>
      <c r="R1454">
        <v>8.3000000000000007</v>
      </c>
      <c r="T1454">
        <v>7.6</v>
      </c>
      <c r="V1454">
        <v>9</v>
      </c>
      <c r="W1454" t="s">
        <v>66</v>
      </c>
      <c r="X1454" t="s">
        <v>67</v>
      </c>
      <c r="Y1454" t="s">
        <v>67</v>
      </c>
      <c r="Z1454" t="s">
        <v>68</v>
      </c>
      <c r="AB1454">
        <v>4</v>
      </c>
      <c r="AC1454" t="s">
        <v>61</v>
      </c>
      <c r="AJ1454" t="s">
        <v>69</v>
      </c>
      <c r="AY1454" t="s">
        <v>124</v>
      </c>
      <c r="AZ1454">
        <v>2189</v>
      </c>
      <c r="BA1454" t="s">
        <v>125</v>
      </c>
      <c r="BB1454" t="s">
        <v>126</v>
      </c>
      <c r="BC1454">
        <v>1981</v>
      </c>
      <c r="BD1454" t="s">
        <v>127</v>
      </c>
    </row>
    <row r="1455" spans="1:56" x14ac:dyDescent="0.35">
      <c r="A1455">
        <v>120832</v>
      </c>
      <c r="B1455" t="s">
        <v>1177</v>
      </c>
      <c r="D1455" t="s">
        <v>57</v>
      </c>
      <c r="E1455" t="s">
        <v>86</v>
      </c>
      <c r="F1455" t="s">
        <v>58</v>
      </c>
      <c r="G1455" t="s">
        <v>59</v>
      </c>
      <c r="H1455" t="s">
        <v>60</v>
      </c>
      <c r="J1455" t="s">
        <v>86</v>
      </c>
      <c r="K1455" t="s">
        <v>61</v>
      </c>
      <c r="L1455" t="s">
        <v>74</v>
      </c>
      <c r="M1455" t="s">
        <v>63</v>
      </c>
      <c r="N1455" t="s">
        <v>64</v>
      </c>
      <c r="P1455" t="s">
        <v>65</v>
      </c>
      <c r="R1455">
        <v>8.1999999999999993</v>
      </c>
      <c r="T1455">
        <v>7.4</v>
      </c>
      <c r="V1455">
        <v>8.8000000000000007</v>
      </c>
      <c r="W1455" t="s">
        <v>66</v>
      </c>
      <c r="X1455" t="s">
        <v>67</v>
      </c>
      <c r="Y1455" t="s">
        <v>67</v>
      </c>
      <c r="Z1455" t="s">
        <v>68</v>
      </c>
      <c r="AB1455">
        <v>4</v>
      </c>
      <c r="AC1455" t="s">
        <v>61</v>
      </c>
      <c r="AJ1455" t="s">
        <v>69</v>
      </c>
      <c r="AY1455" t="s">
        <v>124</v>
      </c>
      <c r="AZ1455">
        <v>2189</v>
      </c>
      <c r="BA1455" t="s">
        <v>125</v>
      </c>
      <c r="BB1455" t="s">
        <v>126</v>
      </c>
      <c r="BC1455">
        <v>1981</v>
      </c>
      <c r="BD1455" t="s">
        <v>127</v>
      </c>
    </row>
    <row r="1456" spans="1:56" x14ac:dyDescent="0.35">
      <c r="A1456">
        <v>120832</v>
      </c>
      <c r="B1456" t="s">
        <v>1177</v>
      </c>
      <c r="D1456" t="s">
        <v>57</v>
      </c>
      <c r="E1456" t="s">
        <v>86</v>
      </c>
      <c r="F1456" t="s">
        <v>58</v>
      </c>
      <c r="G1456" t="s">
        <v>59</v>
      </c>
      <c r="H1456" t="s">
        <v>60</v>
      </c>
      <c r="J1456">
        <v>30</v>
      </c>
      <c r="K1456" t="s">
        <v>61</v>
      </c>
      <c r="L1456" t="s">
        <v>74</v>
      </c>
      <c r="M1456" t="s">
        <v>63</v>
      </c>
      <c r="N1456" t="s">
        <v>64</v>
      </c>
      <c r="P1456" t="s">
        <v>65</v>
      </c>
      <c r="R1456">
        <v>7.75</v>
      </c>
      <c r="T1456">
        <v>7.47</v>
      </c>
      <c r="V1456">
        <v>8.0500000000000007</v>
      </c>
      <c r="W1456" t="s">
        <v>66</v>
      </c>
      <c r="X1456" t="s">
        <v>67</v>
      </c>
      <c r="Y1456" t="s">
        <v>67</v>
      </c>
      <c r="Z1456" t="s">
        <v>68</v>
      </c>
      <c r="AB1456">
        <v>4</v>
      </c>
      <c r="AC1456" t="s">
        <v>61</v>
      </c>
      <c r="AJ1456" t="s">
        <v>69</v>
      </c>
      <c r="AY1456" t="s">
        <v>141</v>
      </c>
      <c r="AZ1456">
        <v>12447</v>
      </c>
      <c r="BA1456" t="s">
        <v>142</v>
      </c>
      <c r="BB1456" t="s">
        <v>143</v>
      </c>
      <c r="BC1456">
        <v>1985</v>
      </c>
      <c r="BD1456" t="s">
        <v>73</v>
      </c>
    </row>
    <row r="1457" spans="1:56" x14ac:dyDescent="0.35">
      <c r="A1457">
        <v>120832</v>
      </c>
      <c r="B1457" t="s">
        <v>1177</v>
      </c>
      <c r="D1457" t="s">
        <v>57</v>
      </c>
      <c r="E1457" t="s">
        <v>128</v>
      </c>
      <c r="F1457" t="s">
        <v>58</v>
      </c>
      <c r="G1457" t="s">
        <v>59</v>
      </c>
      <c r="H1457" t="s">
        <v>60</v>
      </c>
      <c r="I1457" t="s">
        <v>129</v>
      </c>
      <c r="J1457" t="s">
        <v>86</v>
      </c>
      <c r="K1457" t="s">
        <v>61</v>
      </c>
      <c r="L1457" t="s">
        <v>74</v>
      </c>
      <c r="M1457" t="s">
        <v>63</v>
      </c>
      <c r="N1457" t="s">
        <v>64</v>
      </c>
      <c r="P1457" t="s">
        <v>65</v>
      </c>
      <c r="R1457">
        <v>11.6</v>
      </c>
      <c r="W1457" t="s">
        <v>66</v>
      </c>
      <c r="X1457" t="s">
        <v>67</v>
      </c>
      <c r="Y1457" t="s">
        <v>67</v>
      </c>
      <c r="Z1457" t="s">
        <v>68</v>
      </c>
      <c r="AB1457">
        <v>4</v>
      </c>
      <c r="AC1457" t="s">
        <v>61</v>
      </c>
      <c r="AJ1457" t="s">
        <v>69</v>
      </c>
      <c r="AY1457" t="s">
        <v>134</v>
      </c>
      <c r="AZ1457">
        <v>15031</v>
      </c>
      <c r="BA1457" t="s">
        <v>135</v>
      </c>
      <c r="BB1457" t="s">
        <v>136</v>
      </c>
      <c r="BC1457">
        <v>1995</v>
      </c>
      <c r="BD1457" t="s">
        <v>133</v>
      </c>
    </row>
    <row r="1458" spans="1:56" x14ac:dyDescent="0.35">
      <c r="A1458">
        <v>120945</v>
      </c>
      <c r="B1458" t="s">
        <v>1178</v>
      </c>
      <c r="E1458">
        <v>99.5</v>
      </c>
      <c r="F1458" t="s">
        <v>58</v>
      </c>
      <c r="G1458" t="s">
        <v>59</v>
      </c>
      <c r="H1458" t="s">
        <v>60</v>
      </c>
      <c r="I1458" t="s">
        <v>129</v>
      </c>
      <c r="J1458" t="s">
        <v>86</v>
      </c>
      <c r="L1458" t="s">
        <v>62</v>
      </c>
      <c r="M1458" t="s">
        <v>63</v>
      </c>
      <c r="N1458" t="s">
        <v>64</v>
      </c>
      <c r="P1458" t="s">
        <v>65</v>
      </c>
      <c r="R1458">
        <v>1072</v>
      </c>
      <c r="T1458">
        <v>912</v>
      </c>
      <c r="V1458">
        <v>1259</v>
      </c>
      <c r="W1458" t="s">
        <v>66</v>
      </c>
      <c r="X1458" t="s">
        <v>67</v>
      </c>
      <c r="Y1458" t="s">
        <v>67</v>
      </c>
      <c r="Z1458" t="s">
        <v>68</v>
      </c>
      <c r="AB1458">
        <v>4</v>
      </c>
      <c r="AC1458" t="s">
        <v>61</v>
      </c>
      <c r="AJ1458" t="s">
        <v>69</v>
      </c>
      <c r="AY1458" t="s">
        <v>116</v>
      </c>
      <c r="AZ1458">
        <v>344</v>
      </c>
      <c r="BA1458" t="s">
        <v>117</v>
      </c>
      <c r="BB1458" t="s">
        <v>118</v>
      </c>
      <c r="BC1458">
        <v>1992</v>
      </c>
      <c r="BD1458" t="s">
        <v>90</v>
      </c>
    </row>
    <row r="1459" spans="1:56" x14ac:dyDescent="0.35">
      <c r="A1459">
        <v>121142</v>
      </c>
      <c r="B1459" t="s">
        <v>1179</v>
      </c>
      <c r="D1459" t="s">
        <v>57</v>
      </c>
      <c r="E1459">
        <v>97</v>
      </c>
      <c r="F1459" t="s">
        <v>58</v>
      </c>
      <c r="G1459" t="s">
        <v>59</v>
      </c>
      <c r="H1459" t="s">
        <v>60</v>
      </c>
      <c r="J1459">
        <v>28</v>
      </c>
      <c r="K1459" t="s">
        <v>61</v>
      </c>
      <c r="L1459" t="s">
        <v>74</v>
      </c>
      <c r="M1459" t="s">
        <v>63</v>
      </c>
      <c r="N1459" t="s">
        <v>64</v>
      </c>
      <c r="P1459" t="s">
        <v>65</v>
      </c>
      <c r="R1459">
        <v>24.3</v>
      </c>
      <c r="T1459">
        <v>23</v>
      </c>
      <c r="V1459">
        <v>25.6</v>
      </c>
      <c r="W1459" t="s">
        <v>66</v>
      </c>
      <c r="X1459" t="s">
        <v>67</v>
      </c>
      <c r="Y1459" t="s">
        <v>67</v>
      </c>
      <c r="Z1459" t="s">
        <v>68</v>
      </c>
      <c r="AB1459">
        <v>4</v>
      </c>
      <c r="AC1459" t="s">
        <v>61</v>
      </c>
      <c r="AJ1459" t="s">
        <v>69</v>
      </c>
      <c r="AY1459" t="s">
        <v>75</v>
      </c>
      <c r="AZ1459">
        <v>3217</v>
      </c>
      <c r="BA1459" t="s">
        <v>76</v>
      </c>
      <c r="BB1459" t="s">
        <v>77</v>
      </c>
      <c r="BC1459">
        <v>1990</v>
      </c>
      <c r="BD1459" t="s">
        <v>73</v>
      </c>
    </row>
    <row r="1460" spans="1:56" x14ac:dyDescent="0.35">
      <c r="A1460">
        <v>121142</v>
      </c>
      <c r="B1460" t="s">
        <v>1179</v>
      </c>
      <c r="D1460" t="s">
        <v>57</v>
      </c>
      <c r="E1460" t="s">
        <v>86</v>
      </c>
      <c r="F1460" t="s">
        <v>58</v>
      </c>
      <c r="G1460" t="s">
        <v>59</v>
      </c>
      <c r="H1460" t="s">
        <v>60</v>
      </c>
      <c r="I1460" t="s">
        <v>129</v>
      </c>
      <c r="J1460" t="s">
        <v>86</v>
      </c>
      <c r="L1460" t="s">
        <v>62</v>
      </c>
      <c r="M1460" t="s">
        <v>63</v>
      </c>
      <c r="N1460" t="s">
        <v>64</v>
      </c>
      <c r="P1460" t="s">
        <v>65</v>
      </c>
      <c r="R1460">
        <v>31</v>
      </c>
      <c r="T1460">
        <v>28.4</v>
      </c>
      <c r="V1460">
        <v>33.799999999999997</v>
      </c>
      <c r="W1460" t="s">
        <v>66</v>
      </c>
      <c r="X1460" t="s">
        <v>67</v>
      </c>
      <c r="Y1460" t="s">
        <v>67</v>
      </c>
      <c r="Z1460" t="s">
        <v>68</v>
      </c>
      <c r="AB1460">
        <v>4</v>
      </c>
      <c r="AC1460" t="s">
        <v>61</v>
      </c>
      <c r="AJ1460" t="s">
        <v>69</v>
      </c>
      <c r="AY1460" t="s">
        <v>1151</v>
      </c>
      <c r="AZ1460">
        <v>6021</v>
      </c>
      <c r="BA1460" t="s">
        <v>1152</v>
      </c>
      <c r="BB1460" t="s">
        <v>1153</v>
      </c>
      <c r="BC1460">
        <v>1976</v>
      </c>
      <c r="BD1460" t="s">
        <v>90</v>
      </c>
    </row>
    <row r="1461" spans="1:56" x14ac:dyDescent="0.35">
      <c r="A1461">
        <v>121142</v>
      </c>
      <c r="B1461" t="s">
        <v>1179</v>
      </c>
      <c r="D1461" t="s">
        <v>85</v>
      </c>
      <c r="E1461" t="s">
        <v>86</v>
      </c>
      <c r="F1461" t="s">
        <v>58</v>
      </c>
      <c r="G1461" t="s">
        <v>59</v>
      </c>
      <c r="H1461" t="s">
        <v>60</v>
      </c>
      <c r="I1461" t="s">
        <v>129</v>
      </c>
      <c r="J1461" t="s">
        <v>86</v>
      </c>
      <c r="L1461" t="s">
        <v>62</v>
      </c>
      <c r="M1461" t="s">
        <v>63</v>
      </c>
      <c r="N1461" t="s">
        <v>64</v>
      </c>
      <c r="P1461" t="s">
        <v>65</v>
      </c>
      <c r="R1461">
        <v>32.799999999999997</v>
      </c>
      <c r="T1461">
        <v>27.3</v>
      </c>
      <c r="V1461">
        <v>38</v>
      </c>
      <c r="W1461" t="s">
        <v>66</v>
      </c>
      <c r="X1461" t="s">
        <v>67</v>
      </c>
      <c r="Y1461" t="s">
        <v>67</v>
      </c>
      <c r="Z1461" t="s">
        <v>68</v>
      </c>
      <c r="AB1461">
        <v>4</v>
      </c>
      <c r="AC1461" t="s">
        <v>61</v>
      </c>
      <c r="AJ1461" t="s">
        <v>69</v>
      </c>
      <c r="AY1461" t="s">
        <v>718</v>
      </c>
      <c r="AZ1461">
        <v>10141</v>
      </c>
      <c r="BA1461" t="s">
        <v>719</v>
      </c>
      <c r="BB1461" t="s">
        <v>720</v>
      </c>
      <c r="BC1461">
        <v>1983</v>
      </c>
      <c r="BD1461" t="s">
        <v>721</v>
      </c>
    </row>
    <row r="1462" spans="1:56" x14ac:dyDescent="0.35">
      <c r="A1462">
        <v>121142</v>
      </c>
      <c r="B1462" t="s">
        <v>1179</v>
      </c>
      <c r="D1462" t="s">
        <v>85</v>
      </c>
      <c r="E1462" t="s">
        <v>86</v>
      </c>
      <c r="F1462" t="s">
        <v>58</v>
      </c>
      <c r="G1462" t="s">
        <v>59</v>
      </c>
      <c r="H1462" t="s">
        <v>60</v>
      </c>
      <c r="I1462" t="s">
        <v>129</v>
      </c>
      <c r="J1462" t="s">
        <v>86</v>
      </c>
      <c r="L1462" t="s">
        <v>62</v>
      </c>
      <c r="M1462" t="s">
        <v>63</v>
      </c>
      <c r="N1462" t="s">
        <v>64</v>
      </c>
      <c r="P1462" t="s">
        <v>100</v>
      </c>
      <c r="R1462">
        <v>32.5</v>
      </c>
      <c r="W1462" t="s">
        <v>66</v>
      </c>
      <c r="X1462" t="s">
        <v>67</v>
      </c>
      <c r="Y1462" t="s">
        <v>67</v>
      </c>
      <c r="Z1462" t="s">
        <v>68</v>
      </c>
      <c r="AB1462">
        <v>4</v>
      </c>
      <c r="AC1462" t="s">
        <v>61</v>
      </c>
      <c r="AJ1462" t="s">
        <v>69</v>
      </c>
      <c r="AY1462" t="s">
        <v>722</v>
      </c>
      <c r="AZ1462">
        <v>5087</v>
      </c>
      <c r="BA1462" t="s">
        <v>723</v>
      </c>
      <c r="BB1462" t="s">
        <v>724</v>
      </c>
      <c r="BC1462">
        <v>1979</v>
      </c>
      <c r="BD1462" t="s">
        <v>90</v>
      </c>
    </row>
    <row r="1463" spans="1:56" x14ac:dyDescent="0.35">
      <c r="A1463">
        <v>121142</v>
      </c>
      <c r="B1463" t="s">
        <v>1179</v>
      </c>
      <c r="D1463" t="s">
        <v>57</v>
      </c>
      <c r="E1463" t="s">
        <v>128</v>
      </c>
      <c r="F1463" t="s">
        <v>58</v>
      </c>
      <c r="G1463" t="s">
        <v>59</v>
      </c>
      <c r="H1463" t="s">
        <v>60</v>
      </c>
      <c r="I1463" t="s">
        <v>129</v>
      </c>
      <c r="J1463" t="s">
        <v>86</v>
      </c>
      <c r="K1463" t="s">
        <v>61</v>
      </c>
      <c r="L1463" t="s">
        <v>74</v>
      </c>
      <c r="M1463" t="s">
        <v>63</v>
      </c>
      <c r="N1463" t="s">
        <v>64</v>
      </c>
      <c r="P1463" t="s">
        <v>65</v>
      </c>
      <c r="R1463">
        <v>24.3</v>
      </c>
      <c r="W1463" t="s">
        <v>66</v>
      </c>
      <c r="X1463" t="s">
        <v>67</v>
      </c>
      <c r="Y1463" t="s">
        <v>67</v>
      </c>
      <c r="Z1463" t="s">
        <v>68</v>
      </c>
      <c r="AB1463">
        <v>4</v>
      </c>
      <c r="AC1463" t="s">
        <v>61</v>
      </c>
      <c r="AJ1463" t="s">
        <v>69</v>
      </c>
      <c r="AY1463" t="s">
        <v>134</v>
      </c>
      <c r="AZ1463">
        <v>15031</v>
      </c>
      <c r="BA1463" t="s">
        <v>135</v>
      </c>
      <c r="BB1463" t="s">
        <v>136</v>
      </c>
      <c r="BC1463">
        <v>1995</v>
      </c>
      <c r="BD1463" t="s">
        <v>133</v>
      </c>
    </row>
    <row r="1464" spans="1:56" x14ac:dyDescent="0.35">
      <c r="A1464">
        <v>121324</v>
      </c>
      <c r="B1464" t="s">
        <v>1180</v>
      </c>
      <c r="D1464" t="s">
        <v>57</v>
      </c>
      <c r="E1464">
        <v>97</v>
      </c>
      <c r="F1464" t="s">
        <v>58</v>
      </c>
      <c r="G1464" t="s">
        <v>59</v>
      </c>
      <c r="H1464" t="s">
        <v>60</v>
      </c>
      <c r="J1464">
        <v>28</v>
      </c>
      <c r="K1464" t="s">
        <v>61</v>
      </c>
      <c r="L1464" t="s">
        <v>74</v>
      </c>
      <c r="M1464" t="s">
        <v>63</v>
      </c>
      <c r="N1464" t="s">
        <v>64</v>
      </c>
      <c r="P1464" t="s">
        <v>65</v>
      </c>
      <c r="R1464">
        <v>87.6</v>
      </c>
      <c r="T1464">
        <v>81.400000000000006</v>
      </c>
      <c r="V1464">
        <v>94.3</v>
      </c>
      <c r="W1464" t="s">
        <v>66</v>
      </c>
      <c r="X1464" t="s">
        <v>67</v>
      </c>
      <c r="Y1464" t="s">
        <v>67</v>
      </c>
      <c r="Z1464" t="s">
        <v>68</v>
      </c>
      <c r="AB1464">
        <v>4</v>
      </c>
      <c r="AC1464" t="s">
        <v>61</v>
      </c>
      <c r="AJ1464" t="s">
        <v>69</v>
      </c>
      <c r="AY1464" t="s">
        <v>286</v>
      </c>
      <c r="AZ1464">
        <v>12448</v>
      </c>
      <c r="BA1464" t="s">
        <v>287</v>
      </c>
      <c r="BB1464" t="s">
        <v>288</v>
      </c>
      <c r="BC1464">
        <v>1984</v>
      </c>
      <c r="BD1464" t="s">
        <v>73</v>
      </c>
    </row>
    <row r="1465" spans="1:56" x14ac:dyDescent="0.35">
      <c r="A1465">
        <v>121335</v>
      </c>
      <c r="B1465" t="s">
        <v>1181</v>
      </c>
      <c r="D1465" t="s">
        <v>57</v>
      </c>
      <c r="E1465" t="s">
        <v>86</v>
      </c>
      <c r="F1465" t="s">
        <v>58</v>
      </c>
      <c r="G1465" t="s">
        <v>59</v>
      </c>
      <c r="H1465" t="s">
        <v>60</v>
      </c>
      <c r="J1465">
        <v>29</v>
      </c>
      <c r="K1465" t="s">
        <v>61</v>
      </c>
      <c r="L1465" t="s">
        <v>74</v>
      </c>
      <c r="M1465" t="s">
        <v>63</v>
      </c>
      <c r="N1465" t="s">
        <v>64</v>
      </c>
      <c r="P1465" t="s">
        <v>65</v>
      </c>
      <c r="R1465">
        <v>57</v>
      </c>
      <c r="T1465">
        <v>53</v>
      </c>
      <c r="V1465">
        <v>61.3</v>
      </c>
      <c r="W1465" t="s">
        <v>66</v>
      </c>
      <c r="X1465" t="s">
        <v>67</v>
      </c>
      <c r="Y1465" t="s">
        <v>67</v>
      </c>
      <c r="Z1465" t="s">
        <v>68</v>
      </c>
      <c r="AB1465">
        <v>4</v>
      </c>
      <c r="AC1465" t="s">
        <v>61</v>
      </c>
      <c r="AJ1465" t="s">
        <v>69</v>
      </c>
      <c r="AY1465" t="s">
        <v>286</v>
      </c>
      <c r="AZ1465">
        <v>12448</v>
      </c>
      <c r="BA1465" t="s">
        <v>287</v>
      </c>
      <c r="BB1465" t="s">
        <v>288</v>
      </c>
      <c r="BC1465">
        <v>1984</v>
      </c>
      <c r="BD1465" t="s">
        <v>73</v>
      </c>
    </row>
    <row r="1466" spans="1:56" x14ac:dyDescent="0.35">
      <c r="A1466">
        <v>121335</v>
      </c>
      <c r="B1466" t="s">
        <v>1181</v>
      </c>
      <c r="D1466" t="s">
        <v>57</v>
      </c>
      <c r="E1466" t="s">
        <v>86</v>
      </c>
      <c r="F1466" t="s">
        <v>58</v>
      </c>
      <c r="G1466" t="s">
        <v>59</v>
      </c>
      <c r="H1466" t="s">
        <v>60</v>
      </c>
      <c r="J1466">
        <v>31</v>
      </c>
      <c r="K1466" t="s">
        <v>61</v>
      </c>
      <c r="L1466" t="s">
        <v>74</v>
      </c>
      <c r="M1466" t="s">
        <v>63</v>
      </c>
      <c r="N1466" t="s">
        <v>64</v>
      </c>
      <c r="P1466" t="s">
        <v>65</v>
      </c>
      <c r="R1466">
        <v>123</v>
      </c>
      <c r="T1466">
        <v>104</v>
      </c>
      <c r="V1466">
        <v>146</v>
      </c>
      <c r="W1466" t="s">
        <v>66</v>
      </c>
      <c r="X1466" t="s">
        <v>67</v>
      </c>
      <c r="Y1466" t="s">
        <v>67</v>
      </c>
      <c r="Z1466" t="s">
        <v>68</v>
      </c>
      <c r="AB1466">
        <v>4</v>
      </c>
      <c r="AC1466" t="s">
        <v>61</v>
      </c>
      <c r="AJ1466" t="s">
        <v>69</v>
      </c>
      <c r="AY1466" t="s">
        <v>286</v>
      </c>
      <c r="AZ1466">
        <v>12448</v>
      </c>
      <c r="BA1466" t="s">
        <v>287</v>
      </c>
      <c r="BB1466" t="s">
        <v>288</v>
      </c>
      <c r="BC1466">
        <v>1984</v>
      </c>
      <c r="BD1466" t="s">
        <v>73</v>
      </c>
    </row>
    <row r="1467" spans="1:56" x14ac:dyDescent="0.35">
      <c r="A1467">
        <v>121335</v>
      </c>
      <c r="B1467" t="s">
        <v>1181</v>
      </c>
      <c r="D1467" t="s">
        <v>85</v>
      </c>
      <c r="E1467" t="s">
        <v>86</v>
      </c>
      <c r="F1467" t="s">
        <v>58</v>
      </c>
      <c r="G1467" t="s">
        <v>59</v>
      </c>
      <c r="H1467" t="s">
        <v>60</v>
      </c>
      <c r="I1467" t="s">
        <v>129</v>
      </c>
      <c r="J1467" t="s">
        <v>86</v>
      </c>
      <c r="K1467" t="s">
        <v>196</v>
      </c>
      <c r="L1467" t="s">
        <v>62</v>
      </c>
      <c r="M1467" t="s">
        <v>63</v>
      </c>
      <c r="N1467" t="s">
        <v>64</v>
      </c>
      <c r="P1467" t="s">
        <v>100</v>
      </c>
      <c r="R1467">
        <v>116</v>
      </c>
      <c r="W1467" t="s">
        <v>66</v>
      </c>
      <c r="X1467" t="s">
        <v>67</v>
      </c>
      <c r="Y1467" t="s">
        <v>67</v>
      </c>
      <c r="Z1467" t="s">
        <v>68</v>
      </c>
      <c r="AB1467">
        <v>4</v>
      </c>
      <c r="AC1467" t="s">
        <v>61</v>
      </c>
      <c r="AJ1467" t="s">
        <v>69</v>
      </c>
      <c r="AY1467" t="s">
        <v>338</v>
      </c>
      <c r="AZ1467">
        <v>719</v>
      </c>
      <c r="BA1467" t="s">
        <v>339</v>
      </c>
      <c r="BB1467" t="s">
        <v>340</v>
      </c>
      <c r="BC1467">
        <v>1976</v>
      </c>
      <c r="BD1467" t="s">
        <v>341</v>
      </c>
    </row>
    <row r="1468" spans="1:56" x14ac:dyDescent="0.35">
      <c r="A1468">
        <v>121335</v>
      </c>
      <c r="B1468" t="s">
        <v>1181</v>
      </c>
      <c r="D1468" t="s">
        <v>85</v>
      </c>
      <c r="E1468" t="s">
        <v>86</v>
      </c>
      <c r="F1468" t="s">
        <v>58</v>
      </c>
      <c r="G1468" t="s">
        <v>59</v>
      </c>
      <c r="H1468" t="s">
        <v>60</v>
      </c>
      <c r="I1468" t="s">
        <v>129</v>
      </c>
      <c r="J1468" t="s">
        <v>86</v>
      </c>
      <c r="K1468" t="s">
        <v>196</v>
      </c>
      <c r="L1468" t="s">
        <v>62</v>
      </c>
      <c r="M1468" t="s">
        <v>63</v>
      </c>
      <c r="N1468" t="s">
        <v>64</v>
      </c>
      <c r="P1468" t="s">
        <v>100</v>
      </c>
      <c r="R1468">
        <v>112</v>
      </c>
      <c r="W1468" t="s">
        <v>66</v>
      </c>
      <c r="X1468" t="s">
        <v>67</v>
      </c>
      <c r="Y1468" t="s">
        <v>67</v>
      </c>
      <c r="Z1468" t="s">
        <v>68</v>
      </c>
      <c r="AB1468">
        <v>4</v>
      </c>
      <c r="AC1468" t="s">
        <v>61</v>
      </c>
      <c r="AJ1468" t="s">
        <v>69</v>
      </c>
      <c r="AY1468" t="s">
        <v>338</v>
      </c>
      <c r="AZ1468">
        <v>719</v>
      </c>
      <c r="BA1468" t="s">
        <v>339</v>
      </c>
      <c r="BB1468" t="s">
        <v>340</v>
      </c>
      <c r="BC1468">
        <v>1976</v>
      </c>
      <c r="BD1468" t="s">
        <v>341</v>
      </c>
    </row>
    <row r="1469" spans="1:56" x14ac:dyDescent="0.35">
      <c r="A1469">
        <v>121335</v>
      </c>
      <c r="B1469" t="s">
        <v>1181</v>
      </c>
      <c r="D1469" t="s">
        <v>85</v>
      </c>
      <c r="E1469" t="s">
        <v>86</v>
      </c>
      <c r="F1469" t="s">
        <v>58</v>
      </c>
      <c r="G1469" t="s">
        <v>59</v>
      </c>
      <c r="H1469" t="s">
        <v>60</v>
      </c>
      <c r="I1469" t="s">
        <v>129</v>
      </c>
      <c r="J1469" t="s">
        <v>86</v>
      </c>
      <c r="K1469" t="s">
        <v>196</v>
      </c>
      <c r="L1469" t="s">
        <v>62</v>
      </c>
      <c r="M1469" t="s">
        <v>63</v>
      </c>
      <c r="N1469" t="s">
        <v>64</v>
      </c>
      <c r="P1469" t="s">
        <v>100</v>
      </c>
      <c r="R1469">
        <v>121</v>
      </c>
      <c r="W1469" t="s">
        <v>66</v>
      </c>
      <c r="X1469" t="s">
        <v>67</v>
      </c>
      <c r="Y1469" t="s">
        <v>67</v>
      </c>
      <c r="Z1469" t="s">
        <v>68</v>
      </c>
      <c r="AB1469">
        <v>4</v>
      </c>
      <c r="AC1469" t="s">
        <v>61</v>
      </c>
      <c r="AJ1469" t="s">
        <v>69</v>
      </c>
      <c r="AY1469" t="s">
        <v>338</v>
      </c>
      <c r="AZ1469">
        <v>719</v>
      </c>
      <c r="BA1469" t="s">
        <v>339</v>
      </c>
      <c r="BB1469" t="s">
        <v>340</v>
      </c>
      <c r="BC1469">
        <v>1976</v>
      </c>
      <c r="BD1469" t="s">
        <v>341</v>
      </c>
    </row>
    <row r="1470" spans="1:56" x14ac:dyDescent="0.35">
      <c r="A1470">
        <v>121335</v>
      </c>
      <c r="B1470" t="s">
        <v>1181</v>
      </c>
      <c r="D1470" t="s">
        <v>85</v>
      </c>
      <c r="E1470" t="s">
        <v>86</v>
      </c>
      <c r="F1470" t="s">
        <v>58</v>
      </c>
      <c r="G1470" t="s">
        <v>59</v>
      </c>
      <c r="H1470" t="s">
        <v>60</v>
      </c>
      <c r="I1470" t="s">
        <v>129</v>
      </c>
      <c r="J1470" t="s">
        <v>86</v>
      </c>
      <c r="K1470" t="s">
        <v>196</v>
      </c>
      <c r="L1470" t="s">
        <v>62</v>
      </c>
      <c r="M1470" t="s">
        <v>63</v>
      </c>
      <c r="N1470" t="s">
        <v>64</v>
      </c>
      <c r="P1470" t="s">
        <v>100</v>
      </c>
      <c r="R1470">
        <v>121</v>
      </c>
      <c r="W1470" t="s">
        <v>66</v>
      </c>
      <c r="X1470" t="s">
        <v>67</v>
      </c>
      <c r="Y1470" t="s">
        <v>67</v>
      </c>
      <c r="Z1470" t="s">
        <v>68</v>
      </c>
      <c r="AB1470">
        <v>4</v>
      </c>
      <c r="AC1470" t="s">
        <v>61</v>
      </c>
      <c r="AJ1470" t="s">
        <v>69</v>
      </c>
      <c r="AY1470" t="s">
        <v>338</v>
      </c>
      <c r="AZ1470">
        <v>719</v>
      </c>
      <c r="BA1470" t="s">
        <v>339</v>
      </c>
      <c r="BB1470" t="s">
        <v>340</v>
      </c>
      <c r="BC1470">
        <v>1976</v>
      </c>
      <c r="BD1470" t="s">
        <v>341</v>
      </c>
    </row>
    <row r="1471" spans="1:56" x14ac:dyDescent="0.35">
      <c r="A1471">
        <v>121335</v>
      </c>
      <c r="B1471" t="s">
        <v>1181</v>
      </c>
      <c r="D1471" t="s">
        <v>85</v>
      </c>
      <c r="E1471" t="s">
        <v>86</v>
      </c>
      <c r="F1471" t="s">
        <v>58</v>
      </c>
      <c r="G1471" t="s">
        <v>59</v>
      </c>
      <c r="H1471" t="s">
        <v>60</v>
      </c>
      <c r="I1471" t="s">
        <v>129</v>
      </c>
      <c r="J1471" t="s">
        <v>86</v>
      </c>
      <c r="K1471" t="s">
        <v>196</v>
      </c>
      <c r="L1471" t="s">
        <v>62</v>
      </c>
      <c r="M1471" t="s">
        <v>63</v>
      </c>
      <c r="N1471" t="s">
        <v>64</v>
      </c>
      <c r="P1471" t="s">
        <v>100</v>
      </c>
      <c r="R1471">
        <v>88</v>
      </c>
      <c r="W1471" t="s">
        <v>66</v>
      </c>
      <c r="X1471" t="s">
        <v>67</v>
      </c>
      <c r="Y1471" t="s">
        <v>67</v>
      </c>
      <c r="Z1471" t="s">
        <v>68</v>
      </c>
      <c r="AB1471">
        <v>4</v>
      </c>
      <c r="AC1471" t="s">
        <v>61</v>
      </c>
      <c r="AJ1471" t="s">
        <v>69</v>
      </c>
      <c r="AY1471" t="s">
        <v>338</v>
      </c>
      <c r="AZ1471">
        <v>719</v>
      </c>
      <c r="BA1471" t="s">
        <v>339</v>
      </c>
      <c r="BB1471" t="s">
        <v>340</v>
      </c>
      <c r="BC1471">
        <v>1976</v>
      </c>
      <c r="BD1471" t="s">
        <v>341</v>
      </c>
    </row>
    <row r="1472" spans="1:56" x14ac:dyDescent="0.35">
      <c r="A1472">
        <v>121540</v>
      </c>
      <c r="B1472" t="s">
        <v>1182</v>
      </c>
      <c r="D1472" t="s">
        <v>85</v>
      </c>
      <c r="E1472">
        <v>50</v>
      </c>
      <c r="F1472" t="s">
        <v>58</v>
      </c>
      <c r="G1472" t="s">
        <v>59</v>
      </c>
      <c r="H1472" t="s">
        <v>60</v>
      </c>
      <c r="J1472" t="s">
        <v>86</v>
      </c>
      <c r="L1472" t="s">
        <v>62</v>
      </c>
      <c r="M1472" t="s">
        <v>63</v>
      </c>
      <c r="N1472" t="s">
        <v>64</v>
      </c>
      <c r="P1472" t="s">
        <v>65</v>
      </c>
      <c r="R1472">
        <v>3.8</v>
      </c>
      <c r="W1472" t="s">
        <v>66</v>
      </c>
      <c r="X1472" t="s">
        <v>67</v>
      </c>
      <c r="Y1472" t="s">
        <v>67</v>
      </c>
      <c r="Z1472" t="s">
        <v>68</v>
      </c>
      <c r="AB1472">
        <v>4</v>
      </c>
      <c r="AC1472" t="s">
        <v>61</v>
      </c>
      <c r="AJ1472" t="s">
        <v>69</v>
      </c>
      <c r="AY1472" t="s">
        <v>648</v>
      </c>
      <c r="AZ1472">
        <v>892</v>
      </c>
      <c r="BA1472" t="s">
        <v>649</v>
      </c>
      <c r="BB1472" t="s">
        <v>650</v>
      </c>
      <c r="BC1472">
        <v>1962</v>
      </c>
      <c r="BD1472" t="s">
        <v>90</v>
      </c>
    </row>
    <row r="1473" spans="1:56" x14ac:dyDescent="0.35">
      <c r="A1473">
        <v>121540</v>
      </c>
      <c r="B1473" t="s">
        <v>1182</v>
      </c>
      <c r="D1473" t="s">
        <v>85</v>
      </c>
      <c r="E1473">
        <v>50</v>
      </c>
      <c r="F1473" t="s">
        <v>58</v>
      </c>
      <c r="G1473" t="s">
        <v>59</v>
      </c>
      <c r="H1473" t="s">
        <v>60</v>
      </c>
      <c r="J1473" t="s">
        <v>86</v>
      </c>
      <c r="L1473" t="s">
        <v>62</v>
      </c>
      <c r="M1473" t="s">
        <v>63</v>
      </c>
      <c r="N1473" t="s">
        <v>64</v>
      </c>
      <c r="P1473" t="s">
        <v>65</v>
      </c>
      <c r="R1473">
        <v>1.6</v>
      </c>
      <c r="W1473" t="s">
        <v>66</v>
      </c>
      <c r="X1473" t="s">
        <v>67</v>
      </c>
      <c r="Y1473" t="s">
        <v>67</v>
      </c>
      <c r="Z1473" t="s">
        <v>68</v>
      </c>
      <c r="AB1473">
        <v>4</v>
      </c>
      <c r="AC1473" t="s">
        <v>61</v>
      </c>
      <c r="AJ1473" t="s">
        <v>69</v>
      </c>
      <c r="AY1473" t="s">
        <v>648</v>
      </c>
      <c r="AZ1473">
        <v>892</v>
      </c>
      <c r="BA1473" t="s">
        <v>649</v>
      </c>
      <c r="BB1473" t="s">
        <v>650</v>
      </c>
      <c r="BC1473">
        <v>1962</v>
      </c>
      <c r="BD1473" t="s">
        <v>90</v>
      </c>
    </row>
    <row r="1474" spans="1:56" x14ac:dyDescent="0.35">
      <c r="A1474">
        <v>121573</v>
      </c>
      <c r="B1474" t="s">
        <v>1183</v>
      </c>
      <c r="D1474" t="s">
        <v>57</v>
      </c>
      <c r="E1474" t="s">
        <v>86</v>
      </c>
      <c r="F1474" t="s">
        <v>58</v>
      </c>
      <c r="G1474" t="s">
        <v>59</v>
      </c>
      <c r="H1474" t="s">
        <v>60</v>
      </c>
      <c r="J1474" t="s">
        <v>86</v>
      </c>
      <c r="L1474" t="s">
        <v>62</v>
      </c>
      <c r="M1474" t="s">
        <v>63</v>
      </c>
      <c r="N1474" t="s">
        <v>64</v>
      </c>
      <c r="P1474" t="s">
        <v>65</v>
      </c>
      <c r="R1474">
        <v>100.4</v>
      </c>
      <c r="T1474">
        <v>77.8</v>
      </c>
      <c r="V1474">
        <v>129.6</v>
      </c>
      <c r="W1474" t="s">
        <v>66</v>
      </c>
      <c r="X1474" t="s">
        <v>67</v>
      </c>
      <c r="Y1474" t="s">
        <v>67</v>
      </c>
      <c r="Z1474" t="s">
        <v>68</v>
      </c>
      <c r="AB1474">
        <v>4</v>
      </c>
      <c r="AC1474" t="s">
        <v>61</v>
      </c>
      <c r="AJ1474" t="s">
        <v>69</v>
      </c>
      <c r="AY1474" t="s">
        <v>304</v>
      </c>
      <c r="AZ1474">
        <v>2966</v>
      </c>
      <c r="BA1474" t="s">
        <v>305</v>
      </c>
      <c r="BB1474" t="s">
        <v>306</v>
      </c>
      <c r="BC1474">
        <v>1981</v>
      </c>
      <c r="BD1474" t="s">
        <v>90</v>
      </c>
    </row>
    <row r="1475" spans="1:56" x14ac:dyDescent="0.35">
      <c r="A1475">
        <v>121573</v>
      </c>
      <c r="B1475" t="s">
        <v>1183</v>
      </c>
      <c r="D1475" t="s">
        <v>57</v>
      </c>
      <c r="E1475" t="s">
        <v>86</v>
      </c>
      <c r="F1475" t="s">
        <v>58</v>
      </c>
      <c r="G1475" t="s">
        <v>59</v>
      </c>
      <c r="H1475" t="s">
        <v>60</v>
      </c>
      <c r="J1475" t="s">
        <v>86</v>
      </c>
      <c r="L1475" t="s">
        <v>62</v>
      </c>
      <c r="M1475" t="s">
        <v>63</v>
      </c>
      <c r="N1475" t="s">
        <v>64</v>
      </c>
      <c r="O1475" t="s">
        <v>267</v>
      </c>
      <c r="P1475" t="s">
        <v>65</v>
      </c>
      <c r="R1475">
        <v>100.4</v>
      </c>
      <c r="W1475" t="s">
        <v>66</v>
      </c>
      <c r="X1475" t="s">
        <v>67</v>
      </c>
      <c r="Y1475" t="s">
        <v>67</v>
      </c>
      <c r="Z1475" t="s">
        <v>68</v>
      </c>
      <c r="AB1475">
        <v>4</v>
      </c>
      <c r="AC1475" t="s">
        <v>61</v>
      </c>
      <c r="AJ1475" t="s">
        <v>69</v>
      </c>
      <c r="AY1475" t="s">
        <v>268</v>
      </c>
      <c r="AZ1475">
        <v>2965</v>
      </c>
      <c r="BA1475" t="s">
        <v>269</v>
      </c>
      <c r="BB1475" t="s">
        <v>270</v>
      </c>
      <c r="BC1475">
        <v>1981</v>
      </c>
      <c r="BD1475" t="s">
        <v>90</v>
      </c>
    </row>
    <row r="1476" spans="1:56" x14ac:dyDescent="0.35">
      <c r="A1476">
        <v>121697</v>
      </c>
      <c r="B1476" t="s">
        <v>1184</v>
      </c>
      <c r="D1476" t="s">
        <v>57</v>
      </c>
      <c r="E1476" t="s">
        <v>86</v>
      </c>
      <c r="F1476" t="s">
        <v>58</v>
      </c>
      <c r="G1476" t="s">
        <v>59</v>
      </c>
      <c r="H1476" t="s">
        <v>60</v>
      </c>
      <c r="J1476">
        <v>32</v>
      </c>
      <c r="K1476" t="s">
        <v>61</v>
      </c>
      <c r="L1476" t="s">
        <v>74</v>
      </c>
      <c r="M1476" t="s">
        <v>63</v>
      </c>
      <c r="N1476" t="s">
        <v>64</v>
      </c>
      <c r="P1476" t="s">
        <v>65</v>
      </c>
      <c r="R1476">
        <v>78.2</v>
      </c>
      <c r="T1476">
        <v>74.2</v>
      </c>
      <c r="V1476">
        <v>82.4</v>
      </c>
      <c r="W1476" t="s">
        <v>66</v>
      </c>
      <c r="X1476" t="s">
        <v>67</v>
      </c>
      <c r="Y1476" t="s">
        <v>67</v>
      </c>
      <c r="Z1476" t="s">
        <v>68</v>
      </c>
      <c r="AB1476">
        <v>4</v>
      </c>
      <c r="AC1476" t="s">
        <v>61</v>
      </c>
      <c r="AJ1476" t="s">
        <v>69</v>
      </c>
      <c r="AY1476" t="s">
        <v>286</v>
      </c>
      <c r="AZ1476">
        <v>12448</v>
      </c>
      <c r="BA1476" t="s">
        <v>287</v>
      </c>
      <c r="BB1476" t="s">
        <v>288</v>
      </c>
      <c r="BC1476">
        <v>1984</v>
      </c>
      <c r="BD1476" t="s">
        <v>73</v>
      </c>
    </row>
    <row r="1477" spans="1:56" x14ac:dyDescent="0.35">
      <c r="A1477">
        <v>121697</v>
      </c>
      <c r="B1477" t="s">
        <v>1184</v>
      </c>
      <c r="E1477" t="s">
        <v>86</v>
      </c>
      <c r="F1477" t="s">
        <v>58</v>
      </c>
      <c r="G1477" t="s">
        <v>59</v>
      </c>
      <c r="H1477" t="s">
        <v>60</v>
      </c>
      <c r="I1477" t="s">
        <v>129</v>
      </c>
      <c r="J1477" t="s">
        <v>86</v>
      </c>
      <c r="K1477" t="s">
        <v>61</v>
      </c>
      <c r="L1477" t="s">
        <v>74</v>
      </c>
      <c r="M1477" t="s">
        <v>63</v>
      </c>
      <c r="N1477" t="s">
        <v>64</v>
      </c>
      <c r="P1477" t="s">
        <v>100</v>
      </c>
      <c r="R1477">
        <v>65.599999999999994</v>
      </c>
      <c r="T1477">
        <v>61.7</v>
      </c>
      <c r="V1477">
        <v>69.8</v>
      </c>
      <c r="W1477" t="s">
        <v>66</v>
      </c>
      <c r="X1477" t="s">
        <v>67</v>
      </c>
      <c r="Y1477" t="s">
        <v>67</v>
      </c>
      <c r="Z1477" t="s">
        <v>68</v>
      </c>
      <c r="AB1477">
        <v>4</v>
      </c>
      <c r="AC1477" t="s">
        <v>61</v>
      </c>
      <c r="AJ1477" t="s">
        <v>69</v>
      </c>
      <c r="AY1477" t="s">
        <v>422</v>
      </c>
      <c r="AZ1477">
        <v>14128</v>
      </c>
      <c r="BA1477" t="s">
        <v>423</v>
      </c>
      <c r="BB1477" t="s">
        <v>424</v>
      </c>
      <c r="BC1477">
        <v>1985</v>
      </c>
      <c r="BD1477" t="s">
        <v>833</v>
      </c>
    </row>
    <row r="1478" spans="1:56" x14ac:dyDescent="0.35">
      <c r="A1478">
        <v>121697</v>
      </c>
      <c r="B1478" t="s">
        <v>1184</v>
      </c>
      <c r="D1478" t="s">
        <v>57</v>
      </c>
      <c r="E1478" t="s">
        <v>86</v>
      </c>
      <c r="F1478" t="s">
        <v>58</v>
      </c>
      <c r="G1478" t="s">
        <v>59</v>
      </c>
      <c r="H1478" t="s">
        <v>60</v>
      </c>
      <c r="J1478">
        <v>35</v>
      </c>
      <c r="K1478" t="s">
        <v>61</v>
      </c>
      <c r="L1478" t="s">
        <v>74</v>
      </c>
      <c r="M1478" t="s">
        <v>63</v>
      </c>
      <c r="N1478" t="s">
        <v>64</v>
      </c>
      <c r="P1478" t="s">
        <v>65</v>
      </c>
      <c r="R1478">
        <v>52.6</v>
      </c>
      <c r="W1478" t="s">
        <v>66</v>
      </c>
      <c r="X1478" t="s">
        <v>67</v>
      </c>
      <c r="Y1478" t="s">
        <v>67</v>
      </c>
      <c r="Z1478" t="s">
        <v>68</v>
      </c>
      <c r="AB1478">
        <v>4</v>
      </c>
      <c r="AC1478" t="s">
        <v>61</v>
      </c>
      <c r="AJ1478" t="s">
        <v>69</v>
      </c>
      <c r="AY1478" t="s">
        <v>286</v>
      </c>
      <c r="AZ1478">
        <v>12448</v>
      </c>
      <c r="BA1478" t="s">
        <v>287</v>
      </c>
      <c r="BB1478" t="s">
        <v>288</v>
      </c>
      <c r="BC1478">
        <v>1984</v>
      </c>
      <c r="BD1478" t="s">
        <v>73</v>
      </c>
    </row>
    <row r="1479" spans="1:56" x14ac:dyDescent="0.35">
      <c r="A1479">
        <v>121733</v>
      </c>
      <c r="B1479" t="s">
        <v>1185</v>
      </c>
      <c r="D1479" t="s">
        <v>57</v>
      </c>
      <c r="E1479">
        <v>98</v>
      </c>
      <c r="F1479" t="s">
        <v>58</v>
      </c>
      <c r="G1479" t="s">
        <v>59</v>
      </c>
      <c r="H1479" t="s">
        <v>60</v>
      </c>
      <c r="J1479" t="s">
        <v>86</v>
      </c>
      <c r="K1479" t="s">
        <v>61</v>
      </c>
      <c r="L1479" t="s">
        <v>74</v>
      </c>
      <c r="M1479" t="s">
        <v>63</v>
      </c>
      <c r="N1479" t="s">
        <v>64</v>
      </c>
      <c r="P1479" t="s">
        <v>65</v>
      </c>
      <c r="R1479">
        <v>18</v>
      </c>
      <c r="T1479">
        <v>17.7</v>
      </c>
      <c r="V1479">
        <v>18.3</v>
      </c>
      <c r="W1479" t="s">
        <v>66</v>
      </c>
      <c r="X1479" t="s">
        <v>67</v>
      </c>
      <c r="Y1479" t="s">
        <v>67</v>
      </c>
      <c r="Z1479" t="s">
        <v>68</v>
      </c>
      <c r="AB1479">
        <v>4</v>
      </c>
      <c r="AC1479" t="s">
        <v>61</v>
      </c>
      <c r="AJ1479" t="s">
        <v>69</v>
      </c>
      <c r="AY1479" t="s">
        <v>258</v>
      </c>
      <c r="AZ1479">
        <v>10954</v>
      </c>
      <c r="BA1479" t="s">
        <v>259</v>
      </c>
      <c r="BB1479" t="s">
        <v>260</v>
      </c>
      <c r="BC1479">
        <v>1984</v>
      </c>
      <c r="BD1479" t="s">
        <v>261</v>
      </c>
    </row>
    <row r="1480" spans="1:56" x14ac:dyDescent="0.35">
      <c r="A1480">
        <v>121733</v>
      </c>
      <c r="B1480" t="s">
        <v>1185</v>
      </c>
      <c r="D1480" t="s">
        <v>57</v>
      </c>
      <c r="E1480">
        <v>98</v>
      </c>
      <c r="F1480" t="s">
        <v>58</v>
      </c>
      <c r="G1480" t="s">
        <v>59</v>
      </c>
      <c r="H1480" t="s">
        <v>60</v>
      </c>
      <c r="J1480">
        <v>33</v>
      </c>
      <c r="K1480" t="s">
        <v>61</v>
      </c>
      <c r="L1480" t="s">
        <v>74</v>
      </c>
      <c r="M1480" t="s">
        <v>63</v>
      </c>
      <c r="N1480" t="s">
        <v>64</v>
      </c>
      <c r="P1480" t="s">
        <v>65</v>
      </c>
      <c r="R1480">
        <v>18.8</v>
      </c>
      <c r="W1480" t="s">
        <v>66</v>
      </c>
      <c r="X1480" t="s">
        <v>67</v>
      </c>
      <c r="Y1480" t="s">
        <v>67</v>
      </c>
      <c r="Z1480" t="s">
        <v>68</v>
      </c>
      <c r="AB1480">
        <v>4</v>
      </c>
      <c r="AC1480" t="s">
        <v>61</v>
      </c>
      <c r="AJ1480" t="s">
        <v>69</v>
      </c>
      <c r="AY1480" t="s">
        <v>263</v>
      </c>
      <c r="AZ1480">
        <v>12858</v>
      </c>
      <c r="BA1480" t="s">
        <v>264</v>
      </c>
      <c r="BB1480" t="s">
        <v>265</v>
      </c>
      <c r="BC1480">
        <v>1986</v>
      </c>
      <c r="BD1480" t="s">
        <v>73</v>
      </c>
    </row>
    <row r="1481" spans="1:56" x14ac:dyDescent="0.35">
      <c r="A1481">
        <v>121755</v>
      </c>
      <c r="B1481" t="s">
        <v>1186</v>
      </c>
      <c r="C1481" t="s">
        <v>91</v>
      </c>
      <c r="D1481" t="s">
        <v>85</v>
      </c>
      <c r="E1481">
        <v>57</v>
      </c>
      <c r="F1481" t="s">
        <v>58</v>
      </c>
      <c r="G1481" t="s">
        <v>59</v>
      </c>
      <c r="H1481" t="s">
        <v>60</v>
      </c>
      <c r="J1481" t="s">
        <v>86</v>
      </c>
      <c r="L1481" t="s">
        <v>62</v>
      </c>
      <c r="M1481" t="s">
        <v>63</v>
      </c>
      <c r="N1481" t="s">
        <v>64</v>
      </c>
      <c r="P1481" t="s">
        <v>65</v>
      </c>
      <c r="R1481">
        <v>12.5</v>
      </c>
      <c r="W1481" t="s">
        <v>66</v>
      </c>
      <c r="X1481" t="s">
        <v>67</v>
      </c>
      <c r="Y1481" t="s">
        <v>67</v>
      </c>
      <c r="Z1481" t="s">
        <v>68</v>
      </c>
      <c r="AB1481">
        <v>4</v>
      </c>
      <c r="AC1481" t="s">
        <v>61</v>
      </c>
      <c r="AJ1481" t="s">
        <v>69</v>
      </c>
      <c r="AY1481" t="s">
        <v>150</v>
      </c>
      <c r="AZ1481">
        <v>2155</v>
      </c>
      <c r="BA1481" t="s">
        <v>151</v>
      </c>
      <c r="BB1481" t="s">
        <v>152</v>
      </c>
      <c r="BC1481">
        <v>1958</v>
      </c>
      <c r="BD1481" t="s">
        <v>90</v>
      </c>
    </row>
    <row r="1482" spans="1:56" x14ac:dyDescent="0.35">
      <c r="A1482">
        <v>121755</v>
      </c>
      <c r="B1482" t="s">
        <v>1186</v>
      </c>
      <c r="D1482" t="s">
        <v>85</v>
      </c>
      <c r="E1482">
        <v>95</v>
      </c>
      <c r="F1482" t="s">
        <v>58</v>
      </c>
      <c r="G1482" t="s">
        <v>59</v>
      </c>
      <c r="H1482" t="s">
        <v>60</v>
      </c>
      <c r="J1482" t="s">
        <v>86</v>
      </c>
      <c r="M1482" t="s">
        <v>63</v>
      </c>
      <c r="N1482" t="s">
        <v>64</v>
      </c>
      <c r="P1482" t="s">
        <v>65</v>
      </c>
      <c r="R1482">
        <v>10.1</v>
      </c>
      <c r="W1482" t="s">
        <v>66</v>
      </c>
      <c r="X1482" t="s">
        <v>67</v>
      </c>
      <c r="Y1482" t="s">
        <v>67</v>
      </c>
      <c r="Z1482" t="s">
        <v>68</v>
      </c>
      <c r="AB1482">
        <v>4</v>
      </c>
      <c r="AC1482" t="s">
        <v>61</v>
      </c>
      <c r="AJ1482" t="s">
        <v>69</v>
      </c>
      <c r="AY1482" t="s">
        <v>1187</v>
      </c>
      <c r="AZ1482">
        <v>640</v>
      </c>
      <c r="BA1482" t="s">
        <v>1188</v>
      </c>
      <c r="BB1482" t="s">
        <v>1189</v>
      </c>
      <c r="BC1482">
        <v>1970</v>
      </c>
      <c r="BD1482" t="s">
        <v>90</v>
      </c>
    </row>
    <row r="1483" spans="1:56" x14ac:dyDescent="0.35">
      <c r="A1483">
        <v>121755</v>
      </c>
      <c r="B1483" t="s">
        <v>1186</v>
      </c>
      <c r="D1483" t="s">
        <v>85</v>
      </c>
      <c r="E1483">
        <v>95</v>
      </c>
      <c r="F1483" t="s">
        <v>58</v>
      </c>
      <c r="G1483" t="s">
        <v>59</v>
      </c>
      <c r="H1483" t="s">
        <v>60</v>
      </c>
      <c r="J1483" t="s">
        <v>86</v>
      </c>
      <c r="M1483" t="s">
        <v>63</v>
      </c>
      <c r="N1483" t="s">
        <v>64</v>
      </c>
      <c r="P1483" t="s">
        <v>65</v>
      </c>
      <c r="R1483">
        <v>10.8</v>
      </c>
      <c r="W1483" t="s">
        <v>66</v>
      </c>
      <c r="X1483" t="s">
        <v>67</v>
      </c>
      <c r="Y1483" t="s">
        <v>67</v>
      </c>
      <c r="Z1483" t="s">
        <v>68</v>
      </c>
      <c r="AB1483">
        <v>4</v>
      </c>
      <c r="AC1483" t="s">
        <v>61</v>
      </c>
      <c r="AJ1483" t="s">
        <v>69</v>
      </c>
      <c r="AY1483" t="s">
        <v>1187</v>
      </c>
      <c r="AZ1483">
        <v>640</v>
      </c>
      <c r="BA1483" t="s">
        <v>1188</v>
      </c>
      <c r="BB1483" t="s">
        <v>1189</v>
      </c>
      <c r="BC1483">
        <v>1970</v>
      </c>
      <c r="BD1483" t="s">
        <v>90</v>
      </c>
    </row>
    <row r="1484" spans="1:56" x14ac:dyDescent="0.35">
      <c r="A1484">
        <v>121755</v>
      </c>
      <c r="B1484" t="s">
        <v>1186</v>
      </c>
      <c r="D1484" t="s">
        <v>57</v>
      </c>
      <c r="E1484">
        <v>95</v>
      </c>
      <c r="F1484" t="s">
        <v>58</v>
      </c>
      <c r="G1484" t="s">
        <v>59</v>
      </c>
      <c r="H1484" t="s">
        <v>60</v>
      </c>
      <c r="J1484" t="s">
        <v>86</v>
      </c>
      <c r="K1484" t="s">
        <v>61</v>
      </c>
      <c r="L1484" t="s">
        <v>74</v>
      </c>
      <c r="M1484" t="s">
        <v>63</v>
      </c>
      <c r="N1484" t="s">
        <v>64</v>
      </c>
      <c r="P1484" t="s">
        <v>65</v>
      </c>
      <c r="R1484">
        <v>14.1</v>
      </c>
      <c r="T1484">
        <v>12.3</v>
      </c>
      <c r="V1484">
        <v>16.100000000000001</v>
      </c>
      <c r="W1484" t="s">
        <v>66</v>
      </c>
      <c r="X1484" t="s">
        <v>67</v>
      </c>
      <c r="Y1484" t="s">
        <v>67</v>
      </c>
      <c r="Z1484" t="s">
        <v>68</v>
      </c>
      <c r="AB1484">
        <v>4</v>
      </c>
      <c r="AC1484" t="s">
        <v>61</v>
      </c>
      <c r="AJ1484" t="s">
        <v>69</v>
      </c>
      <c r="AY1484" t="s">
        <v>80</v>
      </c>
      <c r="AZ1484">
        <v>12859</v>
      </c>
      <c r="BA1484" t="s">
        <v>81</v>
      </c>
      <c r="BB1484" t="s">
        <v>82</v>
      </c>
      <c r="BC1484">
        <v>1988</v>
      </c>
      <c r="BD1484" t="s">
        <v>1035</v>
      </c>
    </row>
    <row r="1485" spans="1:56" x14ac:dyDescent="0.35">
      <c r="A1485">
        <v>121755</v>
      </c>
      <c r="B1485" t="s">
        <v>1186</v>
      </c>
      <c r="C1485" t="s">
        <v>91</v>
      </c>
      <c r="D1485" t="s">
        <v>85</v>
      </c>
      <c r="E1485">
        <v>57</v>
      </c>
      <c r="F1485" t="s">
        <v>58</v>
      </c>
      <c r="G1485" t="s">
        <v>59</v>
      </c>
      <c r="H1485" t="s">
        <v>60</v>
      </c>
      <c r="J1485" t="s">
        <v>86</v>
      </c>
      <c r="L1485" t="s">
        <v>62</v>
      </c>
      <c r="M1485" t="s">
        <v>63</v>
      </c>
      <c r="N1485" t="s">
        <v>64</v>
      </c>
      <c r="P1485" t="s">
        <v>65</v>
      </c>
      <c r="R1485">
        <v>12.5</v>
      </c>
      <c r="W1485" t="s">
        <v>66</v>
      </c>
      <c r="X1485" t="s">
        <v>67</v>
      </c>
      <c r="Y1485" t="s">
        <v>67</v>
      </c>
      <c r="Z1485" t="s">
        <v>68</v>
      </c>
      <c r="AB1485">
        <v>4</v>
      </c>
      <c r="AC1485" t="s">
        <v>61</v>
      </c>
      <c r="AJ1485" t="s">
        <v>69</v>
      </c>
      <c r="AY1485" t="s">
        <v>150</v>
      </c>
      <c r="AZ1485">
        <v>2155</v>
      </c>
      <c r="BA1485" t="s">
        <v>151</v>
      </c>
      <c r="BB1485" t="s">
        <v>152</v>
      </c>
      <c r="BC1485">
        <v>1958</v>
      </c>
      <c r="BD1485" t="s">
        <v>90</v>
      </c>
    </row>
    <row r="1486" spans="1:56" x14ac:dyDescent="0.35">
      <c r="A1486">
        <v>121755</v>
      </c>
      <c r="B1486" t="s">
        <v>1186</v>
      </c>
      <c r="C1486" t="s">
        <v>91</v>
      </c>
      <c r="D1486" t="s">
        <v>85</v>
      </c>
      <c r="E1486">
        <v>100</v>
      </c>
      <c r="F1486" t="s">
        <v>58</v>
      </c>
      <c r="G1486" t="s">
        <v>59</v>
      </c>
      <c r="H1486" t="s">
        <v>60</v>
      </c>
      <c r="J1486" t="s">
        <v>86</v>
      </c>
      <c r="L1486" t="s">
        <v>62</v>
      </c>
      <c r="M1486" t="s">
        <v>63</v>
      </c>
      <c r="N1486" t="s">
        <v>64</v>
      </c>
      <c r="P1486" t="s">
        <v>65</v>
      </c>
      <c r="R1486">
        <v>16</v>
      </c>
      <c r="W1486" t="s">
        <v>66</v>
      </c>
      <c r="X1486" t="s">
        <v>67</v>
      </c>
      <c r="Y1486" t="s">
        <v>67</v>
      </c>
      <c r="Z1486" t="s">
        <v>68</v>
      </c>
      <c r="AB1486">
        <v>4</v>
      </c>
      <c r="AC1486" t="s">
        <v>61</v>
      </c>
      <c r="AJ1486" t="s">
        <v>69</v>
      </c>
      <c r="AY1486" t="s">
        <v>157</v>
      </c>
      <c r="AZ1486">
        <v>2893</v>
      </c>
      <c r="BA1486" t="s">
        <v>158</v>
      </c>
      <c r="BB1486" t="s">
        <v>159</v>
      </c>
      <c r="BC1486">
        <v>1962</v>
      </c>
      <c r="BD1486" t="s">
        <v>90</v>
      </c>
    </row>
    <row r="1487" spans="1:56" x14ac:dyDescent="0.35">
      <c r="A1487">
        <v>121755</v>
      </c>
      <c r="B1487" t="s">
        <v>1186</v>
      </c>
      <c r="E1487">
        <v>95</v>
      </c>
      <c r="F1487" t="s">
        <v>58</v>
      </c>
      <c r="G1487" t="s">
        <v>59</v>
      </c>
      <c r="H1487" t="s">
        <v>60</v>
      </c>
      <c r="J1487" t="s">
        <v>86</v>
      </c>
      <c r="L1487" t="s">
        <v>62</v>
      </c>
      <c r="M1487" t="s">
        <v>63</v>
      </c>
      <c r="N1487" t="s">
        <v>64</v>
      </c>
      <c r="P1487" t="s">
        <v>65</v>
      </c>
      <c r="R1487">
        <v>11</v>
      </c>
      <c r="T1487">
        <v>8.98</v>
      </c>
      <c r="V1487">
        <v>13.4</v>
      </c>
      <c r="W1487" t="s">
        <v>66</v>
      </c>
      <c r="X1487" t="s">
        <v>67</v>
      </c>
      <c r="Y1487" t="s">
        <v>67</v>
      </c>
      <c r="Z1487" t="s">
        <v>68</v>
      </c>
      <c r="AB1487">
        <v>4</v>
      </c>
      <c r="AC1487" t="s">
        <v>61</v>
      </c>
      <c r="AJ1487" t="s">
        <v>69</v>
      </c>
      <c r="AY1487" t="s">
        <v>96</v>
      </c>
      <c r="AZ1487">
        <v>6797</v>
      </c>
      <c r="BA1487" t="s">
        <v>97</v>
      </c>
      <c r="BB1487" t="s">
        <v>98</v>
      </c>
      <c r="BC1487">
        <v>1986</v>
      </c>
      <c r="BD1487" t="s">
        <v>90</v>
      </c>
    </row>
    <row r="1488" spans="1:56" x14ac:dyDescent="0.35">
      <c r="A1488">
        <v>121755</v>
      </c>
      <c r="B1488" t="s">
        <v>1186</v>
      </c>
      <c r="D1488" t="s">
        <v>85</v>
      </c>
      <c r="E1488">
        <v>57</v>
      </c>
      <c r="F1488" t="s">
        <v>58</v>
      </c>
      <c r="G1488" t="s">
        <v>59</v>
      </c>
      <c r="H1488" t="s">
        <v>60</v>
      </c>
      <c r="J1488" t="s">
        <v>86</v>
      </c>
      <c r="L1488" t="s">
        <v>62</v>
      </c>
      <c r="M1488" t="s">
        <v>63</v>
      </c>
      <c r="N1488" t="s">
        <v>64</v>
      </c>
      <c r="P1488" t="s">
        <v>100</v>
      </c>
      <c r="R1488">
        <v>25</v>
      </c>
      <c r="W1488" t="s">
        <v>66</v>
      </c>
      <c r="X1488" t="s">
        <v>67</v>
      </c>
      <c r="Y1488" t="s">
        <v>67</v>
      </c>
      <c r="Z1488" t="s">
        <v>68</v>
      </c>
      <c r="AB1488">
        <v>4</v>
      </c>
      <c r="AC1488" t="s">
        <v>61</v>
      </c>
      <c r="AJ1488" t="s">
        <v>69</v>
      </c>
      <c r="AY1488" t="s">
        <v>157</v>
      </c>
      <c r="AZ1488">
        <v>2893</v>
      </c>
      <c r="BA1488" t="s">
        <v>158</v>
      </c>
      <c r="BB1488" t="s">
        <v>159</v>
      </c>
      <c r="BC1488">
        <v>1962</v>
      </c>
      <c r="BD1488" t="s">
        <v>90</v>
      </c>
    </row>
    <row r="1489" spans="1:56" x14ac:dyDescent="0.35">
      <c r="A1489">
        <v>121755</v>
      </c>
      <c r="B1489" t="s">
        <v>1186</v>
      </c>
      <c r="E1489">
        <v>95</v>
      </c>
      <c r="F1489" t="s">
        <v>58</v>
      </c>
      <c r="G1489" t="s">
        <v>59</v>
      </c>
      <c r="H1489" t="s">
        <v>60</v>
      </c>
      <c r="J1489" t="s">
        <v>86</v>
      </c>
      <c r="L1489" t="s">
        <v>62</v>
      </c>
      <c r="M1489" t="s">
        <v>63</v>
      </c>
      <c r="N1489" t="s">
        <v>64</v>
      </c>
      <c r="P1489" t="s">
        <v>65</v>
      </c>
      <c r="R1489">
        <v>8.65</v>
      </c>
      <c r="T1489">
        <v>6.45</v>
      </c>
      <c r="V1489">
        <v>11.5</v>
      </c>
      <c r="W1489" t="s">
        <v>66</v>
      </c>
      <c r="X1489" t="s">
        <v>67</v>
      </c>
      <c r="Y1489" t="s">
        <v>67</v>
      </c>
      <c r="Z1489" t="s">
        <v>68</v>
      </c>
      <c r="AB1489">
        <v>4</v>
      </c>
      <c r="AC1489" t="s">
        <v>61</v>
      </c>
      <c r="AJ1489" t="s">
        <v>69</v>
      </c>
      <c r="AY1489" t="s">
        <v>96</v>
      </c>
      <c r="AZ1489">
        <v>6797</v>
      </c>
      <c r="BA1489" t="s">
        <v>97</v>
      </c>
      <c r="BB1489" t="s">
        <v>98</v>
      </c>
      <c r="BC1489">
        <v>1986</v>
      </c>
      <c r="BD1489" t="s">
        <v>90</v>
      </c>
    </row>
    <row r="1490" spans="1:56" x14ac:dyDescent="0.35">
      <c r="A1490">
        <v>121755</v>
      </c>
      <c r="B1490" t="s">
        <v>1186</v>
      </c>
      <c r="C1490" t="s">
        <v>91</v>
      </c>
      <c r="D1490" t="s">
        <v>85</v>
      </c>
      <c r="E1490">
        <v>100</v>
      </c>
      <c r="F1490" t="s">
        <v>58</v>
      </c>
      <c r="G1490" t="s">
        <v>59</v>
      </c>
      <c r="H1490" t="s">
        <v>60</v>
      </c>
      <c r="J1490" t="s">
        <v>86</v>
      </c>
      <c r="L1490" t="s">
        <v>62</v>
      </c>
      <c r="M1490" t="s">
        <v>63</v>
      </c>
      <c r="N1490" t="s">
        <v>64</v>
      </c>
      <c r="P1490" t="s">
        <v>65</v>
      </c>
      <c r="R1490">
        <v>23</v>
      </c>
      <c r="W1490" t="s">
        <v>66</v>
      </c>
      <c r="X1490" t="s">
        <v>67</v>
      </c>
      <c r="Y1490" t="s">
        <v>67</v>
      </c>
      <c r="Z1490" t="s">
        <v>68</v>
      </c>
      <c r="AB1490">
        <v>4</v>
      </c>
      <c r="AC1490" t="s">
        <v>61</v>
      </c>
      <c r="AJ1490" t="s">
        <v>69</v>
      </c>
      <c r="AY1490" t="s">
        <v>157</v>
      </c>
      <c r="AZ1490">
        <v>2893</v>
      </c>
      <c r="BA1490" t="s">
        <v>158</v>
      </c>
      <c r="BB1490" t="s">
        <v>159</v>
      </c>
      <c r="BC1490">
        <v>1962</v>
      </c>
      <c r="BD1490" t="s">
        <v>90</v>
      </c>
    </row>
    <row r="1491" spans="1:56" x14ac:dyDescent="0.35">
      <c r="A1491">
        <v>121824</v>
      </c>
      <c r="B1491" t="s">
        <v>1190</v>
      </c>
      <c r="D1491" t="s">
        <v>85</v>
      </c>
      <c r="E1491" t="s">
        <v>86</v>
      </c>
      <c r="F1491" t="s">
        <v>58</v>
      </c>
      <c r="G1491" t="s">
        <v>59</v>
      </c>
      <c r="H1491" t="s">
        <v>60</v>
      </c>
      <c r="J1491" t="s">
        <v>86</v>
      </c>
      <c r="L1491" t="s">
        <v>62</v>
      </c>
      <c r="M1491" t="s">
        <v>63</v>
      </c>
      <c r="N1491" t="s">
        <v>64</v>
      </c>
      <c r="P1491" t="s">
        <v>100</v>
      </c>
      <c r="R1491">
        <v>4.5</v>
      </c>
      <c r="T1491">
        <v>3.7</v>
      </c>
      <c r="V1491">
        <v>5.4</v>
      </c>
      <c r="W1491" t="s">
        <v>66</v>
      </c>
      <c r="X1491" t="s">
        <v>67</v>
      </c>
      <c r="Y1491" t="s">
        <v>67</v>
      </c>
      <c r="Z1491" t="s">
        <v>68</v>
      </c>
      <c r="AB1491">
        <v>4</v>
      </c>
      <c r="AC1491" t="s">
        <v>61</v>
      </c>
      <c r="AJ1491" t="s">
        <v>69</v>
      </c>
      <c r="AY1491" t="s">
        <v>872</v>
      </c>
      <c r="AZ1491">
        <v>73461</v>
      </c>
      <c r="BA1491" t="s">
        <v>873</v>
      </c>
      <c r="BB1491" t="s">
        <v>874</v>
      </c>
      <c r="BC1491">
        <v>1983</v>
      </c>
      <c r="BD1491" t="s">
        <v>90</v>
      </c>
    </row>
    <row r="1492" spans="1:56" x14ac:dyDescent="0.35">
      <c r="A1492">
        <v>121824</v>
      </c>
      <c r="B1492" t="s">
        <v>1190</v>
      </c>
      <c r="D1492" t="s">
        <v>85</v>
      </c>
      <c r="E1492" t="s">
        <v>86</v>
      </c>
      <c r="F1492" t="s">
        <v>58</v>
      </c>
      <c r="G1492" t="s">
        <v>59</v>
      </c>
      <c r="H1492" t="s">
        <v>60</v>
      </c>
      <c r="J1492" t="s">
        <v>86</v>
      </c>
      <c r="L1492" t="s">
        <v>62</v>
      </c>
      <c r="M1492" t="s">
        <v>63</v>
      </c>
      <c r="N1492" t="s">
        <v>64</v>
      </c>
      <c r="P1492" t="s">
        <v>100</v>
      </c>
      <c r="T1492">
        <v>5</v>
      </c>
      <c r="V1492">
        <v>15</v>
      </c>
      <c r="W1492" t="s">
        <v>66</v>
      </c>
      <c r="X1492" t="s">
        <v>67</v>
      </c>
      <c r="Y1492" t="s">
        <v>67</v>
      </c>
      <c r="Z1492" t="s">
        <v>68</v>
      </c>
      <c r="AB1492">
        <v>4</v>
      </c>
      <c r="AC1492" t="s">
        <v>61</v>
      </c>
      <c r="AJ1492" t="s">
        <v>69</v>
      </c>
      <c r="AY1492" t="s">
        <v>715</v>
      </c>
      <c r="AZ1492">
        <v>5671</v>
      </c>
      <c r="BA1492" t="s">
        <v>716</v>
      </c>
      <c r="BB1492" t="s">
        <v>717</v>
      </c>
      <c r="BC1492">
        <v>1977</v>
      </c>
      <c r="BD1492" t="s">
        <v>90</v>
      </c>
    </row>
    <row r="1493" spans="1:56" x14ac:dyDescent="0.35">
      <c r="A1493">
        <v>121824</v>
      </c>
      <c r="B1493" t="s">
        <v>1190</v>
      </c>
      <c r="D1493" t="s">
        <v>57</v>
      </c>
      <c r="E1493" t="s">
        <v>86</v>
      </c>
      <c r="F1493" t="s">
        <v>58</v>
      </c>
      <c r="G1493" t="s">
        <v>59</v>
      </c>
      <c r="H1493" t="s">
        <v>60</v>
      </c>
      <c r="J1493" t="s">
        <v>86</v>
      </c>
      <c r="L1493" t="s">
        <v>62</v>
      </c>
      <c r="M1493" t="s">
        <v>63</v>
      </c>
      <c r="N1493" t="s">
        <v>64</v>
      </c>
      <c r="P1493" t="s">
        <v>65</v>
      </c>
      <c r="R1493">
        <v>5.8</v>
      </c>
      <c r="T1493">
        <v>4.7</v>
      </c>
      <c r="V1493">
        <v>7.2</v>
      </c>
      <c r="W1493" t="s">
        <v>66</v>
      </c>
      <c r="X1493" t="s">
        <v>67</v>
      </c>
      <c r="Y1493" t="s">
        <v>67</v>
      </c>
      <c r="Z1493" t="s">
        <v>68</v>
      </c>
      <c r="AB1493">
        <v>4</v>
      </c>
      <c r="AC1493" t="s">
        <v>61</v>
      </c>
      <c r="AJ1493" t="s">
        <v>69</v>
      </c>
      <c r="AY1493" t="s">
        <v>1191</v>
      </c>
      <c r="AZ1493">
        <v>5962</v>
      </c>
      <c r="BA1493" t="s">
        <v>1192</v>
      </c>
      <c r="BB1493" t="s">
        <v>1193</v>
      </c>
      <c r="BC1493">
        <v>1977</v>
      </c>
      <c r="BD1493" t="s">
        <v>90</v>
      </c>
    </row>
    <row r="1494" spans="1:56" x14ac:dyDescent="0.35">
      <c r="A1494">
        <v>121824</v>
      </c>
      <c r="B1494" t="s">
        <v>1190</v>
      </c>
      <c r="D1494" t="s">
        <v>57</v>
      </c>
      <c r="E1494" t="s">
        <v>79</v>
      </c>
      <c r="F1494" t="s">
        <v>58</v>
      </c>
      <c r="G1494" t="s">
        <v>59</v>
      </c>
      <c r="H1494" t="s">
        <v>60</v>
      </c>
      <c r="I1494" t="s">
        <v>129</v>
      </c>
      <c r="J1494" t="s">
        <v>86</v>
      </c>
      <c r="K1494" t="s">
        <v>61</v>
      </c>
      <c r="L1494" t="s">
        <v>74</v>
      </c>
      <c r="M1494" t="s">
        <v>63</v>
      </c>
      <c r="N1494" t="s">
        <v>64</v>
      </c>
      <c r="P1494" t="s">
        <v>65</v>
      </c>
      <c r="R1494">
        <v>12.7</v>
      </c>
      <c r="T1494">
        <v>11.14</v>
      </c>
      <c r="V1494">
        <v>14.97</v>
      </c>
      <c r="W1494" t="s">
        <v>66</v>
      </c>
      <c r="X1494" t="s">
        <v>67</v>
      </c>
      <c r="Y1494" t="s">
        <v>67</v>
      </c>
      <c r="Z1494" t="s">
        <v>68</v>
      </c>
      <c r="AB1494">
        <v>4</v>
      </c>
      <c r="AC1494" t="s">
        <v>61</v>
      </c>
      <c r="AJ1494" t="s">
        <v>69</v>
      </c>
      <c r="AY1494" t="s">
        <v>181</v>
      </c>
      <c r="AZ1494">
        <v>17053</v>
      </c>
      <c r="BA1494" t="s">
        <v>1194</v>
      </c>
      <c r="BB1494" t="s">
        <v>1195</v>
      </c>
      <c r="BC1494">
        <v>1994</v>
      </c>
      <c r="BD1494" t="s">
        <v>1196</v>
      </c>
    </row>
    <row r="1495" spans="1:56" x14ac:dyDescent="0.35">
      <c r="A1495">
        <v>121824</v>
      </c>
      <c r="B1495" t="s">
        <v>1190</v>
      </c>
      <c r="D1495" t="s">
        <v>57</v>
      </c>
      <c r="E1495" t="s">
        <v>86</v>
      </c>
      <c r="F1495" t="s">
        <v>58</v>
      </c>
      <c r="G1495" t="s">
        <v>59</v>
      </c>
      <c r="H1495" t="s">
        <v>60</v>
      </c>
      <c r="J1495" t="s">
        <v>86</v>
      </c>
      <c r="L1495" t="s">
        <v>74</v>
      </c>
      <c r="M1495" t="s">
        <v>63</v>
      </c>
      <c r="N1495" t="s">
        <v>64</v>
      </c>
      <c r="P1495" t="s">
        <v>65</v>
      </c>
      <c r="R1495">
        <v>6.6</v>
      </c>
      <c r="T1495">
        <v>5</v>
      </c>
      <c r="V1495">
        <v>8.6999999999999993</v>
      </c>
      <c r="W1495" t="s">
        <v>66</v>
      </c>
      <c r="X1495" t="s">
        <v>67</v>
      </c>
      <c r="Y1495" t="s">
        <v>67</v>
      </c>
      <c r="Z1495" t="s">
        <v>68</v>
      </c>
      <c r="AB1495">
        <v>4</v>
      </c>
      <c r="AC1495" t="s">
        <v>61</v>
      </c>
      <c r="AJ1495" t="s">
        <v>69</v>
      </c>
      <c r="AY1495" t="s">
        <v>1191</v>
      </c>
      <c r="AZ1495">
        <v>5962</v>
      </c>
      <c r="BA1495" t="s">
        <v>1192</v>
      </c>
      <c r="BB1495" t="s">
        <v>1193</v>
      </c>
      <c r="BC1495">
        <v>1977</v>
      </c>
      <c r="BD1495" t="s">
        <v>90</v>
      </c>
    </row>
    <row r="1496" spans="1:56" x14ac:dyDescent="0.35">
      <c r="A1496">
        <v>121824</v>
      </c>
      <c r="B1496" t="s">
        <v>1190</v>
      </c>
      <c r="D1496" t="s">
        <v>57</v>
      </c>
      <c r="E1496" t="s">
        <v>86</v>
      </c>
      <c r="F1496" t="s">
        <v>58</v>
      </c>
      <c r="G1496" t="s">
        <v>59</v>
      </c>
      <c r="H1496" t="s">
        <v>60</v>
      </c>
      <c r="J1496">
        <v>30</v>
      </c>
      <c r="K1496" t="s">
        <v>1027</v>
      </c>
      <c r="L1496" t="s">
        <v>62</v>
      </c>
      <c r="M1496" t="s">
        <v>63</v>
      </c>
      <c r="N1496" t="s">
        <v>64</v>
      </c>
      <c r="P1496" t="s">
        <v>65</v>
      </c>
      <c r="R1496">
        <v>16</v>
      </c>
      <c r="T1496">
        <v>13</v>
      </c>
      <c r="V1496">
        <v>19</v>
      </c>
      <c r="W1496" t="s">
        <v>66</v>
      </c>
      <c r="X1496" t="s">
        <v>67</v>
      </c>
      <c r="Y1496" t="s">
        <v>67</v>
      </c>
      <c r="Z1496" t="s">
        <v>68</v>
      </c>
      <c r="AB1496">
        <v>4</v>
      </c>
      <c r="AC1496" t="s">
        <v>61</v>
      </c>
      <c r="AJ1496" t="s">
        <v>69</v>
      </c>
      <c r="AY1496" t="s">
        <v>1191</v>
      </c>
      <c r="AZ1496">
        <v>5962</v>
      </c>
      <c r="BA1496" t="s">
        <v>1192</v>
      </c>
      <c r="BB1496" t="s">
        <v>1193</v>
      </c>
      <c r="BC1496">
        <v>1977</v>
      </c>
      <c r="BD1496" t="s">
        <v>1028</v>
      </c>
    </row>
    <row r="1497" spans="1:56" x14ac:dyDescent="0.35">
      <c r="A1497">
        <v>121824</v>
      </c>
      <c r="B1497" t="s">
        <v>1190</v>
      </c>
      <c r="D1497" t="s">
        <v>57</v>
      </c>
      <c r="E1497" t="s">
        <v>86</v>
      </c>
      <c r="F1497" t="s">
        <v>58</v>
      </c>
      <c r="G1497" t="s">
        <v>59</v>
      </c>
      <c r="H1497" t="s">
        <v>60</v>
      </c>
      <c r="J1497">
        <v>1</v>
      </c>
      <c r="K1497" t="s">
        <v>495</v>
      </c>
      <c r="L1497" t="s">
        <v>62</v>
      </c>
      <c r="M1497" t="s">
        <v>63</v>
      </c>
      <c r="N1497" t="s">
        <v>64</v>
      </c>
      <c r="P1497" t="s">
        <v>65</v>
      </c>
      <c r="R1497">
        <v>43</v>
      </c>
      <c r="T1497">
        <v>27</v>
      </c>
      <c r="V1497">
        <v>69</v>
      </c>
      <c r="W1497" t="s">
        <v>66</v>
      </c>
      <c r="X1497" t="s">
        <v>67</v>
      </c>
      <c r="Y1497" t="s">
        <v>67</v>
      </c>
      <c r="Z1497" t="s">
        <v>68</v>
      </c>
      <c r="AB1497">
        <v>4</v>
      </c>
      <c r="AC1497" t="s">
        <v>61</v>
      </c>
      <c r="AJ1497" t="s">
        <v>69</v>
      </c>
      <c r="AY1497" t="s">
        <v>1191</v>
      </c>
      <c r="AZ1497">
        <v>5962</v>
      </c>
      <c r="BA1497" t="s">
        <v>1192</v>
      </c>
      <c r="BB1497" t="s">
        <v>1193</v>
      </c>
      <c r="BC1497">
        <v>1977</v>
      </c>
      <c r="BD1497" t="s">
        <v>499</v>
      </c>
    </row>
    <row r="1498" spans="1:56" x14ac:dyDescent="0.35">
      <c r="A1498">
        <v>121824</v>
      </c>
      <c r="B1498" t="s">
        <v>1190</v>
      </c>
      <c r="D1498" t="s">
        <v>57</v>
      </c>
      <c r="E1498" t="s">
        <v>86</v>
      </c>
      <c r="F1498" t="s">
        <v>58</v>
      </c>
      <c r="G1498" t="s">
        <v>59</v>
      </c>
      <c r="H1498" t="s">
        <v>60</v>
      </c>
      <c r="J1498">
        <v>60</v>
      </c>
      <c r="K1498" t="s">
        <v>1027</v>
      </c>
      <c r="L1498" t="s">
        <v>62</v>
      </c>
      <c r="M1498" t="s">
        <v>63</v>
      </c>
      <c r="N1498" t="s">
        <v>64</v>
      </c>
      <c r="P1498" t="s">
        <v>65</v>
      </c>
      <c r="R1498">
        <v>11</v>
      </c>
      <c r="T1498">
        <v>5.9</v>
      </c>
      <c r="V1498">
        <v>21</v>
      </c>
      <c r="W1498" t="s">
        <v>66</v>
      </c>
      <c r="X1498" t="s">
        <v>67</v>
      </c>
      <c r="Y1498" t="s">
        <v>67</v>
      </c>
      <c r="Z1498" t="s">
        <v>68</v>
      </c>
      <c r="AB1498">
        <v>4</v>
      </c>
      <c r="AC1498" t="s">
        <v>61</v>
      </c>
      <c r="AJ1498" t="s">
        <v>69</v>
      </c>
      <c r="AY1498" t="s">
        <v>1191</v>
      </c>
      <c r="AZ1498">
        <v>5962</v>
      </c>
      <c r="BA1498" t="s">
        <v>1192</v>
      </c>
      <c r="BB1498" t="s">
        <v>1193</v>
      </c>
      <c r="BC1498">
        <v>1977</v>
      </c>
      <c r="BD1498" t="s">
        <v>1028</v>
      </c>
    </row>
    <row r="1499" spans="1:56" x14ac:dyDescent="0.35">
      <c r="A1499">
        <v>121824</v>
      </c>
      <c r="B1499" t="s">
        <v>1190</v>
      </c>
      <c r="D1499" t="s">
        <v>57</v>
      </c>
      <c r="E1499" t="s">
        <v>86</v>
      </c>
      <c r="F1499" t="s">
        <v>58</v>
      </c>
      <c r="G1499" t="s">
        <v>59</v>
      </c>
      <c r="H1499" t="s">
        <v>60</v>
      </c>
      <c r="J1499">
        <v>7</v>
      </c>
      <c r="K1499" t="s">
        <v>1027</v>
      </c>
      <c r="L1499" t="s">
        <v>62</v>
      </c>
      <c r="M1499" t="s">
        <v>63</v>
      </c>
      <c r="N1499" t="s">
        <v>64</v>
      </c>
      <c r="P1499" t="s">
        <v>65</v>
      </c>
      <c r="R1499">
        <v>3.8</v>
      </c>
      <c r="T1499">
        <v>3</v>
      </c>
      <c r="V1499">
        <v>5</v>
      </c>
      <c r="W1499" t="s">
        <v>66</v>
      </c>
      <c r="X1499" t="s">
        <v>67</v>
      </c>
      <c r="Y1499" t="s">
        <v>67</v>
      </c>
      <c r="Z1499" t="s">
        <v>68</v>
      </c>
      <c r="AB1499">
        <v>4</v>
      </c>
      <c r="AC1499" t="s">
        <v>61</v>
      </c>
      <c r="AJ1499" t="s">
        <v>69</v>
      </c>
      <c r="AY1499" t="s">
        <v>1191</v>
      </c>
      <c r="AZ1499">
        <v>5962</v>
      </c>
      <c r="BA1499" t="s">
        <v>1192</v>
      </c>
      <c r="BB1499" t="s">
        <v>1193</v>
      </c>
      <c r="BC1499">
        <v>1977</v>
      </c>
      <c r="BD1499" t="s">
        <v>1028</v>
      </c>
    </row>
    <row r="1500" spans="1:56" x14ac:dyDescent="0.35">
      <c r="A1500">
        <v>121879</v>
      </c>
      <c r="B1500" t="s">
        <v>1197</v>
      </c>
      <c r="D1500" t="s">
        <v>57</v>
      </c>
      <c r="E1500">
        <v>99</v>
      </c>
      <c r="F1500" t="s">
        <v>58</v>
      </c>
      <c r="G1500" t="s">
        <v>59</v>
      </c>
      <c r="H1500" t="s">
        <v>60</v>
      </c>
      <c r="J1500">
        <v>32</v>
      </c>
      <c r="K1500" t="s">
        <v>61</v>
      </c>
      <c r="L1500" t="s">
        <v>74</v>
      </c>
      <c r="M1500" t="s">
        <v>63</v>
      </c>
      <c r="N1500" t="s">
        <v>64</v>
      </c>
      <c r="P1500" t="s">
        <v>65</v>
      </c>
      <c r="R1500">
        <v>21.5</v>
      </c>
      <c r="T1500">
        <v>20.2</v>
      </c>
      <c r="V1500">
        <v>23</v>
      </c>
      <c r="W1500" t="s">
        <v>66</v>
      </c>
      <c r="X1500" t="s">
        <v>67</v>
      </c>
      <c r="Y1500" t="s">
        <v>67</v>
      </c>
      <c r="Z1500" t="s">
        <v>68</v>
      </c>
      <c r="AB1500">
        <v>4</v>
      </c>
      <c r="AC1500" t="s">
        <v>61</v>
      </c>
      <c r="AJ1500" t="s">
        <v>69</v>
      </c>
      <c r="AY1500" t="s">
        <v>286</v>
      </c>
      <c r="AZ1500">
        <v>12448</v>
      </c>
      <c r="BA1500" t="s">
        <v>287</v>
      </c>
      <c r="BB1500" t="s">
        <v>288</v>
      </c>
      <c r="BC1500">
        <v>1984</v>
      </c>
      <c r="BD1500" t="s">
        <v>73</v>
      </c>
    </row>
    <row r="1501" spans="1:56" x14ac:dyDescent="0.35">
      <c r="A1501">
        <v>121879</v>
      </c>
      <c r="B1501" t="s">
        <v>1197</v>
      </c>
      <c r="D1501" t="s">
        <v>57</v>
      </c>
      <c r="E1501">
        <v>99</v>
      </c>
      <c r="F1501" t="s">
        <v>58</v>
      </c>
      <c r="G1501" t="s">
        <v>59</v>
      </c>
      <c r="H1501" t="s">
        <v>60</v>
      </c>
      <c r="J1501">
        <v>35</v>
      </c>
      <c r="K1501" t="s">
        <v>61</v>
      </c>
      <c r="L1501" t="s">
        <v>74</v>
      </c>
      <c r="M1501" t="s">
        <v>63</v>
      </c>
      <c r="N1501" t="s">
        <v>64</v>
      </c>
      <c r="P1501" t="s">
        <v>65</v>
      </c>
      <c r="R1501">
        <v>18.899999999999999</v>
      </c>
      <c r="T1501">
        <v>17.7</v>
      </c>
      <c r="V1501">
        <v>20.2</v>
      </c>
      <c r="W1501" t="s">
        <v>66</v>
      </c>
      <c r="X1501" t="s">
        <v>67</v>
      </c>
      <c r="Y1501" t="s">
        <v>67</v>
      </c>
      <c r="Z1501" t="s">
        <v>68</v>
      </c>
      <c r="AB1501">
        <v>4</v>
      </c>
      <c r="AC1501" t="s">
        <v>61</v>
      </c>
      <c r="AJ1501" t="s">
        <v>69</v>
      </c>
      <c r="AY1501" t="s">
        <v>286</v>
      </c>
      <c r="AZ1501">
        <v>12448</v>
      </c>
      <c r="BA1501" t="s">
        <v>287</v>
      </c>
      <c r="BB1501" t="s">
        <v>288</v>
      </c>
      <c r="BC1501">
        <v>1984</v>
      </c>
      <c r="BD1501" t="s">
        <v>73</v>
      </c>
    </row>
    <row r="1502" spans="1:56" x14ac:dyDescent="0.35">
      <c r="A1502">
        <v>121879</v>
      </c>
      <c r="B1502" t="s">
        <v>1197</v>
      </c>
      <c r="D1502" t="s">
        <v>57</v>
      </c>
      <c r="E1502" t="s">
        <v>128</v>
      </c>
      <c r="F1502" t="s">
        <v>58</v>
      </c>
      <c r="G1502" t="s">
        <v>59</v>
      </c>
      <c r="H1502" t="s">
        <v>60</v>
      </c>
      <c r="I1502" t="s">
        <v>129</v>
      </c>
      <c r="J1502" t="s">
        <v>86</v>
      </c>
      <c r="K1502" t="s">
        <v>61</v>
      </c>
      <c r="L1502" t="s">
        <v>74</v>
      </c>
      <c r="M1502" t="s">
        <v>63</v>
      </c>
      <c r="N1502" t="s">
        <v>64</v>
      </c>
      <c r="P1502" t="s">
        <v>65</v>
      </c>
      <c r="R1502">
        <v>20.399999999999999</v>
      </c>
      <c r="W1502" t="s">
        <v>66</v>
      </c>
      <c r="X1502" t="s">
        <v>67</v>
      </c>
      <c r="Y1502" t="s">
        <v>67</v>
      </c>
      <c r="Z1502" t="s">
        <v>68</v>
      </c>
      <c r="AB1502">
        <v>4</v>
      </c>
      <c r="AC1502" t="s">
        <v>61</v>
      </c>
      <c r="AJ1502" t="s">
        <v>69</v>
      </c>
      <c r="AY1502" t="s">
        <v>134</v>
      </c>
      <c r="AZ1502">
        <v>15031</v>
      </c>
      <c r="BA1502" t="s">
        <v>135</v>
      </c>
      <c r="BB1502" t="s">
        <v>136</v>
      </c>
      <c r="BC1502">
        <v>1995</v>
      </c>
      <c r="BD1502" t="s">
        <v>133</v>
      </c>
    </row>
    <row r="1503" spans="1:56" x14ac:dyDescent="0.35">
      <c r="A1503">
        <v>122032</v>
      </c>
      <c r="B1503" t="s">
        <v>1198</v>
      </c>
      <c r="D1503" t="s">
        <v>57</v>
      </c>
      <c r="E1503" t="s">
        <v>638</v>
      </c>
      <c r="F1503" t="s">
        <v>58</v>
      </c>
      <c r="G1503" t="s">
        <v>59</v>
      </c>
      <c r="H1503" t="s">
        <v>60</v>
      </c>
      <c r="J1503">
        <v>32</v>
      </c>
      <c r="K1503" t="s">
        <v>61</v>
      </c>
      <c r="L1503" t="s">
        <v>74</v>
      </c>
      <c r="M1503" t="s">
        <v>63</v>
      </c>
      <c r="N1503" t="s">
        <v>64</v>
      </c>
      <c r="O1503">
        <v>6</v>
      </c>
      <c r="P1503" t="s">
        <v>65</v>
      </c>
      <c r="R1503">
        <v>6.62</v>
      </c>
      <c r="T1503">
        <v>6.27</v>
      </c>
      <c r="V1503">
        <v>6.99</v>
      </c>
      <c r="W1503" t="s">
        <v>66</v>
      </c>
      <c r="X1503" t="s">
        <v>67</v>
      </c>
      <c r="Y1503" t="s">
        <v>67</v>
      </c>
      <c r="Z1503" t="s">
        <v>68</v>
      </c>
      <c r="AB1503">
        <v>4</v>
      </c>
      <c r="AC1503" t="s">
        <v>61</v>
      </c>
      <c r="AJ1503" t="s">
        <v>69</v>
      </c>
      <c r="AY1503" t="s">
        <v>286</v>
      </c>
      <c r="AZ1503">
        <v>12448</v>
      </c>
      <c r="BA1503" t="s">
        <v>287</v>
      </c>
      <c r="BB1503" t="s">
        <v>288</v>
      </c>
      <c r="BC1503">
        <v>1984</v>
      </c>
      <c r="BD1503" t="s">
        <v>73</v>
      </c>
    </row>
    <row r="1504" spans="1:56" x14ac:dyDescent="0.35">
      <c r="A1504">
        <v>122145</v>
      </c>
      <c r="B1504" t="s">
        <v>1199</v>
      </c>
      <c r="E1504">
        <v>95</v>
      </c>
      <c r="F1504" t="s">
        <v>58</v>
      </c>
      <c r="G1504" t="s">
        <v>59</v>
      </c>
      <c r="H1504" t="s">
        <v>60</v>
      </c>
      <c r="J1504" t="s">
        <v>86</v>
      </c>
      <c r="L1504" t="s">
        <v>62</v>
      </c>
      <c r="M1504" t="s">
        <v>63</v>
      </c>
      <c r="N1504" t="s">
        <v>64</v>
      </c>
      <c r="P1504" t="s">
        <v>65</v>
      </c>
      <c r="R1504">
        <v>3.2</v>
      </c>
      <c r="T1504">
        <v>2.4</v>
      </c>
      <c r="V1504">
        <v>4.2</v>
      </c>
      <c r="W1504" t="s">
        <v>66</v>
      </c>
      <c r="X1504" t="s">
        <v>67</v>
      </c>
      <c r="Y1504" t="s">
        <v>67</v>
      </c>
      <c r="Z1504" t="s">
        <v>68</v>
      </c>
      <c r="AB1504">
        <v>4</v>
      </c>
      <c r="AC1504" t="s">
        <v>61</v>
      </c>
      <c r="AJ1504" t="s">
        <v>69</v>
      </c>
      <c r="AY1504" t="s">
        <v>96</v>
      </c>
      <c r="AZ1504">
        <v>6797</v>
      </c>
      <c r="BA1504" t="s">
        <v>97</v>
      </c>
      <c r="BB1504" t="s">
        <v>98</v>
      </c>
      <c r="BC1504">
        <v>1986</v>
      </c>
      <c r="BD1504" t="s">
        <v>90</v>
      </c>
    </row>
    <row r="1505" spans="1:56" x14ac:dyDescent="0.35">
      <c r="A1505">
        <v>122145</v>
      </c>
      <c r="B1505" t="s">
        <v>1199</v>
      </c>
      <c r="E1505">
        <v>87.3</v>
      </c>
      <c r="F1505" t="s">
        <v>58</v>
      </c>
      <c r="G1505" t="s">
        <v>59</v>
      </c>
      <c r="H1505" t="s">
        <v>60</v>
      </c>
      <c r="J1505" t="s">
        <v>86</v>
      </c>
      <c r="L1505" t="s">
        <v>62</v>
      </c>
      <c r="M1505" t="s">
        <v>63</v>
      </c>
      <c r="N1505" t="s">
        <v>64</v>
      </c>
      <c r="P1505" t="s">
        <v>65</v>
      </c>
      <c r="R1505">
        <v>4.8</v>
      </c>
      <c r="T1505">
        <v>3.8</v>
      </c>
      <c r="V1505">
        <v>6.1</v>
      </c>
      <c r="W1505" t="s">
        <v>66</v>
      </c>
      <c r="X1505" t="s">
        <v>67</v>
      </c>
      <c r="Y1505" t="s">
        <v>67</v>
      </c>
      <c r="Z1505" t="s">
        <v>68</v>
      </c>
      <c r="AB1505">
        <v>4</v>
      </c>
      <c r="AC1505" t="s">
        <v>61</v>
      </c>
      <c r="AJ1505" t="s">
        <v>69</v>
      </c>
      <c r="AY1505" t="s">
        <v>96</v>
      </c>
      <c r="AZ1505">
        <v>6797</v>
      </c>
      <c r="BA1505" t="s">
        <v>97</v>
      </c>
      <c r="BB1505" t="s">
        <v>98</v>
      </c>
      <c r="BC1505">
        <v>1986</v>
      </c>
      <c r="BD1505" t="s">
        <v>90</v>
      </c>
    </row>
    <row r="1506" spans="1:56" x14ac:dyDescent="0.35">
      <c r="A1506">
        <v>122145</v>
      </c>
      <c r="B1506" t="s">
        <v>1199</v>
      </c>
      <c r="E1506">
        <v>95</v>
      </c>
      <c r="F1506" t="s">
        <v>58</v>
      </c>
      <c r="G1506" t="s">
        <v>59</v>
      </c>
      <c r="H1506" t="s">
        <v>60</v>
      </c>
      <c r="J1506" t="s">
        <v>86</v>
      </c>
      <c r="L1506" t="s">
        <v>62</v>
      </c>
      <c r="M1506" t="s">
        <v>63</v>
      </c>
      <c r="N1506" t="s">
        <v>64</v>
      </c>
      <c r="P1506" t="s">
        <v>65</v>
      </c>
      <c r="R1506">
        <v>4.3</v>
      </c>
      <c r="T1506">
        <v>2.3199999999999998</v>
      </c>
      <c r="V1506">
        <v>7.94</v>
      </c>
      <c r="W1506" t="s">
        <v>66</v>
      </c>
      <c r="X1506" t="s">
        <v>67</v>
      </c>
      <c r="Y1506" t="s">
        <v>67</v>
      </c>
      <c r="Z1506" t="s">
        <v>68</v>
      </c>
      <c r="AB1506">
        <v>4</v>
      </c>
      <c r="AC1506" t="s">
        <v>61</v>
      </c>
      <c r="AJ1506" t="s">
        <v>69</v>
      </c>
      <c r="AY1506" t="s">
        <v>96</v>
      </c>
      <c r="AZ1506">
        <v>6797</v>
      </c>
      <c r="BA1506" t="s">
        <v>97</v>
      </c>
      <c r="BB1506" t="s">
        <v>98</v>
      </c>
      <c r="BC1506">
        <v>1986</v>
      </c>
      <c r="BD1506" t="s">
        <v>90</v>
      </c>
    </row>
    <row r="1507" spans="1:56" x14ac:dyDescent="0.35">
      <c r="A1507">
        <v>122145</v>
      </c>
      <c r="B1507" t="s">
        <v>1199</v>
      </c>
      <c r="E1507">
        <v>40</v>
      </c>
      <c r="F1507" t="s">
        <v>58</v>
      </c>
      <c r="G1507" t="s">
        <v>59</v>
      </c>
      <c r="H1507" t="s">
        <v>60</v>
      </c>
      <c r="J1507" t="s">
        <v>86</v>
      </c>
      <c r="L1507" t="s">
        <v>62</v>
      </c>
      <c r="M1507" t="s">
        <v>63</v>
      </c>
      <c r="N1507" t="s">
        <v>64</v>
      </c>
      <c r="P1507" t="s">
        <v>65</v>
      </c>
      <c r="R1507">
        <v>3.6</v>
      </c>
      <c r="T1507">
        <v>2.5099999999999998</v>
      </c>
      <c r="V1507">
        <v>5.16</v>
      </c>
      <c r="W1507" t="s">
        <v>66</v>
      </c>
      <c r="X1507" t="s">
        <v>67</v>
      </c>
      <c r="Y1507" t="s">
        <v>67</v>
      </c>
      <c r="Z1507" t="s">
        <v>68</v>
      </c>
      <c r="AB1507">
        <v>4</v>
      </c>
      <c r="AC1507" t="s">
        <v>61</v>
      </c>
      <c r="AJ1507" t="s">
        <v>69</v>
      </c>
      <c r="AY1507" t="s">
        <v>96</v>
      </c>
      <c r="AZ1507">
        <v>6797</v>
      </c>
      <c r="BA1507" t="s">
        <v>97</v>
      </c>
      <c r="BB1507" t="s">
        <v>98</v>
      </c>
      <c r="BC1507">
        <v>1986</v>
      </c>
      <c r="BD1507" t="s">
        <v>90</v>
      </c>
    </row>
    <row r="1508" spans="1:56" x14ac:dyDescent="0.35">
      <c r="A1508">
        <v>122145</v>
      </c>
      <c r="B1508" t="s">
        <v>1199</v>
      </c>
      <c r="E1508">
        <v>95</v>
      </c>
      <c r="F1508" t="s">
        <v>58</v>
      </c>
      <c r="G1508" t="s">
        <v>59</v>
      </c>
      <c r="H1508" t="s">
        <v>60</v>
      </c>
      <c r="J1508" t="s">
        <v>86</v>
      </c>
      <c r="L1508" t="s">
        <v>62</v>
      </c>
      <c r="M1508" t="s">
        <v>63</v>
      </c>
      <c r="N1508" t="s">
        <v>64</v>
      </c>
      <c r="P1508" t="s">
        <v>65</v>
      </c>
      <c r="R1508">
        <v>4.3</v>
      </c>
      <c r="T1508">
        <v>2.7</v>
      </c>
      <c r="V1508">
        <v>6.7</v>
      </c>
      <c r="W1508" t="s">
        <v>66</v>
      </c>
      <c r="X1508" t="s">
        <v>67</v>
      </c>
      <c r="Y1508" t="s">
        <v>67</v>
      </c>
      <c r="Z1508" t="s">
        <v>68</v>
      </c>
      <c r="AB1508">
        <v>4</v>
      </c>
      <c r="AC1508" t="s">
        <v>61</v>
      </c>
      <c r="AJ1508" t="s">
        <v>69</v>
      </c>
      <c r="AY1508" t="s">
        <v>96</v>
      </c>
      <c r="AZ1508">
        <v>6797</v>
      </c>
      <c r="BA1508" t="s">
        <v>97</v>
      </c>
      <c r="BB1508" t="s">
        <v>98</v>
      </c>
      <c r="BC1508">
        <v>1986</v>
      </c>
      <c r="BD1508" t="s">
        <v>90</v>
      </c>
    </row>
    <row r="1509" spans="1:56" x14ac:dyDescent="0.35">
      <c r="A1509">
        <v>122349</v>
      </c>
      <c r="B1509" t="s">
        <v>1200</v>
      </c>
      <c r="E1509">
        <v>80</v>
      </c>
      <c r="F1509" t="s">
        <v>58</v>
      </c>
      <c r="G1509" t="s">
        <v>59</v>
      </c>
      <c r="H1509" t="s">
        <v>60</v>
      </c>
      <c r="J1509" t="s">
        <v>86</v>
      </c>
      <c r="L1509" t="s">
        <v>62</v>
      </c>
      <c r="M1509" t="s">
        <v>63</v>
      </c>
      <c r="N1509" t="s">
        <v>64</v>
      </c>
      <c r="P1509" t="s">
        <v>65</v>
      </c>
      <c r="R1509">
        <v>510</v>
      </c>
      <c r="T1509">
        <v>373</v>
      </c>
      <c r="V1509">
        <v>698</v>
      </c>
      <c r="W1509" t="s">
        <v>66</v>
      </c>
      <c r="X1509" t="s">
        <v>67</v>
      </c>
      <c r="Y1509" t="s">
        <v>67</v>
      </c>
      <c r="Z1509" t="s">
        <v>68</v>
      </c>
      <c r="AB1509">
        <v>4</v>
      </c>
      <c r="AC1509" t="s">
        <v>61</v>
      </c>
      <c r="AJ1509" t="s">
        <v>69</v>
      </c>
      <c r="AY1509" t="s">
        <v>96</v>
      </c>
      <c r="AZ1509">
        <v>6797</v>
      </c>
      <c r="BA1509" t="s">
        <v>97</v>
      </c>
      <c r="BB1509" t="s">
        <v>98</v>
      </c>
      <c r="BC1509">
        <v>1986</v>
      </c>
      <c r="BD1509" t="s">
        <v>90</v>
      </c>
    </row>
    <row r="1510" spans="1:56" x14ac:dyDescent="0.35">
      <c r="A1510">
        <v>122349</v>
      </c>
      <c r="B1510" t="s">
        <v>1200</v>
      </c>
      <c r="E1510">
        <v>4</v>
      </c>
      <c r="F1510" t="s">
        <v>58</v>
      </c>
      <c r="G1510" t="s">
        <v>59</v>
      </c>
      <c r="H1510" t="s">
        <v>60</v>
      </c>
      <c r="J1510" t="s">
        <v>86</v>
      </c>
      <c r="L1510" t="s">
        <v>62</v>
      </c>
      <c r="M1510" t="s">
        <v>63</v>
      </c>
      <c r="N1510" t="s">
        <v>64</v>
      </c>
      <c r="P1510" t="s">
        <v>65</v>
      </c>
      <c r="R1510">
        <v>5</v>
      </c>
      <c r="T1510">
        <v>3.5</v>
      </c>
      <c r="V1510">
        <v>7.15</v>
      </c>
      <c r="W1510" t="s">
        <v>66</v>
      </c>
      <c r="X1510" t="s">
        <v>67</v>
      </c>
      <c r="Y1510" t="s">
        <v>67</v>
      </c>
      <c r="Z1510" t="s">
        <v>68</v>
      </c>
      <c r="AB1510">
        <v>4</v>
      </c>
      <c r="AC1510" t="s">
        <v>61</v>
      </c>
      <c r="AJ1510" t="s">
        <v>69</v>
      </c>
      <c r="AY1510" t="s">
        <v>96</v>
      </c>
      <c r="AZ1510">
        <v>6797</v>
      </c>
      <c r="BA1510" t="s">
        <v>97</v>
      </c>
      <c r="BB1510" t="s">
        <v>98</v>
      </c>
      <c r="BC1510">
        <v>1986</v>
      </c>
      <c r="BD1510" t="s">
        <v>90</v>
      </c>
    </row>
    <row r="1511" spans="1:56" x14ac:dyDescent="0.35">
      <c r="A1511">
        <v>122349</v>
      </c>
      <c r="B1511" t="s">
        <v>1200</v>
      </c>
      <c r="E1511">
        <v>98.1</v>
      </c>
      <c r="F1511" t="s">
        <v>58</v>
      </c>
      <c r="G1511" t="s">
        <v>59</v>
      </c>
      <c r="H1511" t="s">
        <v>60</v>
      </c>
      <c r="J1511" t="s">
        <v>86</v>
      </c>
      <c r="L1511" t="s">
        <v>62</v>
      </c>
      <c r="M1511" t="s">
        <v>63</v>
      </c>
      <c r="N1511" t="s">
        <v>64</v>
      </c>
      <c r="P1511" t="s">
        <v>65</v>
      </c>
      <c r="Q1511" t="s">
        <v>153</v>
      </c>
      <c r="R1511">
        <v>10</v>
      </c>
      <c r="W1511" t="s">
        <v>66</v>
      </c>
      <c r="X1511" t="s">
        <v>67</v>
      </c>
      <c r="Y1511" t="s">
        <v>67</v>
      </c>
      <c r="Z1511" t="s">
        <v>68</v>
      </c>
      <c r="AB1511">
        <v>4</v>
      </c>
      <c r="AC1511" t="s">
        <v>61</v>
      </c>
      <c r="AJ1511" t="s">
        <v>69</v>
      </c>
      <c r="AY1511" t="s">
        <v>96</v>
      </c>
      <c r="AZ1511">
        <v>6797</v>
      </c>
      <c r="BA1511" t="s">
        <v>97</v>
      </c>
      <c r="BB1511" t="s">
        <v>98</v>
      </c>
      <c r="BC1511">
        <v>1986</v>
      </c>
      <c r="BD1511" t="s">
        <v>90</v>
      </c>
    </row>
    <row r="1512" spans="1:56" x14ac:dyDescent="0.35">
      <c r="A1512">
        <v>122349</v>
      </c>
      <c r="B1512" t="s">
        <v>1200</v>
      </c>
      <c r="C1512" t="s">
        <v>91</v>
      </c>
      <c r="E1512" t="s">
        <v>86</v>
      </c>
      <c r="F1512" t="s">
        <v>58</v>
      </c>
      <c r="G1512" t="s">
        <v>59</v>
      </c>
      <c r="H1512" t="s">
        <v>60</v>
      </c>
      <c r="J1512" t="s">
        <v>86</v>
      </c>
      <c r="L1512" t="s">
        <v>62</v>
      </c>
      <c r="M1512" t="s">
        <v>63</v>
      </c>
      <c r="N1512" t="s">
        <v>64</v>
      </c>
      <c r="P1512" t="s">
        <v>65</v>
      </c>
      <c r="R1512">
        <v>6.4</v>
      </c>
      <c r="T1512">
        <v>4.8</v>
      </c>
      <c r="V1512">
        <v>8.6999999999999993</v>
      </c>
      <c r="W1512" t="s">
        <v>66</v>
      </c>
      <c r="X1512" t="s">
        <v>67</v>
      </c>
      <c r="Y1512" t="s">
        <v>67</v>
      </c>
      <c r="Z1512" t="s">
        <v>68</v>
      </c>
      <c r="AB1512">
        <v>4</v>
      </c>
      <c r="AC1512" t="s">
        <v>61</v>
      </c>
      <c r="AJ1512" t="s">
        <v>69</v>
      </c>
      <c r="AY1512" t="s">
        <v>116</v>
      </c>
      <c r="AZ1512">
        <v>344</v>
      </c>
      <c r="BA1512" t="s">
        <v>117</v>
      </c>
      <c r="BB1512" t="s">
        <v>118</v>
      </c>
      <c r="BC1512">
        <v>1992</v>
      </c>
      <c r="BD1512" t="s">
        <v>90</v>
      </c>
    </row>
    <row r="1513" spans="1:56" x14ac:dyDescent="0.35">
      <c r="A1513">
        <v>122394</v>
      </c>
      <c r="B1513" t="s">
        <v>1201</v>
      </c>
      <c r="D1513" t="s">
        <v>57</v>
      </c>
      <c r="E1513" t="s">
        <v>79</v>
      </c>
      <c r="F1513" t="s">
        <v>58</v>
      </c>
      <c r="G1513" t="s">
        <v>59</v>
      </c>
      <c r="H1513" t="s">
        <v>60</v>
      </c>
      <c r="J1513">
        <v>31</v>
      </c>
      <c r="K1513" t="s">
        <v>61</v>
      </c>
      <c r="L1513" t="s">
        <v>74</v>
      </c>
      <c r="M1513" t="s">
        <v>63</v>
      </c>
      <c r="N1513" t="s">
        <v>64</v>
      </c>
      <c r="P1513" t="s">
        <v>65</v>
      </c>
      <c r="R1513">
        <v>3.79</v>
      </c>
      <c r="T1513">
        <v>3.47</v>
      </c>
      <c r="V1513">
        <v>4.1399999999999997</v>
      </c>
      <c r="W1513" t="s">
        <v>66</v>
      </c>
      <c r="X1513" t="s">
        <v>67</v>
      </c>
      <c r="Y1513" t="s">
        <v>67</v>
      </c>
      <c r="Z1513" t="s">
        <v>68</v>
      </c>
      <c r="AB1513">
        <v>4</v>
      </c>
      <c r="AC1513" t="s">
        <v>61</v>
      </c>
      <c r="AJ1513" t="s">
        <v>69</v>
      </c>
      <c r="AY1513" t="s">
        <v>75</v>
      </c>
      <c r="AZ1513">
        <v>3217</v>
      </c>
      <c r="BA1513" t="s">
        <v>76</v>
      </c>
      <c r="BB1513" t="s">
        <v>77</v>
      </c>
      <c r="BC1513">
        <v>1990</v>
      </c>
      <c r="BD1513" t="s">
        <v>73</v>
      </c>
    </row>
    <row r="1514" spans="1:56" x14ac:dyDescent="0.35">
      <c r="A1514">
        <v>122996</v>
      </c>
      <c r="B1514" t="s">
        <v>1202</v>
      </c>
      <c r="D1514" t="s">
        <v>57</v>
      </c>
      <c r="E1514">
        <v>95</v>
      </c>
      <c r="F1514" t="s">
        <v>58</v>
      </c>
      <c r="G1514" t="s">
        <v>59</v>
      </c>
      <c r="H1514" t="s">
        <v>60</v>
      </c>
      <c r="J1514">
        <v>32</v>
      </c>
      <c r="K1514" t="s">
        <v>61</v>
      </c>
      <c r="L1514" t="s">
        <v>74</v>
      </c>
      <c r="M1514" t="s">
        <v>63</v>
      </c>
      <c r="N1514" t="s">
        <v>64</v>
      </c>
      <c r="P1514" t="s">
        <v>65</v>
      </c>
      <c r="R1514">
        <v>344</v>
      </c>
      <c r="T1514">
        <v>337</v>
      </c>
      <c r="V1514">
        <v>352</v>
      </c>
      <c r="W1514" t="s">
        <v>66</v>
      </c>
      <c r="X1514" t="s">
        <v>67</v>
      </c>
      <c r="Y1514" t="s">
        <v>67</v>
      </c>
      <c r="Z1514" t="s">
        <v>68</v>
      </c>
      <c r="AB1514">
        <v>4</v>
      </c>
      <c r="AC1514" t="s">
        <v>61</v>
      </c>
      <c r="AJ1514" t="s">
        <v>69</v>
      </c>
      <c r="AY1514" t="s">
        <v>286</v>
      </c>
      <c r="AZ1514">
        <v>12448</v>
      </c>
      <c r="BA1514" t="s">
        <v>287</v>
      </c>
      <c r="BB1514" t="s">
        <v>288</v>
      </c>
      <c r="BC1514">
        <v>1984</v>
      </c>
      <c r="BD1514" t="s">
        <v>73</v>
      </c>
    </row>
    <row r="1515" spans="1:56" x14ac:dyDescent="0.35">
      <c r="A1515">
        <v>123057</v>
      </c>
      <c r="B1515" t="s">
        <v>1203</v>
      </c>
      <c r="D1515" t="s">
        <v>85</v>
      </c>
      <c r="E1515" t="s">
        <v>86</v>
      </c>
      <c r="F1515" t="s">
        <v>58</v>
      </c>
      <c r="G1515" t="s">
        <v>59</v>
      </c>
      <c r="H1515" t="s">
        <v>60</v>
      </c>
      <c r="J1515" t="s">
        <v>86</v>
      </c>
      <c r="L1515" t="s">
        <v>62</v>
      </c>
      <c r="M1515" t="s">
        <v>63</v>
      </c>
      <c r="N1515" t="s">
        <v>64</v>
      </c>
      <c r="P1515" t="s">
        <v>100</v>
      </c>
      <c r="R1515">
        <v>4.2</v>
      </c>
      <c r="W1515" t="s">
        <v>66</v>
      </c>
      <c r="X1515" t="s">
        <v>67</v>
      </c>
      <c r="Y1515" t="s">
        <v>67</v>
      </c>
      <c r="Z1515" t="s">
        <v>68</v>
      </c>
      <c r="AB1515">
        <v>4</v>
      </c>
      <c r="AC1515" t="s">
        <v>61</v>
      </c>
      <c r="AJ1515" t="s">
        <v>69</v>
      </c>
      <c r="AY1515" t="s">
        <v>1075</v>
      </c>
      <c r="AZ1515">
        <v>177942</v>
      </c>
      <c r="BA1515" t="s">
        <v>1076</v>
      </c>
      <c r="BB1515" t="s">
        <v>1077</v>
      </c>
      <c r="BC1515">
        <v>1993</v>
      </c>
      <c r="BD1515" t="s">
        <v>90</v>
      </c>
    </row>
    <row r="1516" spans="1:56" x14ac:dyDescent="0.35">
      <c r="A1516">
        <v>123079</v>
      </c>
      <c r="B1516" t="s">
        <v>1204</v>
      </c>
      <c r="D1516" t="s">
        <v>57</v>
      </c>
      <c r="E1516">
        <v>99</v>
      </c>
      <c r="F1516" t="s">
        <v>58</v>
      </c>
      <c r="G1516" t="s">
        <v>59</v>
      </c>
      <c r="H1516" t="s">
        <v>60</v>
      </c>
      <c r="J1516">
        <v>32</v>
      </c>
      <c r="K1516" t="s">
        <v>61</v>
      </c>
      <c r="L1516" t="s">
        <v>74</v>
      </c>
      <c r="M1516" t="s">
        <v>63</v>
      </c>
      <c r="N1516" t="s">
        <v>64</v>
      </c>
      <c r="P1516" t="s">
        <v>65</v>
      </c>
      <c r="R1516">
        <v>10.4</v>
      </c>
      <c r="W1516" t="s">
        <v>66</v>
      </c>
      <c r="X1516" t="s">
        <v>67</v>
      </c>
      <c r="Y1516" t="s">
        <v>67</v>
      </c>
      <c r="Z1516" t="s">
        <v>68</v>
      </c>
      <c r="AB1516">
        <v>4</v>
      </c>
      <c r="AC1516" t="s">
        <v>61</v>
      </c>
      <c r="AJ1516" t="s">
        <v>69</v>
      </c>
      <c r="AY1516" t="s">
        <v>263</v>
      </c>
      <c r="AZ1516">
        <v>12858</v>
      </c>
      <c r="BA1516" t="s">
        <v>264</v>
      </c>
      <c r="BB1516" t="s">
        <v>265</v>
      </c>
      <c r="BC1516">
        <v>1986</v>
      </c>
      <c r="BD1516" t="s">
        <v>73</v>
      </c>
    </row>
    <row r="1517" spans="1:56" x14ac:dyDescent="0.35">
      <c r="A1517">
        <v>123079</v>
      </c>
      <c r="B1517" t="s">
        <v>1204</v>
      </c>
      <c r="D1517" t="s">
        <v>57</v>
      </c>
      <c r="E1517" t="s">
        <v>128</v>
      </c>
      <c r="F1517" t="s">
        <v>58</v>
      </c>
      <c r="G1517" t="s">
        <v>59</v>
      </c>
      <c r="H1517" t="s">
        <v>60</v>
      </c>
      <c r="I1517" t="s">
        <v>129</v>
      </c>
      <c r="J1517" t="s">
        <v>86</v>
      </c>
      <c r="K1517" t="s">
        <v>61</v>
      </c>
      <c r="L1517" t="s">
        <v>74</v>
      </c>
      <c r="M1517" t="s">
        <v>63</v>
      </c>
      <c r="N1517" t="s">
        <v>64</v>
      </c>
      <c r="P1517" t="s">
        <v>65</v>
      </c>
      <c r="R1517">
        <v>10.4</v>
      </c>
      <c r="W1517" t="s">
        <v>66</v>
      </c>
      <c r="X1517" t="s">
        <v>67</v>
      </c>
      <c r="Y1517" t="s">
        <v>67</v>
      </c>
      <c r="Z1517" t="s">
        <v>68</v>
      </c>
      <c r="AB1517">
        <v>4</v>
      </c>
      <c r="AC1517" t="s">
        <v>61</v>
      </c>
      <c r="AJ1517" t="s">
        <v>69</v>
      </c>
      <c r="AY1517" t="s">
        <v>134</v>
      </c>
      <c r="AZ1517">
        <v>15031</v>
      </c>
      <c r="BA1517" t="s">
        <v>135</v>
      </c>
      <c r="BB1517" t="s">
        <v>136</v>
      </c>
      <c r="BC1517">
        <v>1995</v>
      </c>
      <c r="BD1517" t="s">
        <v>133</v>
      </c>
    </row>
    <row r="1518" spans="1:56" x14ac:dyDescent="0.35">
      <c r="A1518">
        <v>123159</v>
      </c>
      <c r="B1518" t="s">
        <v>1205</v>
      </c>
      <c r="D1518" t="s">
        <v>57</v>
      </c>
      <c r="E1518">
        <v>98</v>
      </c>
      <c r="F1518" t="s">
        <v>58</v>
      </c>
      <c r="G1518" t="s">
        <v>59</v>
      </c>
      <c r="H1518" t="s">
        <v>60</v>
      </c>
      <c r="J1518">
        <v>31</v>
      </c>
      <c r="K1518" t="s">
        <v>61</v>
      </c>
      <c r="L1518" t="s">
        <v>74</v>
      </c>
      <c r="M1518" t="s">
        <v>63</v>
      </c>
      <c r="N1518" t="s">
        <v>64</v>
      </c>
      <c r="P1518" t="s">
        <v>65</v>
      </c>
      <c r="R1518">
        <v>18.8</v>
      </c>
      <c r="T1518">
        <v>17.8</v>
      </c>
      <c r="V1518">
        <v>19.8</v>
      </c>
      <c r="W1518" t="s">
        <v>66</v>
      </c>
      <c r="X1518" t="s">
        <v>67</v>
      </c>
      <c r="Y1518" t="s">
        <v>67</v>
      </c>
      <c r="Z1518" t="s">
        <v>68</v>
      </c>
      <c r="AB1518">
        <v>4</v>
      </c>
      <c r="AC1518" t="s">
        <v>61</v>
      </c>
      <c r="AJ1518" t="s">
        <v>69</v>
      </c>
      <c r="AY1518" t="s">
        <v>141</v>
      </c>
      <c r="AZ1518">
        <v>12447</v>
      </c>
      <c r="BA1518" t="s">
        <v>142</v>
      </c>
      <c r="BB1518" t="s">
        <v>143</v>
      </c>
      <c r="BC1518">
        <v>1985</v>
      </c>
      <c r="BD1518" t="s">
        <v>73</v>
      </c>
    </row>
    <row r="1519" spans="1:56" x14ac:dyDescent="0.35">
      <c r="A1519">
        <v>123251</v>
      </c>
      <c r="B1519" t="s">
        <v>1206</v>
      </c>
      <c r="D1519" t="s">
        <v>85</v>
      </c>
      <c r="E1519" t="s">
        <v>86</v>
      </c>
      <c r="F1519" t="s">
        <v>58</v>
      </c>
      <c r="G1519" t="s">
        <v>59</v>
      </c>
      <c r="H1519" t="s">
        <v>60</v>
      </c>
      <c r="J1519" t="s">
        <v>86</v>
      </c>
      <c r="L1519" t="s">
        <v>62</v>
      </c>
      <c r="M1519" t="s">
        <v>63</v>
      </c>
      <c r="N1519" t="s">
        <v>64</v>
      </c>
      <c r="P1519" t="s">
        <v>100</v>
      </c>
      <c r="R1519">
        <v>140</v>
      </c>
      <c r="W1519" t="s">
        <v>66</v>
      </c>
      <c r="X1519" t="s">
        <v>67</v>
      </c>
      <c r="Y1519" t="s">
        <v>67</v>
      </c>
      <c r="Z1519" t="s">
        <v>68</v>
      </c>
      <c r="AB1519">
        <v>4</v>
      </c>
      <c r="AC1519" t="s">
        <v>61</v>
      </c>
      <c r="AJ1519" t="s">
        <v>69</v>
      </c>
      <c r="AY1519" t="s">
        <v>412</v>
      </c>
      <c r="AZ1519">
        <v>901</v>
      </c>
      <c r="BA1519" t="s">
        <v>413</v>
      </c>
      <c r="BB1519" t="s">
        <v>414</v>
      </c>
      <c r="BC1519">
        <v>1969</v>
      </c>
      <c r="BD1519" t="s">
        <v>90</v>
      </c>
    </row>
    <row r="1520" spans="1:56" x14ac:dyDescent="0.35">
      <c r="A1520">
        <v>123319</v>
      </c>
      <c r="B1520" t="s">
        <v>1207</v>
      </c>
      <c r="D1520" t="s">
        <v>85</v>
      </c>
      <c r="E1520" t="s">
        <v>86</v>
      </c>
      <c r="F1520" t="s">
        <v>58</v>
      </c>
      <c r="G1520" t="s">
        <v>59</v>
      </c>
      <c r="H1520" t="s">
        <v>60</v>
      </c>
      <c r="I1520" t="s">
        <v>188</v>
      </c>
      <c r="J1520" t="s">
        <v>289</v>
      </c>
      <c r="K1520" t="s">
        <v>495</v>
      </c>
      <c r="M1520" t="s">
        <v>63</v>
      </c>
      <c r="N1520" t="s">
        <v>64</v>
      </c>
      <c r="P1520" t="s">
        <v>100</v>
      </c>
      <c r="R1520">
        <v>0.06</v>
      </c>
      <c r="W1520" t="s">
        <v>66</v>
      </c>
      <c r="X1520" t="s">
        <v>67</v>
      </c>
      <c r="Y1520" t="s">
        <v>67</v>
      </c>
      <c r="Z1520" t="s">
        <v>68</v>
      </c>
      <c r="AB1520">
        <v>4</v>
      </c>
      <c r="AC1520" t="s">
        <v>61</v>
      </c>
      <c r="AJ1520" t="s">
        <v>69</v>
      </c>
      <c r="AY1520" t="s">
        <v>496</v>
      </c>
      <c r="AZ1520">
        <v>177136</v>
      </c>
      <c r="BA1520" t="s">
        <v>497</v>
      </c>
      <c r="BB1520" t="s">
        <v>498</v>
      </c>
      <c r="BC1520">
        <v>2017</v>
      </c>
      <c r="BD1520" t="s">
        <v>499</v>
      </c>
    </row>
    <row r="1521" spans="1:56" x14ac:dyDescent="0.35">
      <c r="A1521">
        <v>123319</v>
      </c>
      <c r="B1521" t="s">
        <v>1207</v>
      </c>
      <c r="D1521" t="s">
        <v>85</v>
      </c>
      <c r="E1521" t="s">
        <v>86</v>
      </c>
      <c r="F1521" t="s">
        <v>58</v>
      </c>
      <c r="G1521" t="s">
        <v>59</v>
      </c>
      <c r="H1521" t="s">
        <v>60</v>
      </c>
      <c r="J1521" t="s">
        <v>86</v>
      </c>
      <c r="L1521" t="s">
        <v>62</v>
      </c>
      <c r="M1521" t="s">
        <v>63</v>
      </c>
      <c r="N1521" t="s">
        <v>64</v>
      </c>
      <c r="O1521">
        <v>6</v>
      </c>
      <c r="P1521" t="s">
        <v>100</v>
      </c>
      <c r="Q1521" t="s">
        <v>153</v>
      </c>
      <c r="R1521">
        <v>0.13</v>
      </c>
      <c r="W1521" t="s">
        <v>66</v>
      </c>
      <c r="X1521" t="s">
        <v>67</v>
      </c>
      <c r="Y1521" t="s">
        <v>67</v>
      </c>
      <c r="Z1521" t="s">
        <v>68</v>
      </c>
      <c r="AB1521">
        <v>4</v>
      </c>
      <c r="AC1521" t="s">
        <v>61</v>
      </c>
      <c r="AJ1521" t="s">
        <v>69</v>
      </c>
      <c r="AY1521" t="s">
        <v>173</v>
      </c>
      <c r="AZ1521">
        <v>167113</v>
      </c>
      <c r="BA1521" t="s">
        <v>174</v>
      </c>
      <c r="BB1521" t="s">
        <v>175</v>
      </c>
      <c r="BC1521">
        <v>1974</v>
      </c>
      <c r="BD1521" t="s">
        <v>90</v>
      </c>
    </row>
    <row r="1522" spans="1:56" x14ac:dyDescent="0.35">
      <c r="A1522">
        <v>123319</v>
      </c>
      <c r="B1522" t="s">
        <v>1207</v>
      </c>
      <c r="D1522" t="s">
        <v>85</v>
      </c>
      <c r="E1522" t="s">
        <v>86</v>
      </c>
      <c r="F1522" t="s">
        <v>58</v>
      </c>
      <c r="G1522" t="s">
        <v>59</v>
      </c>
      <c r="H1522" t="s">
        <v>60</v>
      </c>
      <c r="J1522" t="s">
        <v>86</v>
      </c>
      <c r="L1522" t="s">
        <v>62</v>
      </c>
      <c r="M1522" t="s">
        <v>63</v>
      </c>
      <c r="N1522" t="s">
        <v>64</v>
      </c>
      <c r="O1522">
        <v>8</v>
      </c>
      <c r="P1522" t="s">
        <v>100</v>
      </c>
      <c r="T1522">
        <v>0.1</v>
      </c>
      <c r="V1522">
        <v>0.18</v>
      </c>
      <c r="W1522" t="s">
        <v>66</v>
      </c>
      <c r="X1522" t="s">
        <v>67</v>
      </c>
      <c r="Y1522" t="s">
        <v>67</v>
      </c>
      <c r="Z1522" t="s">
        <v>68</v>
      </c>
      <c r="AB1522">
        <v>4</v>
      </c>
      <c r="AC1522" t="s">
        <v>61</v>
      </c>
      <c r="AJ1522" t="s">
        <v>69</v>
      </c>
      <c r="AY1522" t="s">
        <v>173</v>
      </c>
      <c r="AZ1522">
        <v>167113</v>
      </c>
      <c r="BA1522" t="s">
        <v>174</v>
      </c>
      <c r="BB1522" t="s">
        <v>175</v>
      </c>
      <c r="BC1522">
        <v>1974</v>
      </c>
      <c r="BD1522" t="s">
        <v>90</v>
      </c>
    </row>
    <row r="1523" spans="1:56" x14ac:dyDescent="0.35">
      <c r="A1523">
        <v>123319</v>
      </c>
      <c r="B1523" t="s">
        <v>1207</v>
      </c>
      <c r="D1523" t="s">
        <v>85</v>
      </c>
      <c r="E1523" t="s">
        <v>86</v>
      </c>
      <c r="F1523" t="s">
        <v>58</v>
      </c>
      <c r="G1523" t="s">
        <v>59</v>
      </c>
      <c r="H1523" t="s">
        <v>60</v>
      </c>
      <c r="J1523" t="s">
        <v>86</v>
      </c>
      <c r="L1523" t="s">
        <v>62</v>
      </c>
      <c r="M1523" t="s">
        <v>63</v>
      </c>
      <c r="N1523" t="s">
        <v>64</v>
      </c>
      <c r="O1523">
        <v>6</v>
      </c>
      <c r="P1523" t="s">
        <v>100</v>
      </c>
      <c r="Q1523" t="s">
        <v>435</v>
      </c>
      <c r="R1523">
        <v>0.1</v>
      </c>
      <c r="W1523" t="s">
        <v>66</v>
      </c>
      <c r="X1523" t="s">
        <v>67</v>
      </c>
      <c r="Y1523" t="s">
        <v>67</v>
      </c>
      <c r="Z1523" t="s">
        <v>68</v>
      </c>
      <c r="AB1523">
        <v>4</v>
      </c>
      <c r="AC1523" t="s">
        <v>61</v>
      </c>
      <c r="AJ1523" t="s">
        <v>69</v>
      </c>
      <c r="AY1523" t="s">
        <v>173</v>
      </c>
      <c r="AZ1523">
        <v>167113</v>
      </c>
      <c r="BA1523" t="s">
        <v>174</v>
      </c>
      <c r="BB1523" t="s">
        <v>175</v>
      </c>
      <c r="BC1523">
        <v>1974</v>
      </c>
      <c r="BD1523" t="s">
        <v>90</v>
      </c>
    </row>
    <row r="1524" spans="1:56" x14ac:dyDescent="0.35">
      <c r="A1524">
        <v>123331</v>
      </c>
      <c r="B1524" t="s">
        <v>1208</v>
      </c>
      <c r="D1524" t="s">
        <v>85</v>
      </c>
      <c r="E1524" t="s">
        <v>86</v>
      </c>
      <c r="F1524" t="s">
        <v>58</v>
      </c>
      <c r="G1524" t="s">
        <v>59</v>
      </c>
      <c r="H1524" t="s">
        <v>60</v>
      </c>
      <c r="J1524" t="s">
        <v>86</v>
      </c>
      <c r="M1524" t="s">
        <v>63</v>
      </c>
      <c r="N1524" t="s">
        <v>64</v>
      </c>
      <c r="P1524" t="s">
        <v>100</v>
      </c>
      <c r="Q1524" t="s">
        <v>153</v>
      </c>
      <c r="R1524">
        <v>10</v>
      </c>
      <c r="W1524" t="s">
        <v>66</v>
      </c>
      <c r="X1524" t="s">
        <v>67</v>
      </c>
      <c r="Y1524" t="s">
        <v>67</v>
      </c>
      <c r="Z1524" t="s">
        <v>68</v>
      </c>
      <c r="AB1524">
        <v>4</v>
      </c>
      <c r="AC1524" t="s">
        <v>61</v>
      </c>
      <c r="AJ1524" t="s">
        <v>69</v>
      </c>
      <c r="AY1524" t="s">
        <v>101</v>
      </c>
      <c r="AZ1524">
        <v>70421</v>
      </c>
      <c r="BA1524" t="s">
        <v>102</v>
      </c>
      <c r="BB1524" t="s">
        <v>103</v>
      </c>
      <c r="BC1524">
        <v>1974</v>
      </c>
      <c r="BD1524" t="s">
        <v>90</v>
      </c>
    </row>
    <row r="1525" spans="1:56" x14ac:dyDescent="0.35">
      <c r="A1525">
        <v>123546</v>
      </c>
      <c r="B1525" t="s">
        <v>1209</v>
      </c>
      <c r="D1525" t="s">
        <v>57</v>
      </c>
      <c r="E1525" t="s">
        <v>79</v>
      </c>
      <c r="F1525" t="s">
        <v>58</v>
      </c>
      <c r="G1525" t="s">
        <v>59</v>
      </c>
      <c r="H1525" t="s">
        <v>60</v>
      </c>
      <c r="J1525">
        <v>60</v>
      </c>
      <c r="K1525" t="s">
        <v>61</v>
      </c>
      <c r="L1525" t="s">
        <v>74</v>
      </c>
      <c r="M1525" t="s">
        <v>63</v>
      </c>
      <c r="N1525" t="s">
        <v>64</v>
      </c>
      <c r="P1525" t="s">
        <v>65</v>
      </c>
      <c r="R1525">
        <v>175</v>
      </c>
      <c r="W1525" t="s">
        <v>66</v>
      </c>
      <c r="X1525" t="s">
        <v>67</v>
      </c>
      <c r="Y1525" t="s">
        <v>67</v>
      </c>
      <c r="Z1525" t="s">
        <v>68</v>
      </c>
      <c r="AB1525">
        <v>4</v>
      </c>
      <c r="AC1525" t="s">
        <v>61</v>
      </c>
      <c r="AJ1525" t="s">
        <v>69</v>
      </c>
      <c r="AY1525" t="s">
        <v>141</v>
      </c>
      <c r="AZ1525">
        <v>12447</v>
      </c>
      <c r="BA1525" t="s">
        <v>142</v>
      </c>
      <c r="BB1525" t="s">
        <v>143</v>
      </c>
      <c r="BC1525">
        <v>1985</v>
      </c>
      <c r="BD1525" t="s">
        <v>73</v>
      </c>
    </row>
    <row r="1526" spans="1:56" x14ac:dyDescent="0.35">
      <c r="A1526">
        <v>123546</v>
      </c>
      <c r="B1526" t="s">
        <v>1209</v>
      </c>
      <c r="D1526" t="s">
        <v>57</v>
      </c>
      <c r="E1526" t="s">
        <v>86</v>
      </c>
      <c r="F1526" t="s">
        <v>58</v>
      </c>
      <c r="G1526" t="s">
        <v>59</v>
      </c>
      <c r="H1526" t="s">
        <v>60</v>
      </c>
      <c r="J1526" t="s">
        <v>86</v>
      </c>
      <c r="L1526" t="s">
        <v>74</v>
      </c>
      <c r="M1526" t="s">
        <v>63</v>
      </c>
      <c r="N1526" t="s">
        <v>64</v>
      </c>
      <c r="P1526" t="s">
        <v>65</v>
      </c>
      <c r="R1526">
        <v>155</v>
      </c>
      <c r="T1526">
        <v>111</v>
      </c>
      <c r="V1526">
        <v>217</v>
      </c>
      <c r="W1526" t="s">
        <v>66</v>
      </c>
      <c r="X1526" t="s">
        <v>67</v>
      </c>
      <c r="Y1526" t="s">
        <v>67</v>
      </c>
      <c r="Z1526" t="s">
        <v>68</v>
      </c>
      <c r="AB1526">
        <v>4</v>
      </c>
      <c r="AC1526" t="s">
        <v>61</v>
      </c>
      <c r="AJ1526" t="s">
        <v>69</v>
      </c>
      <c r="AY1526" t="s">
        <v>325</v>
      </c>
      <c r="AZ1526">
        <v>10775</v>
      </c>
      <c r="BA1526" t="s">
        <v>326</v>
      </c>
      <c r="BB1526" t="s">
        <v>327</v>
      </c>
      <c r="BC1526">
        <v>1985</v>
      </c>
      <c r="BD1526" t="s">
        <v>90</v>
      </c>
    </row>
    <row r="1527" spans="1:56" x14ac:dyDescent="0.35">
      <c r="A1527">
        <v>123546</v>
      </c>
      <c r="B1527" t="s">
        <v>1209</v>
      </c>
      <c r="D1527" t="s">
        <v>57</v>
      </c>
      <c r="E1527" t="s">
        <v>79</v>
      </c>
      <c r="F1527" t="s">
        <v>58</v>
      </c>
      <c r="G1527" t="s">
        <v>59</v>
      </c>
      <c r="H1527" t="s">
        <v>60</v>
      </c>
      <c r="J1527" t="s">
        <v>86</v>
      </c>
      <c r="L1527" t="s">
        <v>74</v>
      </c>
      <c r="M1527" t="s">
        <v>63</v>
      </c>
      <c r="N1527" t="s">
        <v>64</v>
      </c>
      <c r="P1527" t="s">
        <v>65</v>
      </c>
      <c r="R1527">
        <v>143</v>
      </c>
      <c r="T1527">
        <v>131</v>
      </c>
      <c r="V1527">
        <v>157</v>
      </c>
      <c r="W1527" t="s">
        <v>66</v>
      </c>
      <c r="X1527" t="s">
        <v>67</v>
      </c>
      <c r="Y1527" t="s">
        <v>67</v>
      </c>
      <c r="Z1527" t="s">
        <v>68</v>
      </c>
      <c r="AB1527">
        <v>4</v>
      </c>
      <c r="AC1527" t="s">
        <v>61</v>
      </c>
      <c r="AJ1527" t="s">
        <v>69</v>
      </c>
      <c r="AY1527" t="s">
        <v>401</v>
      </c>
      <c r="AZ1527">
        <v>12004</v>
      </c>
      <c r="BA1527" t="s">
        <v>402</v>
      </c>
      <c r="BB1527" t="s">
        <v>403</v>
      </c>
      <c r="BC1527">
        <v>1985</v>
      </c>
      <c r="BD1527" t="s">
        <v>90</v>
      </c>
    </row>
    <row r="1528" spans="1:56" x14ac:dyDescent="0.35">
      <c r="A1528">
        <v>123546</v>
      </c>
      <c r="B1528" t="s">
        <v>1209</v>
      </c>
      <c r="D1528" t="s">
        <v>57</v>
      </c>
      <c r="E1528" t="s">
        <v>128</v>
      </c>
      <c r="F1528" t="s">
        <v>58</v>
      </c>
      <c r="G1528" t="s">
        <v>59</v>
      </c>
      <c r="H1528" t="s">
        <v>60</v>
      </c>
      <c r="I1528" t="s">
        <v>129</v>
      </c>
      <c r="J1528" t="s">
        <v>86</v>
      </c>
      <c r="K1528" t="s">
        <v>61</v>
      </c>
      <c r="L1528" t="s">
        <v>74</v>
      </c>
      <c r="M1528" t="s">
        <v>63</v>
      </c>
      <c r="N1528" t="s">
        <v>64</v>
      </c>
      <c r="P1528" t="s">
        <v>65</v>
      </c>
      <c r="R1528">
        <v>136</v>
      </c>
      <c r="W1528" t="s">
        <v>66</v>
      </c>
      <c r="X1528" t="s">
        <v>67</v>
      </c>
      <c r="Y1528" t="s">
        <v>67</v>
      </c>
      <c r="Z1528" t="s">
        <v>68</v>
      </c>
      <c r="AB1528">
        <v>4</v>
      </c>
      <c r="AC1528" t="s">
        <v>61</v>
      </c>
      <c r="AJ1528" t="s">
        <v>69</v>
      </c>
      <c r="AY1528" t="s">
        <v>134</v>
      </c>
      <c r="AZ1528">
        <v>15031</v>
      </c>
      <c r="BA1528" t="s">
        <v>135</v>
      </c>
      <c r="BB1528" t="s">
        <v>136</v>
      </c>
      <c r="BC1528">
        <v>1995</v>
      </c>
      <c r="BD1528" t="s">
        <v>133</v>
      </c>
    </row>
    <row r="1529" spans="1:56" x14ac:dyDescent="0.35">
      <c r="A1529">
        <v>123546</v>
      </c>
      <c r="B1529" t="s">
        <v>1209</v>
      </c>
      <c r="D1529" t="s">
        <v>57</v>
      </c>
      <c r="E1529" t="s">
        <v>128</v>
      </c>
      <c r="F1529" t="s">
        <v>58</v>
      </c>
      <c r="G1529" t="s">
        <v>59</v>
      </c>
      <c r="H1529" t="s">
        <v>60</v>
      </c>
      <c r="I1529" t="s">
        <v>129</v>
      </c>
      <c r="J1529" t="s">
        <v>86</v>
      </c>
      <c r="K1529" t="s">
        <v>61</v>
      </c>
      <c r="L1529" t="s">
        <v>74</v>
      </c>
      <c r="M1529" t="s">
        <v>63</v>
      </c>
      <c r="N1529" t="s">
        <v>64</v>
      </c>
      <c r="P1529" t="s">
        <v>65</v>
      </c>
      <c r="R1529">
        <v>122</v>
      </c>
      <c r="W1529" t="s">
        <v>66</v>
      </c>
      <c r="X1529" t="s">
        <v>67</v>
      </c>
      <c r="Y1529" t="s">
        <v>67</v>
      </c>
      <c r="Z1529" t="s">
        <v>68</v>
      </c>
      <c r="AB1529">
        <v>4</v>
      </c>
      <c r="AC1529" t="s">
        <v>61</v>
      </c>
      <c r="AJ1529" t="s">
        <v>69</v>
      </c>
      <c r="AY1529" t="s">
        <v>134</v>
      </c>
      <c r="AZ1529">
        <v>15031</v>
      </c>
      <c r="BA1529" t="s">
        <v>135</v>
      </c>
      <c r="BB1529" t="s">
        <v>136</v>
      </c>
      <c r="BC1529">
        <v>1995</v>
      </c>
      <c r="BD1529" t="s">
        <v>133</v>
      </c>
    </row>
    <row r="1530" spans="1:56" x14ac:dyDescent="0.35">
      <c r="A1530">
        <v>123546</v>
      </c>
      <c r="B1530" t="s">
        <v>1209</v>
      </c>
      <c r="D1530" t="s">
        <v>57</v>
      </c>
      <c r="E1530" t="s">
        <v>79</v>
      </c>
      <c r="F1530" t="s">
        <v>58</v>
      </c>
      <c r="G1530" t="s">
        <v>59</v>
      </c>
      <c r="H1530" t="s">
        <v>60</v>
      </c>
      <c r="J1530" t="s">
        <v>86</v>
      </c>
      <c r="L1530" t="s">
        <v>74</v>
      </c>
      <c r="M1530" t="s">
        <v>63</v>
      </c>
      <c r="N1530" t="s">
        <v>64</v>
      </c>
      <c r="P1530" t="s">
        <v>65</v>
      </c>
      <c r="R1530">
        <v>141</v>
      </c>
      <c r="T1530">
        <v>113</v>
      </c>
      <c r="V1530">
        <v>175</v>
      </c>
      <c r="W1530" t="s">
        <v>66</v>
      </c>
      <c r="X1530" t="s">
        <v>67</v>
      </c>
      <c r="Y1530" t="s">
        <v>67</v>
      </c>
      <c r="Z1530" t="s">
        <v>68</v>
      </c>
      <c r="AB1530">
        <v>4</v>
      </c>
      <c r="AC1530" t="s">
        <v>61</v>
      </c>
      <c r="AJ1530" t="s">
        <v>69</v>
      </c>
      <c r="AY1530" t="s">
        <v>401</v>
      </c>
      <c r="AZ1530">
        <v>12004</v>
      </c>
      <c r="BA1530" t="s">
        <v>402</v>
      </c>
      <c r="BB1530" t="s">
        <v>403</v>
      </c>
      <c r="BC1530">
        <v>1985</v>
      </c>
      <c r="BD1530" t="s">
        <v>90</v>
      </c>
    </row>
    <row r="1531" spans="1:56" x14ac:dyDescent="0.35">
      <c r="A1531">
        <v>123546</v>
      </c>
      <c r="B1531" t="s">
        <v>1209</v>
      </c>
      <c r="D1531" t="s">
        <v>57</v>
      </c>
      <c r="E1531" t="s">
        <v>86</v>
      </c>
      <c r="F1531" t="s">
        <v>58</v>
      </c>
      <c r="G1531" t="s">
        <v>59</v>
      </c>
      <c r="H1531" t="s">
        <v>60</v>
      </c>
      <c r="J1531">
        <v>30</v>
      </c>
      <c r="K1531" t="s">
        <v>61</v>
      </c>
      <c r="L1531" t="s">
        <v>74</v>
      </c>
      <c r="M1531" t="s">
        <v>63</v>
      </c>
      <c r="N1531" t="s">
        <v>64</v>
      </c>
      <c r="P1531" t="s">
        <v>65</v>
      </c>
      <c r="R1531">
        <v>104</v>
      </c>
      <c r="T1531">
        <v>98.3</v>
      </c>
      <c r="V1531">
        <v>110</v>
      </c>
      <c r="W1531" t="s">
        <v>66</v>
      </c>
      <c r="X1531" t="s">
        <v>67</v>
      </c>
      <c r="Y1531" t="s">
        <v>67</v>
      </c>
      <c r="Z1531" t="s">
        <v>68</v>
      </c>
      <c r="AB1531">
        <v>4</v>
      </c>
      <c r="AC1531" t="s">
        <v>61</v>
      </c>
      <c r="AJ1531" t="s">
        <v>69</v>
      </c>
      <c r="AY1531" t="s">
        <v>286</v>
      </c>
      <c r="AZ1531">
        <v>12448</v>
      </c>
      <c r="BA1531" t="s">
        <v>287</v>
      </c>
      <c r="BB1531" t="s">
        <v>288</v>
      </c>
      <c r="BC1531">
        <v>1984</v>
      </c>
      <c r="BD1531" t="s">
        <v>73</v>
      </c>
    </row>
    <row r="1532" spans="1:56" x14ac:dyDescent="0.35">
      <c r="A1532">
        <v>123546</v>
      </c>
      <c r="B1532" t="s">
        <v>1209</v>
      </c>
      <c r="E1532" t="s">
        <v>407</v>
      </c>
      <c r="F1532" t="s">
        <v>58</v>
      </c>
      <c r="G1532" t="s">
        <v>59</v>
      </c>
      <c r="H1532" t="s">
        <v>60</v>
      </c>
      <c r="J1532" t="s">
        <v>86</v>
      </c>
      <c r="L1532" t="s">
        <v>74</v>
      </c>
      <c r="M1532" t="s">
        <v>63</v>
      </c>
      <c r="P1532" t="s">
        <v>65</v>
      </c>
      <c r="R1532">
        <v>141.16539299999999</v>
      </c>
      <c r="W1532" t="s">
        <v>66</v>
      </c>
      <c r="X1532" t="s">
        <v>67</v>
      </c>
      <c r="Y1532" t="s">
        <v>67</v>
      </c>
      <c r="Z1532" t="s">
        <v>68</v>
      </c>
      <c r="AB1532">
        <v>4</v>
      </c>
      <c r="AC1532" t="s">
        <v>61</v>
      </c>
      <c r="AJ1532" t="s">
        <v>69</v>
      </c>
      <c r="AY1532" t="s">
        <v>408</v>
      </c>
      <c r="AZ1532">
        <v>5876</v>
      </c>
      <c r="BA1532" t="s">
        <v>409</v>
      </c>
      <c r="BB1532" t="s">
        <v>410</v>
      </c>
      <c r="BC1532">
        <v>1988</v>
      </c>
      <c r="BD1532" t="s">
        <v>90</v>
      </c>
    </row>
    <row r="1533" spans="1:56" x14ac:dyDescent="0.35">
      <c r="A1533">
        <v>123660</v>
      </c>
      <c r="B1533" t="s">
        <v>1210</v>
      </c>
      <c r="D1533" t="s">
        <v>57</v>
      </c>
      <c r="E1533" t="s">
        <v>79</v>
      </c>
      <c r="F1533" t="s">
        <v>58</v>
      </c>
      <c r="G1533" t="s">
        <v>59</v>
      </c>
      <c r="H1533" t="s">
        <v>60</v>
      </c>
      <c r="J1533" t="s">
        <v>86</v>
      </c>
      <c r="K1533" t="s">
        <v>61</v>
      </c>
      <c r="L1533" t="s">
        <v>74</v>
      </c>
      <c r="M1533" t="s">
        <v>63</v>
      </c>
      <c r="N1533" t="s">
        <v>64</v>
      </c>
      <c r="P1533" t="s">
        <v>65</v>
      </c>
      <c r="R1533">
        <v>8.94</v>
      </c>
      <c r="T1533">
        <v>8.02</v>
      </c>
      <c r="V1533">
        <v>9.9700000000000006</v>
      </c>
      <c r="W1533" t="s">
        <v>66</v>
      </c>
      <c r="X1533" t="s">
        <v>67</v>
      </c>
      <c r="Y1533" t="s">
        <v>67</v>
      </c>
      <c r="Z1533" t="s">
        <v>68</v>
      </c>
      <c r="AB1533">
        <v>4</v>
      </c>
      <c r="AC1533" t="s">
        <v>61</v>
      </c>
      <c r="AJ1533" t="s">
        <v>69</v>
      </c>
      <c r="AY1533" t="s">
        <v>286</v>
      </c>
      <c r="AZ1533">
        <v>12448</v>
      </c>
      <c r="BA1533" t="s">
        <v>287</v>
      </c>
      <c r="BB1533" t="s">
        <v>288</v>
      </c>
      <c r="BC1533">
        <v>1984</v>
      </c>
      <c r="BD1533" t="s">
        <v>148</v>
      </c>
    </row>
    <row r="1534" spans="1:56" x14ac:dyDescent="0.35">
      <c r="A1534">
        <v>123728</v>
      </c>
      <c r="B1534" t="s">
        <v>1211</v>
      </c>
      <c r="D1534" t="s">
        <v>57</v>
      </c>
      <c r="E1534">
        <v>99</v>
      </c>
      <c r="F1534" t="s">
        <v>58</v>
      </c>
      <c r="G1534" t="s">
        <v>59</v>
      </c>
      <c r="H1534" t="s">
        <v>60</v>
      </c>
      <c r="J1534">
        <v>30</v>
      </c>
      <c r="K1534" t="s">
        <v>61</v>
      </c>
      <c r="L1534" t="s">
        <v>74</v>
      </c>
      <c r="M1534" t="s">
        <v>63</v>
      </c>
      <c r="N1534" t="s">
        <v>64</v>
      </c>
      <c r="P1534" t="s">
        <v>65</v>
      </c>
      <c r="R1534">
        <v>16</v>
      </c>
      <c r="T1534">
        <v>15.4</v>
      </c>
      <c r="V1534">
        <v>16.7</v>
      </c>
      <c r="W1534" t="s">
        <v>66</v>
      </c>
      <c r="X1534" t="s">
        <v>67</v>
      </c>
      <c r="Y1534" t="s">
        <v>67</v>
      </c>
      <c r="Z1534" t="s">
        <v>68</v>
      </c>
      <c r="AB1534">
        <v>4</v>
      </c>
      <c r="AC1534" t="s">
        <v>61</v>
      </c>
      <c r="AJ1534" t="s">
        <v>69</v>
      </c>
      <c r="AY1534" t="s">
        <v>286</v>
      </c>
      <c r="AZ1534">
        <v>12448</v>
      </c>
      <c r="BA1534" t="s">
        <v>287</v>
      </c>
      <c r="BB1534" t="s">
        <v>288</v>
      </c>
      <c r="BC1534">
        <v>1984</v>
      </c>
      <c r="BD1534" t="s">
        <v>73</v>
      </c>
    </row>
    <row r="1535" spans="1:56" x14ac:dyDescent="0.35">
      <c r="A1535">
        <v>123728</v>
      </c>
      <c r="B1535" t="s">
        <v>1211</v>
      </c>
      <c r="D1535" t="s">
        <v>57</v>
      </c>
      <c r="E1535" t="s">
        <v>86</v>
      </c>
      <c r="F1535" t="s">
        <v>58</v>
      </c>
      <c r="G1535" t="s">
        <v>59</v>
      </c>
      <c r="H1535" t="s">
        <v>60</v>
      </c>
      <c r="J1535" t="s">
        <v>86</v>
      </c>
      <c r="L1535" t="s">
        <v>62</v>
      </c>
      <c r="M1535" t="s">
        <v>63</v>
      </c>
      <c r="N1535" t="s">
        <v>64</v>
      </c>
      <c r="O1535" t="s">
        <v>267</v>
      </c>
      <c r="P1535" t="s">
        <v>65</v>
      </c>
      <c r="R1535">
        <v>25.8</v>
      </c>
      <c r="T1535">
        <v>19.3</v>
      </c>
      <c r="V1535">
        <v>33.6</v>
      </c>
      <c r="W1535" t="s">
        <v>66</v>
      </c>
      <c r="X1535" t="s">
        <v>67</v>
      </c>
      <c r="Y1535" t="s">
        <v>67</v>
      </c>
      <c r="Z1535" t="s">
        <v>68</v>
      </c>
      <c r="AB1535">
        <v>4</v>
      </c>
      <c r="AC1535" t="s">
        <v>61</v>
      </c>
      <c r="AJ1535" t="s">
        <v>69</v>
      </c>
      <c r="AY1535" t="s">
        <v>268</v>
      </c>
      <c r="AZ1535">
        <v>2965</v>
      </c>
      <c r="BA1535" t="s">
        <v>269</v>
      </c>
      <c r="BB1535" t="s">
        <v>270</v>
      </c>
      <c r="BC1535">
        <v>1981</v>
      </c>
      <c r="BD1535" t="s">
        <v>90</v>
      </c>
    </row>
    <row r="1536" spans="1:56" x14ac:dyDescent="0.35">
      <c r="A1536">
        <v>123728</v>
      </c>
      <c r="B1536" t="s">
        <v>1211</v>
      </c>
      <c r="D1536" t="s">
        <v>57</v>
      </c>
      <c r="E1536">
        <v>99</v>
      </c>
      <c r="F1536" t="s">
        <v>58</v>
      </c>
      <c r="G1536" t="s">
        <v>59</v>
      </c>
      <c r="H1536" t="s">
        <v>60</v>
      </c>
      <c r="J1536">
        <v>29</v>
      </c>
      <c r="K1536" t="s">
        <v>61</v>
      </c>
      <c r="L1536" t="s">
        <v>74</v>
      </c>
      <c r="M1536" t="s">
        <v>63</v>
      </c>
      <c r="N1536" t="s">
        <v>64</v>
      </c>
      <c r="P1536" t="s">
        <v>65</v>
      </c>
      <c r="R1536">
        <v>13.4</v>
      </c>
      <c r="T1536">
        <v>13</v>
      </c>
      <c r="V1536">
        <v>13.8</v>
      </c>
      <c r="W1536" t="s">
        <v>66</v>
      </c>
      <c r="X1536" t="s">
        <v>67</v>
      </c>
      <c r="Y1536" t="s">
        <v>67</v>
      </c>
      <c r="Z1536" t="s">
        <v>68</v>
      </c>
      <c r="AB1536">
        <v>4</v>
      </c>
      <c r="AC1536" t="s">
        <v>61</v>
      </c>
      <c r="AJ1536" t="s">
        <v>69</v>
      </c>
      <c r="AY1536" t="s">
        <v>286</v>
      </c>
      <c r="AZ1536">
        <v>12448</v>
      </c>
      <c r="BA1536" t="s">
        <v>287</v>
      </c>
      <c r="BB1536" t="s">
        <v>288</v>
      </c>
      <c r="BC1536">
        <v>1984</v>
      </c>
      <c r="BD1536" t="s">
        <v>73</v>
      </c>
    </row>
    <row r="1537" spans="1:56" x14ac:dyDescent="0.35">
      <c r="A1537">
        <v>123864</v>
      </c>
      <c r="B1537" t="s">
        <v>1212</v>
      </c>
      <c r="D1537" t="s">
        <v>57</v>
      </c>
      <c r="E1537" t="s">
        <v>79</v>
      </c>
      <c r="F1537" t="s">
        <v>58</v>
      </c>
      <c r="G1537" t="s">
        <v>59</v>
      </c>
      <c r="H1537" t="s">
        <v>60</v>
      </c>
      <c r="J1537" t="s">
        <v>86</v>
      </c>
      <c r="K1537" t="s">
        <v>61</v>
      </c>
      <c r="L1537" t="s">
        <v>74</v>
      </c>
      <c r="M1537" t="s">
        <v>63</v>
      </c>
      <c r="N1537" t="s">
        <v>64</v>
      </c>
      <c r="P1537" t="s">
        <v>65</v>
      </c>
      <c r="R1537">
        <v>18</v>
      </c>
      <c r="T1537">
        <v>17</v>
      </c>
      <c r="V1537">
        <v>19</v>
      </c>
      <c r="W1537" t="s">
        <v>66</v>
      </c>
      <c r="X1537" t="s">
        <v>67</v>
      </c>
      <c r="Y1537" t="s">
        <v>67</v>
      </c>
      <c r="Z1537" t="s">
        <v>68</v>
      </c>
      <c r="AB1537">
        <v>4</v>
      </c>
      <c r="AC1537" t="s">
        <v>61</v>
      </c>
      <c r="AJ1537" t="s">
        <v>69</v>
      </c>
      <c r="AY1537" t="s">
        <v>286</v>
      </c>
      <c r="AZ1537">
        <v>12448</v>
      </c>
      <c r="BA1537" t="s">
        <v>287</v>
      </c>
      <c r="BB1537" t="s">
        <v>288</v>
      </c>
      <c r="BC1537">
        <v>1984</v>
      </c>
      <c r="BD1537" t="s">
        <v>148</v>
      </c>
    </row>
    <row r="1538" spans="1:56" x14ac:dyDescent="0.35">
      <c r="A1538">
        <v>123911</v>
      </c>
      <c r="B1538" t="s">
        <v>1213</v>
      </c>
      <c r="D1538" t="s">
        <v>57</v>
      </c>
      <c r="E1538" t="s">
        <v>79</v>
      </c>
      <c r="F1538" t="s">
        <v>58</v>
      </c>
      <c r="G1538" t="s">
        <v>59</v>
      </c>
      <c r="H1538" t="s">
        <v>60</v>
      </c>
      <c r="J1538">
        <v>31</v>
      </c>
      <c r="K1538" t="s">
        <v>61</v>
      </c>
      <c r="L1538" t="s">
        <v>74</v>
      </c>
      <c r="M1538" t="s">
        <v>63</v>
      </c>
      <c r="N1538" t="s">
        <v>64</v>
      </c>
      <c r="P1538" t="s">
        <v>65</v>
      </c>
      <c r="R1538">
        <v>10800</v>
      </c>
      <c r="W1538" t="s">
        <v>66</v>
      </c>
      <c r="X1538" t="s">
        <v>67</v>
      </c>
      <c r="Y1538" t="s">
        <v>67</v>
      </c>
      <c r="Z1538" t="s">
        <v>68</v>
      </c>
      <c r="AB1538">
        <v>4</v>
      </c>
      <c r="AC1538" t="s">
        <v>61</v>
      </c>
      <c r="AJ1538" t="s">
        <v>69</v>
      </c>
      <c r="AY1538" t="s">
        <v>75</v>
      </c>
      <c r="AZ1538">
        <v>3217</v>
      </c>
      <c r="BA1538" t="s">
        <v>76</v>
      </c>
      <c r="BB1538" t="s">
        <v>77</v>
      </c>
      <c r="BC1538">
        <v>1990</v>
      </c>
      <c r="BD1538" t="s">
        <v>73</v>
      </c>
    </row>
    <row r="1539" spans="1:56" x14ac:dyDescent="0.35">
      <c r="A1539">
        <v>123911</v>
      </c>
      <c r="B1539" t="s">
        <v>1213</v>
      </c>
      <c r="C1539" t="s">
        <v>386</v>
      </c>
      <c r="D1539" t="s">
        <v>85</v>
      </c>
      <c r="E1539">
        <v>99</v>
      </c>
      <c r="F1539" t="s">
        <v>58</v>
      </c>
      <c r="G1539" t="s">
        <v>59</v>
      </c>
      <c r="H1539" t="s">
        <v>60</v>
      </c>
      <c r="I1539" t="s">
        <v>129</v>
      </c>
      <c r="J1539" t="s">
        <v>86</v>
      </c>
      <c r="L1539" t="s">
        <v>62</v>
      </c>
      <c r="M1539" t="s">
        <v>63</v>
      </c>
      <c r="N1539" t="s">
        <v>64</v>
      </c>
      <c r="O1539">
        <v>7</v>
      </c>
      <c r="P1539" t="s">
        <v>65</v>
      </c>
      <c r="R1539">
        <v>13000</v>
      </c>
      <c r="T1539">
        <v>10000</v>
      </c>
      <c r="V1539">
        <v>17000</v>
      </c>
      <c r="W1539" t="s">
        <v>66</v>
      </c>
      <c r="X1539" t="s">
        <v>67</v>
      </c>
      <c r="Y1539" t="s">
        <v>67</v>
      </c>
      <c r="Z1539" t="s">
        <v>68</v>
      </c>
      <c r="AB1539">
        <v>4</v>
      </c>
      <c r="AC1539" t="s">
        <v>61</v>
      </c>
      <c r="AJ1539" t="s">
        <v>69</v>
      </c>
      <c r="AY1539" t="s">
        <v>1214</v>
      </c>
      <c r="AZ1539">
        <v>177257</v>
      </c>
      <c r="BA1539" t="s">
        <v>1215</v>
      </c>
      <c r="BB1539" t="s">
        <v>1216</v>
      </c>
      <c r="BC1539">
        <v>1989</v>
      </c>
      <c r="BD1539" t="s">
        <v>90</v>
      </c>
    </row>
    <row r="1540" spans="1:56" x14ac:dyDescent="0.35">
      <c r="A1540">
        <v>123911</v>
      </c>
      <c r="B1540" t="s">
        <v>1213</v>
      </c>
      <c r="D1540" t="s">
        <v>57</v>
      </c>
      <c r="E1540">
        <v>99</v>
      </c>
      <c r="F1540" t="s">
        <v>58</v>
      </c>
      <c r="G1540" t="s">
        <v>59</v>
      </c>
      <c r="H1540" t="s">
        <v>60</v>
      </c>
      <c r="J1540" t="s">
        <v>86</v>
      </c>
      <c r="K1540" t="s">
        <v>61</v>
      </c>
      <c r="L1540" t="s">
        <v>74</v>
      </c>
      <c r="M1540" t="s">
        <v>63</v>
      </c>
      <c r="N1540" t="s">
        <v>64</v>
      </c>
      <c r="P1540" t="s">
        <v>65</v>
      </c>
      <c r="R1540">
        <v>9850</v>
      </c>
      <c r="W1540" t="s">
        <v>66</v>
      </c>
      <c r="X1540" t="s">
        <v>67</v>
      </c>
      <c r="Y1540" t="s">
        <v>67</v>
      </c>
      <c r="Z1540" t="s">
        <v>68</v>
      </c>
      <c r="AB1540">
        <v>4</v>
      </c>
      <c r="AC1540" t="s">
        <v>61</v>
      </c>
      <c r="AJ1540" t="s">
        <v>69</v>
      </c>
      <c r="AY1540" t="s">
        <v>75</v>
      </c>
      <c r="AZ1540">
        <v>3217</v>
      </c>
      <c r="BA1540" t="s">
        <v>76</v>
      </c>
      <c r="BB1540" t="s">
        <v>77</v>
      </c>
      <c r="BC1540">
        <v>1990</v>
      </c>
      <c r="BD1540" t="s">
        <v>471</v>
      </c>
    </row>
    <row r="1541" spans="1:56" x14ac:dyDescent="0.35">
      <c r="A1541">
        <v>123911</v>
      </c>
      <c r="B1541" t="s">
        <v>1213</v>
      </c>
      <c r="D1541" t="s">
        <v>57</v>
      </c>
      <c r="E1541">
        <v>99</v>
      </c>
      <c r="F1541" t="s">
        <v>58</v>
      </c>
      <c r="G1541" t="s">
        <v>59</v>
      </c>
      <c r="H1541" t="s">
        <v>60</v>
      </c>
      <c r="J1541">
        <v>30</v>
      </c>
      <c r="K1541" t="s">
        <v>61</v>
      </c>
      <c r="L1541" t="s">
        <v>74</v>
      </c>
      <c r="M1541" t="s">
        <v>63</v>
      </c>
      <c r="N1541" t="s">
        <v>64</v>
      </c>
      <c r="P1541" t="s">
        <v>65</v>
      </c>
      <c r="R1541">
        <v>9872</v>
      </c>
      <c r="W1541" t="s">
        <v>66</v>
      </c>
      <c r="X1541" t="s">
        <v>67</v>
      </c>
      <c r="Y1541" t="s">
        <v>67</v>
      </c>
      <c r="Z1541" t="s">
        <v>68</v>
      </c>
      <c r="AB1541">
        <v>4</v>
      </c>
      <c r="AC1541" t="s">
        <v>61</v>
      </c>
      <c r="AJ1541" t="s">
        <v>69</v>
      </c>
      <c r="AY1541" t="s">
        <v>70</v>
      </c>
      <c r="AZ1541">
        <v>14339</v>
      </c>
      <c r="BA1541" t="s">
        <v>71</v>
      </c>
      <c r="BB1541" t="s">
        <v>72</v>
      </c>
      <c r="BC1541">
        <v>1987</v>
      </c>
      <c r="BD1541" t="s">
        <v>73</v>
      </c>
    </row>
    <row r="1542" spans="1:56" x14ac:dyDescent="0.35">
      <c r="A1542">
        <v>123911</v>
      </c>
      <c r="B1542" t="s">
        <v>1213</v>
      </c>
      <c r="D1542" t="s">
        <v>57</v>
      </c>
      <c r="E1542">
        <v>99</v>
      </c>
      <c r="F1542" t="s">
        <v>58</v>
      </c>
      <c r="G1542" t="s">
        <v>59</v>
      </c>
      <c r="H1542" t="s">
        <v>60</v>
      </c>
      <c r="J1542">
        <v>30</v>
      </c>
      <c r="K1542" t="s">
        <v>61</v>
      </c>
      <c r="L1542" t="s">
        <v>62</v>
      </c>
      <c r="M1542" t="s">
        <v>63</v>
      </c>
      <c r="N1542" t="s">
        <v>64</v>
      </c>
      <c r="P1542" t="s">
        <v>65</v>
      </c>
      <c r="R1542">
        <v>12326</v>
      </c>
      <c r="T1542">
        <v>10306</v>
      </c>
      <c r="V1542">
        <v>14742</v>
      </c>
      <c r="W1542" t="s">
        <v>66</v>
      </c>
      <c r="X1542" t="s">
        <v>67</v>
      </c>
      <c r="Y1542" t="s">
        <v>67</v>
      </c>
      <c r="Z1542" t="s">
        <v>68</v>
      </c>
      <c r="AB1542">
        <v>4</v>
      </c>
      <c r="AC1542" t="s">
        <v>61</v>
      </c>
      <c r="AJ1542" t="s">
        <v>69</v>
      </c>
      <c r="AY1542" t="s">
        <v>70</v>
      </c>
      <c r="AZ1542">
        <v>14339</v>
      </c>
      <c r="BA1542" t="s">
        <v>71</v>
      </c>
      <c r="BB1542" t="s">
        <v>72</v>
      </c>
      <c r="BC1542">
        <v>1987</v>
      </c>
      <c r="BD1542" t="s">
        <v>73</v>
      </c>
    </row>
    <row r="1543" spans="1:56" x14ac:dyDescent="0.35">
      <c r="A1543">
        <v>124049</v>
      </c>
      <c r="B1543" t="s">
        <v>1217</v>
      </c>
      <c r="D1543" t="s">
        <v>85</v>
      </c>
      <c r="E1543" t="s">
        <v>86</v>
      </c>
      <c r="F1543" t="s">
        <v>58</v>
      </c>
      <c r="G1543" t="s">
        <v>59</v>
      </c>
      <c r="H1543" t="s">
        <v>60</v>
      </c>
      <c r="I1543" t="s">
        <v>129</v>
      </c>
      <c r="J1543" t="s">
        <v>86</v>
      </c>
      <c r="K1543" t="s">
        <v>196</v>
      </c>
      <c r="L1543" t="s">
        <v>62</v>
      </c>
      <c r="M1543" t="s">
        <v>63</v>
      </c>
      <c r="N1543" t="s">
        <v>64</v>
      </c>
      <c r="P1543" t="s">
        <v>100</v>
      </c>
      <c r="R1543">
        <v>97</v>
      </c>
      <c r="W1543" t="s">
        <v>66</v>
      </c>
      <c r="X1543" t="s">
        <v>67</v>
      </c>
      <c r="Y1543" t="s">
        <v>67</v>
      </c>
      <c r="Z1543" t="s">
        <v>68</v>
      </c>
      <c r="AB1543">
        <v>4</v>
      </c>
      <c r="AC1543" t="s">
        <v>61</v>
      </c>
      <c r="AJ1543" t="s">
        <v>69</v>
      </c>
      <c r="AY1543" t="s">
        <v>338</v>
      </c>
      <c r="AZ1543">
        <v>719</v>
      </c>
      <c r="BA1543" t="s">
        <v>339</v>
      </c>
      <c r="BB1543" t="s">
        <v>340</v>
      </c>
      <c r="BC1543">
        <v>1976</v>
      </c>
      <c r="BD1543" t="s">
        <v>341</v>
      </c>
    </row>
    <row r="1544" spans="1:56" x14ac:dyDescent="0.35">
      <c r="A1544">
        <v>124221</v>
      </c>
      <c r="B1544" t="s">
        <v>1218</v>
      </c>
      <c r="D1544" t="s">
        <v>57</v>
      </c>
      <c r="E1544">
        <v>98</v>
      </c>
      <c r="F1544" t="s">
        <v>58</v>
      </c>
      <c r="G1544" t="s">
        <v>59</v>
      </c>
      <c r="H1544" t="s">
        <v>60</v>
      </c>
      <c r="J1544">
        <v>31</v>
      </c>
      <c r="K1544" t="s">
        <v>61</v>
      </c>
      <c r="L1544" t="s">
        <v>74</v>
      </c>
      <c r="M1544" t="s">
        <v>63</v>
      </c>
      <c r="N1544" t="s">
        <v>64</v>
      </c>
      <c r="P1544" t="s">
        <v>65</v>
      </c>
      <c r="R1544">
        <v>0.10299999999999999</v>
      </c>
      <c r="T1544">
        <v>9.8199999999999996E-2</v>
      </c>
      <c r="V1544">
        <v>0.108</v>
      </c>
      <c r="W1544" t="s">
        <v>66</v>
      </c>
      <c r="X1544" t="s">
        <v>67</v>
      </c>
      <c r="Y1544" t="s">
        <v>67</v>
      </c>
      <c r="Z1544" t="s">
        <v>68</v>
      </c>
      <c r="AB1544">
        <v>4</v>
      </c>
      <c r="AC1544" t="s">
        <v>61</v>
      </c>
      <c r="AJ1544" t="s">
        <v>69</v>
      </c>
      <c r="AY1544" t="s">
        <v>75</v>
      </c>
      <c r="AZ1544">
        <v>3217</v>
      </c>
      <c r="BA1544" t="s">
        <v>76</v>
      </c>
      <c r="BB1544" t="s">
        <v>77</v>
      </c>
      <c r="BC1544">
        <v>1990</v>
      </c>
      <c r="BD1544" t="s">
        <v>73</v>
      </c>
    </row>
    <row r="1545" spans="1:56" x14ac:dyDescent="0.35">
      <c r="A1545">
        <v>126114</v>
      </c>
      <c r="B1545" t="s">
        <v>1219</v>
      </c>
      <c r="E1545">
        <v>100</v>
      </c>
      <c r="F1545" t="s">
        <v>58</v>
      </c>
      <c r="G1545" t="s">
        <v>59</v>
      </c>
      <c r="H1545" t="s">
        <v>60</v>
      </c>
      <c r="J1545" t="s">
        <v>86</v>
      </c>
      <c r="L1545" t="s">
        <v>62</v>
      </c>
      <c r="M1545" t="s">
        <v>63</v>
      </c>
      <c r="N1545" t="s">
        <v>64</v>
      </c>
      <c r="P1545" t="s">
        <v>65</v>
      </c>
      <c r="R1545">
        <v>280</v>
      </c>
      <c r="W1545" t="s">
        <v>66</v>
      </c>
      <c r="X1545" t="s">
        <v>67</v>
      </c>
      <c r="Y1545" t="s">
        <v>67</v>
      </c>
      <c r="Z1545" t="s">
        <v>68</v>
      </c>
      <c r="AB1545">
        <v>4</v>
      </c>
      <c r="AC1545" t="s">
        <v>61</v>
      </c>
      <c r="AJ1545" t="s">
        <v>69</v>
      </c>
      <c r="AY1545" t="s">
        <v>116</v>
      </c>
      <c r="AZ1545">
        <v>344</v>
      </c>
      <c r="BA1545" t="s">
        <v>117</v>
      </c>
      <c r="BB1545" t="s">
        <v>118</v>
      </c>
      <c r="BC1545">
        <v>1992</v>
      </c>
      <c r="BD1545" t="s">
        <v>90</v>
      </c>
    </row>
    <row r="1546" spans="1:56" x14ac:dyDescent="0.35">
      <c r="A1546">
        <v>126738</v>
      </c>
      <c r="B1546" t="s">
        <v>1220</v>
      </c>
      <c r="D1546" t="s">
        <v>57</v>
      </c>
      <c r="E1546">
        <v>99</v>
      </c>
      <c r="F1546" t="s">
        <v>58</v>
      </c>
      <c r="G1546" t="s">
        <v>59</v>
      </c>
      <c r="H1546" t="s">
        <v>60</v>
      </c>
      <c r="J1546">
        <v>32</v>
      </c>
      <c r="K1546" t="s">
        <v>61</v>
      </c>
      <c r="L1546" t="s">
        <v>74</v>
      </c>
      <c r="M1546" t="s">
        <v>63</v>
      </c>
      <c r="N1546" t="s">
        <v>64</v>
      </c>
      <c r="P1546" t="s">
        <v>65</v>
      </c>
      <c r="R1546">
        <v>11</v>
      </c>
      <c r="W1546" t="s">
        <v>66</v>
      </c>
      <c r="X1546" t="s">
        <v>67</v>
      </c>
      <c r="Y1546" t="s">
        <v>67</v>
      </c>
      <c r="Z1546" t="s">
        <v>68</v>
      </c>
      <c r="AB1546">
        <v>4</v>
      </c>
      <c r="AC1546" t="s">
        <v>61</v>
      </c>
      <c r="AJ1546" t="s">
        <v>69</v>
      </c>
      <c r="AY1546" t="s">
        <v>263</v>
      </c>
      <c r="AZ1546">
        <v>12858</v>
      </c>
      <c r="BA1546" t="s">
        <v>264</v>
      </c>
      <c r="BB1546" t="s">
        <v>265</v>
      </c>
      <c r="BC1546">
        <v>1986</v>
      </c>
      <c r="BD1546" t="s">
        <v>73</v>
      </c>
    </row>
    <row r="1547" spans="1:56" x14ac:dyDescent="0.35">
      <c r="A1547">
        <v>126738</v>
      </c>
      <c r="B1547" t="s">
        <v>1220</v>
      </c>
      <c r="E1547">
        <v>100</v>
      </c>
      <c r="F1547" t="s">
        <v>58</v>
      </c>
      <c r="G1547" t="s">
        <v>59</v>
      </c>
      <c r="H1547" t="s">
        <v>60</v>
      </c>
      <c r="J1547" t="s">
        <v>86</v>
      </c>
      <c r="L1547" t="s">
        <v>62</v>
      </c>
      <c r="M1547" t="s">
        <v>63</v>
      </c>
      <c r="N1547" t="s">
        <v>64</v>
      </c>
      <c r="P1547" t="s">
        <v>65</v>
      </c>
      <c r="R1547">
        <v>1</v>
      </c>
      <c r="T1547">
        <v>1</v>
      </c>
      <c r="V1547">
        <v>10</v>
      </c>
      <c r="W1547" t="s">
        <v>66</v>
      </c>
      <c r="X1547" t="s">
        <v>67</v>
      </c>
      <c r="Y1547" t="s">
        <v>67</v>
      </c>
      <c r="Z1547" t="s">
        <v>68</v>
      </c>
      <c r="AB1547">
        <v>4</v>
      </c>
      <c r="AC1547" t="s">
        <v>61</v>
      </c>
      <c r="AJ1547" t="s">
        <v>69</v>
      </c>
      <c r="AY1547" t="s">
        <v>96</v>
      </c>
      <c r="AZ1547">
        <v>6797</v>
      </c>
      <c r="BA1547" t="s">
        <v>97</v>
      </c>
      <c r="BB1547" t="s">
        <v>98</v>
      </c>
      <c r="BC1547">
        <v>1986</v>
      </c>
      <c r="BD1547" t="s">
        <v>90</v>
      </c>
    </row>
    <row r="1548" spans="1:56" x14ac:dyDescent="0.35">
      <c r="A1548">
        <v>126738</v>
      </c>
      <c r="B1548" t="s">
        <v>1220</v>
      </c>
      <c r="D1548" t="s">
        <v>57</v>
      </c>
      <c r="E1548">
        <v>99</v>
      </c>
      <c r="F1548" t="s">
        <v>58</v>
      </c>
      <c r="G1548" t="s">
        <v>59</v>
      </c>
      <c r="H1548" t="s">
        <v>60</v>
      </c>
      <c r="J1548">
        <v>31</v>
      </c>
      <c r="K1548" t="s">
        <v>61</v>
      </c>
      <c r="L1548" t="s">
        <v>74</v>
      </c>
      <c r="M1548" t="s">
        <v>63</v>
      </c>
      <c r="N1548" t="s">
        <v>64</v>
      </c>
      <c r="P1548" t="s">
        <v>65</v>
      </c>
      <c r="R1548">
        <v>8.18</v>
      </c>
      <c r="T1548">
        <v>7.66</v>
      </c>
      <c r="V1548">
        <v>8.74</v>
      </c>
      <c r="W1548" t="s">
        <v>66</v>
      </c>
      <c r="X1548" t="s">
        <v>67</v>
      </c>
      <c r="Y1548" t="s">
        <v>67</v>
      </c>
      <c r="Z1548" t="s">
        <v>68</v>
      </c>
      <c r="AB1548">
        <v>4</v>
      </c>
      <c r="AC1548" t="s">
        <v>61</v>
      </c>
      <c r="AJ1548" t="s">
        <v>69</v>
      </c>
      <c r="AY1548" t="s">
        <v>263</v>
      </c>
      <c r="AZ1548">
        <v>12858</v>
      </c>
      <c r="BA1548" t="s">
        <v>264</v>
      </c>
      <c r="BB1548" t="s">
        <v>265</v>
      </c>
      <c r="BC1548">
        <v>1986</v>
      </c>
      <c r="BD1548" t="s">
        <v>73</v>
      </c>
    </row>
    <row r="1549" spans="1:56" x14ac:dyDescent="0.35">
      <c r="A1549">
        <v>126818</v>
      </c>
      <c r="B1549" t="s">
        <v>1221</v>
      </c>
      <c r="D1549" t="s">
        <v>57</v>
      </c>
      <c r="E1549">
        <v>99</v>
      </c>
      <c r="F1549" t="s">
        <v>58</v>
      </c>
      <c r="G1549" t="s">
        <v>59</v>
      </c>
      <c r="H1549" t="s">
        <v>60</v>
      </c>
      <c r="J1549">
        <v>30</v>
      </c>
      <c r="K1549" t="s">
        <v>61</v>
      </c>
      <c r="L1549" t="s">
        <v>74</v>
      </c>
      <c r="M1549" t="s">
        <v>63</v>
      </c>
      <c r="N1549" t="s">
        <v>64</v>
      </c>
      <c r="P1549" t="s">
        <v>65</v>
      </c>
      <c r="R1549">
        <v>11500</v>
      </c>
      <c r="T1549">
        <v>8210</v>
      </c>
      <c r="V1549">
        <v>16100</v>
      </c>
      <c r="W1549" t="s">
        <v>66</v>
      </c>
      <c r="X1549" t="s">
        <v>67</v>
      </c>
      <c r="Y1549" t="s">
        <v>67</v>
      </c>
      <c r="Z1549" t="s">
        <v>68</v>
      </c>
      <c r="AB1549">
        <v>4</v>
      </c>
      <c r="AC1549" t="s">
        <v>61</v>
      </c>
      <c r="AJ1549" t="s">
        <v>69</v>
      </c>
      <c r="AY1549" t="s">
        <v>80</v>
      </c>
      <c r="AZ1549">
        <v>12859</v>
      </c>
      <c r="BA1549" t="s">
        <v>81</v>
      </c>
      <c r="BB1549" t="s">
        <v>82</v>
      </c>
      <c r="BC1549">
        <v>1988</v>
      </c>
      <c r="BD1549" t="s">
        <v>73</v>
      </c>
    </row>
    <row r="1550" spans="1:56" x14ac:dyDescent="0.35">
      <c r="A1550">
        <v>127004</v>
      </c>
      <c r="B1550" t="s">
        <v>1222</v>
      </c>
      <c r="D1550" t="s">
        <v>57</v>
      </c>
      <c r="E1550">
        <v>97</v>
      </c>
      <c r="F1550" t="s">
        <v>58</v>
      </c>
      <c r="G1550" t="s">
        <v>59</v>
      </c>
      <c r="H1550" t="s">
        <v>60</v>
      </c>
      <c r="J1550">
        <v>29</v>
      </c>
      <c r="K1550" t="s">
        <v>61</v>
      </c>
      <c r="L1550" t="s">
        <v>74</v>
      </c>
      <c r="M1550" t="s">
        <v>63</v>
      </c>
      <c r="N1550" t="s">
        <v>64</v>
      </c>
      <c r="P1550" t="s">
        <v>65</v>
      </c>
      <c r="R1550">
        <v>245</v>
      </c>
      <c r="T1550">
        <v>227</v>
      </c>
      <c r="V1550">
        <v>264</v>
      </c>
      <c r="W1550" t="s">
        <v>66</v>
      </c>
      <c r="X1550" t="s">
        <v>67</v>
      </c>
      <c r="Y1550" t="s">
        <v>67</v>
      </c>
      <c r="Z1550" t="s">
        <v>68</v>
      </c>
      <c r="AB1550">
        <v>4</v>
      </c>
      <c r="AC1550" t="s">
        <v>61</v>
      </c>
      <c r="AJ1550" t="s">
        <v>69</v>
      </c>
      <c r="AY1550" t="s">
        <v>286</v>
      </c>
      <c r="AZ1550">
        <v>12448</v>
      </c>
      <c r="BA1550" t="s">
        <v>287</v>
      </c>
      <c r="BB1550" t="s">
        <v>288</v>
      </c>
      <c r="BC1550">
        <v>1984</v>
      </c>
      <c r="BD1550" t="s">
        <v>73</v>
      </c>
    </row>
    <row r="1551" spans="1:56" x14ac:dyDescent="0.35">
      <c r="A1551">
        <v>127060</v>
      </c>
      <c r="B1551" t="s">
        <v>1223</v>
      </c>
      <c r="D1551" t="s">
        <v>57</v>
      </c>
      <c r="E1551">
        <v>98</v>
      </c>
      <c r="F1551" t="s">
        <v>58</v>
      </c>
      <c r="G1551" t="s">
        <v>59</v>
      </c>
      <c r="H1551" t="s">
        <v>60</v>
      </c>
      <c r="J1551">
        <v>30</v>
      </c>
      <c r="K1551" t="s">
        <v>61</v>
      </c>
      <c r="L1551" t="s">
        <v>74</v>
      </c>
      <c r="M1551" t="s">
        <v>63</v>
      </c>
      <c r="N1551" t="s">
        <v>64</v>
      </c>
      <c r="P1551" t="s">
        <v>65</v>
      </c>
      <c r="R1551">
        <v>558</v>
      </c>
      <c r="T1551">
        <v>504</v>
      </c>
      <c r="V1551">
        <v>618</v>
      </c>
      <c r="W1551" t="s">
        <v>66</v>
      </c>
      <c r="X1551" t="s">
        <v>67</v>
      </c>
      <c r="Y1551" t="s">
        <v>67</v>
      </c>
      <c r="Z1551" t="s">
        <v>68</v>
      </c>
      <c r="AB1551">
        <v>4</v>
      </c>
      <c r="AC1551" t="s">
        <v>61</v>
      </c>
      <c r="AJ1551" t="s">
        <v>69</v>
      </c>
      <c r="AY1551" t="s">
        <v>75</v>
      </c>
      <c r="AZ1551">
        <v>3217</v>
      </c>
      <c r="BA1551" t="s">
        <v>76</v>
      </c>
      <c r="BB1551" t="s">
        <v>77</v>
      </c>
      <c r="BC1551">
        <v>1990</v>
      </c>
      <c r="BD1551" t="s">
        <v>73</v>
      </c>
    </row>
    <row r="1552" spans="1:56" x14ac:dyDescent="0.35">
      <c r="A1552">
        <v>127082</v>
      </c>
      <c r="B1552" t="s">
        <v>1224</v>
      </c>
      <c r="D1552" t="s">
        <v>85</v>
      </c>
      <c r="E1552" t="s">
        <v>86</v>
      </c>
      <c r="F1552" t="s">
        <v>58</v>
      </c>
      <c r="G1552" t="s">
        <v>59</v>
      </c>
      <c r="H1552" t="s">
        <v>60</v>
      </c>
      <c r="J1552" t="s">
        <v>86</v>
      </c>
      <c r="L1552" t="s">
        <v>190</v>
      </c>
      <c r="M1552" t="s">
        <v>63</v>
      </c>
      <c r="N1552" t="s">
        <v>64</v>
      </c>
      <c r="P1552" t="s">
        <v>100</v>
      </c>
      <c r="R1552">
        <v>421</v>
      </c>
      <c r="T1552">
        <v>361</v>
      </c>
      <c r="V1552">
        <v>499</v>
      </c>
      <c r="W1552" t="s">
        <v>66</v>
      </c>
      <c r="X1552" t="s">
        <v>67</v>
      </c>
      <c r="Y1552" t="s">
        <v>67</v>
      </c>
      <c r="Z1552" t="s">
        <v>68</v>
      </c>
      <c r="AB1552">
        <v>4</v>
      </c>
      <c r="AC1552" t="s">
        <v>61</v>
      </c>
      <c r="AJ1552" t="s">
        <v>69</v>
      </c>
      <c r="AY1552" t="s">
        <v>1225</v>
      </c>
      <c r="AZ1552">
        <v>115482</v>
      </c>
      <c r="BA1552" t="s">
        <v>1226</v>
      </c>
      <c r="BB1552" t="s">
        <v>1227</v>
      </c>
      <c r="BC1552">
        <v>2009</v>
      </c>
      <c r="BD1552" t="s">
        <v>90</v>
      </c>
    </row>
    <row r="1553" spans="1:56" x14ac:dyDescent="0.35">
      <c r="A1553">
        <v>127082</v>
      </c>
      <c r="B1553" t="s">
        <v>1224</v>
      </c>
      <c r="D1553" t="s">
        <v>85</v>
      </c>
      <c r="E1553" t="s">
        <v>86</v>
      </c>
      <c r="F1553" t="s">
        <v>58</v>
      </c>
      <c r="G1553" t="s">
        <v>59</v>
      </c>
      <c r="H1553" t="s">
        <v>60</v>
      </c>
      <c r="J1553" t="s">
        <v>86</v>
      </c>
      <c r="L1553" t="s">
        <v>190</v>
      </c>
      <c r="M1553" t="s">
        <v>63</v>
      </c>
      <c r="N1553" t="s">
        <v>64</v>
      </c>
      <c r="P1553" t="s">
        <v>100</v>
      </c>
      <c r="R1553">
        <v>298</v>
      </c>
      <c r="T1553">
        <v>262</v>
      </c>
      <c r="V1553">
        <v>340</v>
      </c>
      <c r="W1553" t="s">
        <v>66</v>
      </c>
      <c r="X1553" t="s">
        <v>67</v>
      </c>
      <c r="Y1553" t="s">
        <v>67</v>
      </c>
      <c r="Z1553" t="s">
        <v>68</v>
      </c>
      <c r="AB1553">
        <v>4</v>
      </c>
      <c r="AC1553" t="s">
        <v>61</v>
      </c>
      <c r="AJ1553" t="s">
        <v>69</v>
      </c>
      <c r="AY1553" t="s">
        <v>1225</v>
      </c>
      <c r="AZ1553">
        <v>115482</v>
      </c>
      <c r="BA1553" t="s">
        <v>1226</v>
      </c>
      <c r="BB1553" t="s">
        <v>1227</v>
      </c>
      <c r="BC1553">
        <v>2009</v>
      </c>
      <c r="BD1553" t="s">
        <v>90</v>
      </c>
    </row>
    <row r="1554" spans="1:56" x14ac:dyDescent="0.35">
      <c r="A1554">
        <v>127184</v>
      </c>
      <c r="B1554" t="s">
        <v>1228</v>
      </c>
      <c r="D1554" t="s">
        <v>57</v>
      </c>
      <c r="E1554" t="s">
        <v>86</v>
      </c>
      <c r="F1554" t="s">
        <v>58</v>
      </c>
      <c r="G1554" t="s">
        <v>59</v>
      </c>
      <c r="H1554" t="s">
        <v>60</v>
      </c>
      <c r="J1554" t="s">
        <v>86</v>
      </c>
      <c r="K1554" t="s">
        <v>61</v>
      </c>
      <c r="L1554" t="s">
        <v>74</v>
      </c>
      <c r="M1554" t="s">
        <v>63</v>
      </c>
      <c r="N1554" t="s">
        <v>64</v>
      </c>
      <c r="P1554" t="s">
        <v>65</v>
      </c>
      <c r="R1554">
        <v>13.4</v>
      </c>
      <c r="T1554">
        <v>12.4</v>
      </c>
      <c r="V1554">
        <v>14.4</v>
      </c>
      <c r="W1554" t="s">
        <v>66</v>
      </c>
      <c r="X1554" t="s">
        <v>67</v>
      </c>
      <c r="Y1554" t="s">
        <v>67</v>
      </c>
      <c r="Z1554" t="s">
        <v>68</v>
      </c>
      <c r="AB1554">
        <v>4</v>
      </c>
      <c r="AC1554" t="s">
        <v>61</v>
      </c>
      <c r="AJ1554" t="s">
        <v>69</v>
      </c>
      <c r="AY1554" t="s">
        <v>404</v>
      </c>
      <c r="AZ1554">
        <v>11227</v>
      </c>
      <c r="BA1554" t="s">
        <v>405</v>
      </c>
      <c r="BB1554" t="s">
        <v>406</v>
      </c>
      <c r="BC1554">
        <v>1983</v>
      </c>
      <c r="BD1554" t="s">
        <v>127</v>
      </c>
    </row>
    <row r="1555" spans="1:56" x14ac:dyDescent="0.35">
      <c r="A1555">
        <v>127184</v>
      </c>
      <c r="B1555" t="s">
        <v>1228</v>
      </c>
      <c r="D1555" t="s">
        <v>57</v>
      </c>
      <c r="E1555" t="s">
        <v>86</v>
      </c>
      <c r="F1555" t="s">
        <v>58</v>
      </c>
      <c r="G1555" t="s">
        <v>59</v>
      </c>
      <c r="H1555" t="s">
        <v>60</v>
      </c>
      <c r="I1555" t="s">
        <v>211</v>
      </c>
      <c r="J1555" t="s">
        <v>86</v>
      </c>
      <c r="L1555" t="s">
        <v>74</v>
      </c>
      <c r="M1555" t="s">
        <v>63</v>
      </c>
      <c r="N1555" t="s">
        <v>64</v>
      </c>
      <c r="P1555" t="s">
        <v>65</v>
      </c>
      <c r="R1555">
        <v>18.399999999999999</v>
      </c>
      <c r="T1555">
        <v>14.8</v>
      </c>
      <c r="V1555">
        <v>21.3</v>
      </c>
      <c r="W1555" t="s">
        <v>66</v>
      </c>
      <c r="X1555" t="s">
        <v>67</v>
      </c>
      <c r="Y1555" t="s">
        <v>67</v>
      </c>
      <c r="Z1555" t="s">
        <v>68</v>
      </c>
      <c r="AB1555">
        <v>4</v>
      </c>
      <c r="AC1555" t="s">
        <v>61</v>
      </c>
      <c r="AJ1555" t="s">
        <v>69</v>
      </c>
      <c r="AY1555" t="s">
        <v>430</v>
      </c>
      <c r="AZ1555">
        <v>973</v>
      </c>
      <c r="BA1555" t="s">
        <v>431</v>
      </c>
      <c r="BB1555" t="s">
        <v>432</v>
      </c>
      <c r="BC1555">
        <v>1978</v>
      </c>
      <c r="BD1555" t="s">
        <v>90</v>
      </c>
    </row>
    <row r="1556" spans="1:56" x14ac:dyDescent="0.35">
      <c r="A1556">
        <v>127184</v>
      </c>
      <c r="B1556" t="s">
        <v>1228</v>
      </c>
      <c r="D1556" t="s">
        <v>57</v>
      </c>
      <c r="E1556">
        <v>98</v>
      </c>
      <c r="F1556" t="s">
        <v>58</v>
      </c>
      <c r="G1556" t="s">
        <v>59</v>
      </c>
      <c r="H1556" t="s">
        <v>60</v>
      </c>
      <c r="J1556">
        <v>30</v>
      </c>
      <c r="K1556" t="s">
        <v>61</v>
      </c>
      <c r="L1556" t="s">
        <v>62</v>
      </c>
      <c r="M1556" t="s">
        <v>63</v>
      </c>
      <c r="N1556" t="s">
        <v>64</v>
      </c>
      <c r="P1556" t="s">
        <v>65</v>
      </c>
      <c r="R1556">
        <v>10.8</v>
      </c>
      <c r="T1556">
        <v>8.6</v>
      </c>
      <c r="V1556">
        <v>13.5</v>
      </c>
      <c r="W1556" t="s">
        <v>66</v>
      </c>
      <c r="X1556" t="s">
        <v>67</v>
      </c>
      <c r="Y1556" t="s">
        <v>67</v>
      </c>
      <c r="Z1556" t="s">
        <v>68</v>
      </c>
      <c r="AB1556">
        <v>4</v>
      </c>
      <c r="AC1556" t="s">
        <v>61</v>
      </c>
      <c r="AJ1556" t="s">
        <v>69</v>
      </c>
      <c r="AY1556" t="s">
        <v>70</v>
      </c>
      <c r="AZ1556">
        <v>14339</v>
      </c>
      <c r="BA1556" t="s">
        <v>71</v>
      </c>
      <c r="BB1556" t="s">
        <v>72</v>
      </c>
      <c r="BC1556">
        <v>1987</v>
      </c>
      <c r="BD1556" t="s">
        <v>73</v>
      </c>
    </row>
    <row r="1557" spans="1:56" x14ac:dyDescent="0.35">
      <c r="A1557">
        <v>127184</v>
      </c>
      <c r="B1557" t="s">
        <v>1228</v>
      </c>
      <c r="D1557" t="s">
        <v>85</v>
      </c>
      <c r="E1557" t="s">
        <v>86</v>
      </c>
      <c r="F1557" t="s">
        <v>58</v>
      </c>
      <c r="G1557" t="s">
        <v>59</v>
      </c>
      <c r="H1557" t="s">
        <v>60</v>
      </c>
      <c r="J1557" t="s">
        <v>86</v>
      </c>
      <c r="L1557" t="s">
        <v>62</v>
      </c>
      <c r="M1557" t="s">
        <v>63</v>
      </c>
      <c r="N1557" t="s">
        <v>64</v>
      </c>
      <c r="O1557">
        <v>8</v>
      </c>
      <c r="P1557" t="s">
        <v>100</v>
      </c>
      <c r="S1557" t="s">
        <v>153</v>
      </c>
      <c r="T1557">
        <v>250</v>
      </c>
      <c r="U1557" t="s">
        <v>435</v>
      </c>
      <c r="V1557">
        <v>500</v>
      </c>
      <c r="W1557" t="s">
        <v>66</v>
      </c>
      <c r="X1557" t="s">
        <v>67</v>
      </c>
      <c r="Y1557" t="s">
        <v>67</v>
      </c>
      <c r="Z1557" t="s">
        <v>68</v>
      </c>
      <c r="AB1557">
        <v>4</v>
      </c>
      <c r="AC1557" t="s">
        <v>61</v>
      </c>
      <c r="AJ1557" t="s">
        <v>69</v>
      </c>
      <c r="AY1557" t="s">
        <v>436</v>
      </c>
      <c r="AZ1557">
        <v>177359</v>
      </c>
      <c r="BA1557" t="s">
        <v>1229</v>
      </c>
      <c r="BB1557" t="s">
        <v>1230</v>
      </c>
      <c r="BC1557">
        <v>1977</v>
      </c>
      <c r="BD1557" t="s">
        <v>90</v>
      </c>
    </row>
    <row r="1558" spans="1:56" x14ac:dyDescent="0.35">
      <c r="A1558">
        <v>127184</v>
      </c>
      <c r="B1558" t="s">
        <v>1228</v>
      </c>
      <c r="E1558" t="s">
        <v>86</v>
      </c>
      <c r="F1558" t="s">
        <v>58</v>
      </c>
      <c r="G1558" t="s">
        <v>59</v>
      </c>
      <c r="H1558" t="s">
        <v>60</v>
      </c>
      <c r="I1558" t="s">
        <v>129</v>
      </c>
      <c r="J1558" t="s">
        <v>86</v>
      </c>
      <c r="K1558" t="s">
        <v>61</v>
      </c>
      <c r="L1558" t="s">
        <v>74</v>
      </c>
      <c r="M1558" t="s">
        <v>63</v>
      </c>
      <c r="N1558" t="s">
        <v>64</v>
      </c>
      <c r="P1558" t="s">
        <v>100</v>
      </c>
      <c r="R1558">
        <v>23.8</v>
      </c>
      <c r="T1558">
        <v>20.9</v>
      </c>
      <c r="V1558">
        <v>26.4</v>
      </c>
      <c r="W1558" t="s">
        <v>66</v>
      </c>
      <c r="X1558" t="s">
        <v>67</v>
      </c>
      <c r="Y1558" t="s">
        <v>67</v>
      </c>
      <c r="Z1558" t="s">
        <v>68</v>
      </c>
      <c r="AB1558">
        <v>4</v>
      </c>
      <c r="AC1558" t="s">
        <v>61</v>
      </c>
      <c r="AJ1558" t="s">
        <v>69</v>
      </c>
      <c r="AY1558" t="s">
        <v>422</v>
      </c>
      <c r="AZ1558">
        <v>14128</v>
      </c>
      <c r="BA1558" t="s">
        <v>423</v>
      </c>
      <c r="BB1558" t="s">
        <v>424</v>
      </c>
      <c r="BC1558">
        <v>1985</v>
      </c>
      <c r="BD1558" t="s">
        <v>833</v>
      </c>
    </row>
    <row r="1559" spans="1:56" x14ac:dyDescent="0.35">
      <c r="A1559">
        <v>127184</v>
      </c>
      <c r="B1559" t="s">
        <v>1228</v>
      </c>
      <c r="D1559" t="s">
        <v>57</v>
      </c>
      <c r="E1559">
        <v>99</v>
      </c>
      <c r="F1559" t="s">
        <v>58</v>
      </c>
      <c r="G1559" t="s">
        <v>59</v>
      </c>
      <c r="H1559" t="s">
        <v>60</v>
      </c>
      <c r="J1559">
        <v>30</v>
      </c>
      <c r="K1559" t="s">
        <v>61</v>
      </c>
      <c r="L1559" t="s">
        <v>74</v>
      </c>
      <c r="M1559" t="s">
        <v>63</v>
      </c>
      <c r="N1559" t="s">
        <v>64</v>
      </c>
      <c r="P1559" t="s">
        <v>65</v>
      </c>
      <c r="R1559">
        <v>13.4</v>
      </c>
      <c r="T1559">
        <v>12.4</v>
      </c>
      <c r="V1559">
        <v>14.4</v>
      </c>
      <c r="W1559" t="s">
        <v>66</v>
      </c>
      <c r="X1559" t="s">
        <v>67</v>
      </c>
      <c r="Y1559" t="s">
        <v>67</v>
      </c>
      <c r="Z1559" t="s">
        <v>68</v>
      </c>
      <c r="AB1559">
        <v>4</v>
      </c>
      <c r="AC1559" t="s">
        <v>61</v>
      </c>
      <c r="AJ1559" t="s">
        <v>69</v>
      </c>
      <c r="AY1559" t="s">
        <v>141</v>
      </c>
      <c r="AZ1559">
        <v>12447</v>
      </c>
      <c r="BA1559" t="s">
        <v>142</v>
      </c>
      <c r="BB1559" t="s">
        <v>143</v>
      </c>
      <c r="BC1559">
        <v>1985</v>
      </c>
      <c r="BD1559" t="s">
        <v>73</v>
      </c>
    </row>
    <row r="1560" spans="1:56" x14ac:dyDescent="0.35">
      <c r="A1560">
        <v>127184</v>
      </c>
      <c r="B1560" t="s">
        <v>1228</v>
      </c>
      <c r="D1560" t="s">
        <v>57</v>
      </c>
      <c r="E1560">
        <v>99</v>
      </c>
      <c r="F1560" t="s">
        <v>58</v>
      </c>
      <c r="G1560" t="s">
        <v>59</v>
      </c>
      <c r="H1560" t="s">
        <v>60</v>
      </c>
      <c r="J1560">
        <v>31</v>
      </c>
      <c r="K1560" t="s">
        <v>61</v>
      </c>
      <c r="L1560" t="s">
        <v>74</v>
      </c>
      <c r="M1560" t="s">
        <v>63</v>
      </c>
      <c r="N1560" t="s">
        <v>64</v>
      </c>
      <c r="P1560" t="s">
        <v>65</v>
      </c>
      <c r="R1560">
        <v>20.3</v>
      </c>
      <c r="T1560">
        <v>17.899999999999999</v>
      </c>
      <c r="V1560">
        <v>23</v>
      </c>
      <c r="W1560" t="s">
        <v>66</v>
      </c>
      <c r="X1560" t="s">
        <v>67</v>
      </c>
      <c r="Y1560" t="s">
        <v>67</v>
      </c>
      <c r="Z1560" t="s">
        <v>68</v>
      </c>
      <c r="AB1560">
        <v>4</v>
      </c>
      <c r="AC1560" t="s">
        <v>61</v>
      </c>
      <c r="AJ1560" t="s">
        <v>69</v>
      </c>
      <c r="AY1560" t="s">
        <v>141</v>
      </c>
      <c r="AZ1560">
        <v>12447</v>
      </c>
      <c r="BA1560" t="s">
        <v>142</v>
      </c>
      <c r="BB1560" t="s">
        <v>143</v>
      </c>
      <c r="BC1560">
        <v>1985</v>
      </c>
      <c r="BD1560" t="s">
        <v>73</v>
      </c>
    </row>
    <row r="1561" spans="1:56" x14ac:dyDescent="0.35">
      <c r="A1561">
        <v>127184</v>
      </c>
      <c r="B1561" t="s">
        <v>1228</v>
      </c>
      <c r="D1561" t="s">
        <v>85</v>
      </c>
      <c r="E1561" t="s">
        <v>86</v>
      </c>
      <c r="F1561" t="s">
        <v>58</v>
      </c>
      <c r="G1561" t="s">
        <v>59</v>
      </c>
      <c r="H1561" t="s">
        <v>60</v>
      </c>
      <c r="I1561" t="s">
        <v>211</v>
      </c>
      <c r="J1561" t="s">
        <v>86</v>
      </c>
      <c r="L1561" t="s">
        <v>62</v>
      </c>
      <c r="M1561" t="s">
        <v>63</v>
      </c>
      <c r="N1561" t="s">
        <v>64</v>
      </c>
      <c r="P1561" t="s">
        <v>100</v>
      </c>
      <c r="R1561">
        <v>21.4</v>
      </c>
      <c r="T1561">
        <v>16.5</v>
      </c>
      <c r="V1561">
        <v>26.4</v>
      </c>
      <c r="W1561" t="s">
        <v>66</v>
      </c>
      <c r="X1561" t="s">
        <v>67</v>
      </c>
      <c r="Y1561" t="s">
        <v>67</v>
      </c>
      <c r="Z1561" t="s">
        <v>68</v>
      </c>
      <c r="AB1561">
        <v>4</v>
      </c>
      <c r="AC1561" t="s">
        <v>61</v>
      </c>
      <c r="AJ1561" t="s">
        <v>69</v>
      </c>
      <c r="AY1561" t="s">
        <v>430</v>
      </c>
      <c r="AZ1561">
        <v>973</v>
      </c>
      <c r="BA1561" t="s">
        <v>431</v>
      </c>
      <c r="BB1561" t="s">
        <v>432</v>
      </c>
      <c r="BC1561">
        <v>1978</v>
      </c>
      <c r="BD1561" t="s">
        <v>90</v>
      </c>
    </row>
    <row r="1562" spans="1:56" x14ac:dyDescent="0.35">
      <c r="A1562">
        <v>127208</v>
      </c>
      <c r="B1562" t="s">
        <v>1231</v>
      </c>
      <c r="D1562" t="s">
        <v>85</v>
      </c>
      <c r="E1562">
        <v>85</v>
      </c>
      <c r="F1562" t="s">
        <v>58</v>
      </c>
      <c r="G1562" t="s">
        <v>59</v>
      </c>
      <c r="H1562" t="s">
        <v>60</v>
      </c>
      <c r="J1562" t="s">
        <v>86</v>
      </c>
      <c r="L1562" t="s">
        <v>62</v>
      </c>
      <c r="M1562" t="s">
        <v>63</v>
      </c>
      <c r="N1562" t="s">
        <v>64</v>
      </c>
      <c r="P1562" t="s">
        <v>65</v>
      </c>
      <c r="R1562">
        <v>290</v>
      </c>
      <c r="W1562" t="s">
        <v>66</v>
      </c>
      <c r="X1562" t="s">
        <v>67</v>
      </c>
      <c r="Y1562" t="s">
        <v>67</v>
      </c>
      <c r="Z1562" t="s">
        <v>68</v>
      </c>
      <c r="AB1562">
        <v>4</v>
      </c>
      <c r="AC1562" t="s">
        <v>61</v>
      </c>
      <c r="AJ1562" t="s">
        <v>69</v>
      </c>
      <c r="AY1562" t="s">
        <v>648</v>
      </c>
      <c r="AZ1562">
        <v>892</v>
      </c>
      <c r="BA1562" t="s">
        <v>649</v>
      </c>
      <c r="BB1562" t="s">
        <v>650</v>
      </c>
      <c r="BC1562">
        <v>1962</v>
      </c>
      <c r="BD1562" t="s">
        <v>90</v>
      </c>
    </row>
    <row r="1563" spans="1:56" x14ac:dyDescent="0.35">
      <c r="A1563">
        <v>127208</v>
      </c>
      <c r="B1563" t="s">
        <v>1231</v>
      </c>
      <c r="D1563" t="s">
        <v>85</v>
      </c>
      <c r="E1563">
        <v>85</v>
      </c>
      <c r="F1563" t="s">
        <v>58</v>
      </c>
      <c r="G1563" t="s">
        <v>59</v>
      </c>
      <c r="H1563" t="s">
        <v>60</v>
      </c>
      <c r="J1563" t="s">
        <v>86</v>
      </c>
      <c r="L1563" t="s">
        <v>62</v>
      </c>
      <c r="M1563" t="s">
        <v>63</v>
      </c>
      <c r="N1563" t="s">
        <v>64</v>
      </c>
      <c r="P1563" t="s">
        <v>65</v>
      </c>
      <c r="R1563">
        <v>390</v>
      </c>
      <c r="W1563" t="s">
        <v>66</v>
      </c>
      <c r="X1563" t="s">
        <v>67</v>
      </c>
      <c r="Y1563" t="s">
        <v>67</v>
      </c>
      <c r="Z1563" t="s">
        <v>68</v>
      </c>
      <c r="AB1563">
        <v>4</v>
      </c>
      <c r="AC1563" t="s">
        <v>61</v>
      </c>
      <c r="AJ1563" t="s">
        <v>69</v>
      </c>
      <c r="AY1563" t="s">
        <v>648</v>
      </c>
      <c r="AZ1563">
        <v>892</v>
      </c>
      <c r="BA1563" t="s">
        <v>649</v>
      </c>
      <c r="BB1563" t="s">
        <v>650</v>
      </c>
      <c r="BC1563">
        <v>1962</v>
      </c>
      <c r="BD1563" t="s">
        <v>90</v>
      </c>
    </row>
    <row r="1564" spans="1:56" x14ac:dyDescent="0.35">
      <c r="A1564">
        <v>127651</v>
      </c>
      <c r="B1564" t="s">
        <v>1232</v>
      </c>
      <c r="C1564" t="s">
        <v>652</v>
      </c>
      <c r="D1564" t="s">
        <v>57</v>
      </c>
      <c r="E1564" t="s">
        <v>86</v>
      </c>
      <c r="F1564" t="s">
        <v>58</v>
      </c>
      <c r="G1564" t="s">
        <v>59</v>
      </c>
      <c r="H1564" t="s">
        <v>60</v>
      </c>
      <c r="J1564" t="s">
        <v>86</v>
      </c>
      <c r="L1564" t="s">
        <v>62</v>
      </c>
      <c r="M1564" t="s">
        <v>63</v>
      </c>
      <c r="N1564" t="s">
        <v>64</v>
      </c>
      <c r="P1564" t="s">
        <v>65</v>
      </c>
      <c r="R1564">
        <v>14.2</v>
      </c>
      <c r="T1564">
        <v>12.5</v>
      </c>
      <c r="V1564">
        <v>16.100000000000001</v>
      </c>
      <c r="W1564" t="s">
        <v>66</v>
      </c>
      <c r="X1564" t="s">
        <v>67</v>
      </c>
      <c r="Y1564" t="s">
        <v>67</v>
      </c>
      <c r="Z1564" t="s">
        <v>68</v>
      </c>
      <c r="AB1564">
        <v>4</v>
      </c>
      <c r="AC1564" t="s">
        <v>61</v>
      </c>
      <c r="AJ1564" t="s">
        <v>69</v>
      </c>
      <c r="AY1564" t="s">
        <v>1233</v>
      </c>
      <c r="AZ1564">
        <v>3075</v>
      </c>
      <c r="BA1564" t="s">
        <v>1234</v>
      </c>
      <c r="BB1564" t="s">
        <v>1235</v>
      </c>
      <c r="BC1564">
        <v>1988</v>
      </c>
      <c r="BD1564" t="s">
        <v>90</v>
      </c>
    </row>
    <row r="1565" spans="1:56" x14ac:dyDescent="0.35">
      <c r="A1565">
        <v>127651</v>
      </c>
      <c r="B1565" t="s">
        <v>1232</v>
      </c>
      <c r="C1565" t="s">
        <v>652</v>
      </c>
      <c r="D1565" t="s">
        <v>57</v>
      </c>
      <c r="E1565" t="s">
        <v>86</v>
      </c>
      <c r="F1565" t="s">
        <v>58</v>
      </c>
      <c r="G1565" t="s">
        <v>59</v>
      </c>
      <c r="H1565" t="s">
        <v>60</v>
      </c>
      <c r="J1565" t="s">
        <v>86</v>
      </c>
      <c r="L1565" t="s">
        <v>62</v>
      </c>
      <c r="M1565" t="s">
        <v>63</v>
      </c>
      <c r="N1565" t="s">
        <v>64</v>
      </c>
      <c r="P1565" t="s">
        <v>65</v>
      </c>
      <c r="R1565">
        <v>8</v>
      </c>
      <c r="T1565">
        <v>7.49</v>
      </c>
      <c r="V1565">
        <v>8.5399999999999991</v>
      </c>
      <c r="W1565" t="s">
        <v>66</v>
      </c>
      <c r="X1565" t="s">
        <v>67</v>
      </c>
      <c r="Y1565" t="s">
        <v>67</v>
      </c>
      <c r="Z1565" t="s">
        <v>68</v>
      </c>
      <c r="AB1565">
        <v>4</v>
      </c>
      <c r="AC1565" t="s">
        <v>61</v>
      </c>
      <c r="AJ1565" t="s">
        <v>69</v>
      </c>
      <c r="AY1565" t="s">
        <v>1233</v>
      </c>
      <c r="AZ1565">
        <v>3075</v>
      </c>
      <c r="BA1565" t="s">
        <v>1234</v>
      </c>
      <c r="BB1565" t="s">
        <v>1235</v>
      </c>
      <c r="BC1565">
        <v>1988</v>
      </c>
      <c r="BD1565" t="s">
        <v>90</v>
      </c>
    </row>
    <row r="1566" spans="1:56" x14ac:dyDescent="0.35">
      <c r="A1566">
        <v>127651</v>
      </c>
      <c r="B1566" t="s">
        <v>1232</v>
      </c>
      <c r="C1566" t="s">
        <v>652</v>
      </c>
      <c r="D1566" t="s">
        <v>57</v>
      </c>
      <c r="E1566" t="s">
        <v>86</v>
      </c>
      <c r="F1566" t="s">
        <v>58</v>
      </c>
      <c r="G1566" t="s">
        <v>59</v>
      </c>
      <c r="H1566" t="s">
        <v>60</v>
      </c>
      <c r="J1566" t="s">
        <v>86</v>
      </c>
      <c r="L1566" t="s">
        <v>62</v>
      </c>
      <c r="M1566" t="s">
        <v>63</v>
      </c>
      <c r="N1566" t="s">
        <v>64</v>
      </c>
      <c r="P1566" t="s">
        <v>65</v>
      </c>
      <c r="R1566">
        <v>17.399999999999999</v>
      </c>
      <c r="T1566">
        <v>14.6</v>
      </c>
      <c r="V1566">
        <v>20.7</v>
      </c>
      <c r="W1566" t="s">
        <v>66</v>
      </c>
      <c r="X1566" t="s">
        <v>67</v>
      </c>
      <c r="Y1566" t="s">
        <v>67</v>
      </c>
      <c r="Z1566" t="s">
        <v>68</v>
      </c>
      <c r="AB1566">
        <v>4</v>
      </c>
      <c r="AC1566" t="s">
        <v>61</v>
      </c>
      <c r="AJ1566" t="s">
        <v>69</v>
      </c>
      <c r="AY1566" t="s">
        <v>1233</v>
      </c>
      <c r="AZ1566">
        <v>3075</v>
      </c>
      <c r="BA1566" t="s">
        <v>1234</v>
      </c>
      <c r="BB1566" t="s">
        <v>1235</v>
      </c>
      <c r="BC1566">
        <v>1988</v>
      </c>
      <c r="BD1566" t="s">
        <v>90</v>
      </c>
    </row>
    <row r="1567" spans="1:56" x14ac:dyDescent="0.35">
      <c r="A1567">
        <v>127651</v>
      </c>
      <c r="B1567" t="s">
        <v>1232</v>
      </c>
      <c r="C1567" t="s">
        <v>652</v>
      </c>
      <c r="D1567" t="s">
        <v>57</v>
      </c>
      <c r="E1567" t="s">
        <v>86</v>
      </c>
      <c r="F1567" t="s">
        <v>58</v>
      </c>
      <c r="G1567" t="s">
        <v>59</v>
      </c>
      <c r="H1567" t="s">
        <v>60</v>
      </c>
      <c r="J1567" t="s">
        <v>86</v>
      </c>
      <c r="L1567" t="s">
        <v>62</v>
      </c>
      <c r="M1567" t="s">
        <v>63</v>
      </c>
      <c r="N1567" t="s">
        <v>64</v>
      </c>
      <c r="P1567" t="s">
        <v>65</v>
      </c>
      <c r="R1567">
        <v>17.2</v>
      </c>
      <c r="T1567">
        <v>14.4</v>
      </c>
      <c r="V1567">
        <v>20.399999999999999</v>
      </c>
      <c r="W1567" t="s">
        <v>66</v>
      </c>
      <c r="X1567" t="s">
        <v>67</v>
      </c>
      <c r="Y1567" t="s">
        <v>67</v>
      </c>
      <c r="Z1567" t="s">
        <v>68</v>
      </c>
      <c r="AB1567">
        <v>4</v>
      </c>
      <c r="AC1567" t="s">
        <v>61</v>
      </c>
      <c r="AJ1567" t="s">
        <v>69</v>
      </c>
      <c r="AY1567" t="s">
        <v>1233</v>
      </c>
      <c r="AZ1567">
        <v>3075</v>
      </c>
      <c r="BA1567" t="s">
        <v>1234</v>
      </c>
      <c r="BB1567" t="s">
        <v>1235</v>
      </c>
      <c r="BC1567">
        <v>1988</v>
      </c>
      <c r="BD1567" t="s">
        <v>90</v>
      </c>
    </row>
    <row r="1568" spans="1:56" x14ac:dyDescent="0.35">
      <c r="A1568">
        <v>127651</v>
      </c>
      <c r="B1568" t="s">
        <v>1232</v>
      </c>
      <c r="C1568" t="s">
        <v>652</v>
      </c>
      <c r="D1568" t="s">
        <v>57</v>
      </c>
      <c r="E1568" t="s">
        <v>86</v>
      </c>
      <c r="F1568" t="s">
        <v>58</v>
      </c>
      <c r="G1568" t="s">
        <v>59</v>
      </c>
      <c r="H1568" t="s">
        <v>60</v>
      </c>
      <c r="J1568" t="s">
        <v>86</v>
      </c>
      <c r="L1568" t="s">
        <v>62</v>
      </c>
      <c r="M1568" t="s">
        <v>63</v>
      </c>
      <c r="N1568" t="s">
        <v>64</v>
      </c>
      <c r="P1568" t="s">
        <v>65</v>
      </c>
      <c r="R1568">
        <v>7.3</v>
      </c>
      <c r="T1568">
        <v>6.71</v>
      </c>
      <c r="V1568">
        <v>7.94</v>
      </c>
      <c r="W1568" t="s">
        <v>66</v>
      </c>
      <c r="X1568" t="s">
        <v>67</v>
      </c>
      <c r="Y1568" t="s">
        <v>67</v>
      </c>
      <c r="Z1568" t="s">
        <v>68</v>
      </c>
      <c r="AB1568">
        <v>4</v>
      </c>
      <c r="AC1568" t="s">
        <v>61</v>
      </c>
      <c r="AJ1568" t="s">
        <v>69</v>
      </c>
      <c r="AY1568" t="s">
        <v>1233</v>
      </c>
      <c r="AZ1568">
        <v>3075</v>
      </c>
      <c r="BA1568" t="s">
        <v>1234</v>
      </c>
      <c r="BB1568" t="s">
        <v>1235</v>
      </c>
      <c r="BC1568">
        <v>1988</v>
      </c>
      <c r="BD1568" t="s">
        <v>90</v>
      </c>
    </row>
    <row r="1569" spans="1:56" x14ac:dyDescent="0.35">
      <c r="A1569">
        <v>127651</v>
      </c>
      <c r="B1569" t="s">
        <v>1232</v>
      </c>
      <c r="C1569" t="s">
        <v>652</v>
      </c>
      <c r="D1569" t="s">
        <v>57</v>
      </c>
      <c r="E1569" t="s">
        <v>86</v>
      </c>
      <c r="F1569" t="s">
        <v>58</v>
      </c>
      <c r="G1569" t="s">
        <v>59</v>
      </c>
      <c r="H1569" t="s">
        <v>60</v>
      </c>
      <c r="J1569" t="s">
        <v>86</v>
      </c>
      <c r="L1569" t="s">
        <v>62</v>
      </c>
      <c r="M1569" t="s">
        <v>63</v>
      </c>
      <c r="N1569" t="s">
        <v>64</v>
      </c>
      <c r="P1569" t="s">
        <v>65</v>
      </c>
      <c r="R1569">
        <v>8.5</v>
      </c>
      <c r="T1569">
        <v>7.24</v>
      </c>
      <c r="V1569">
        <v>9.98</v>
      </c>
      <c r="W1569" t="s">
        <v>66</v>
      </c>
      <c r="X1569" t="s">
        <v>67</v>
      </c>
      <c r="Y1569" t="s">
        <v>67</v>
      </c>
      <c r="Z1569" t="s">
        <v>68</v>
      </c>
      <c r="AB1569">
        <v>4</v>
      </c>
      <c r="AC1569" t="s">
        <v>61</v>
      </c>
      <c r="AJ1569" t="s">
        <v>69</v>
      </c>
      <c r="AY1569" t="s">
        <v>1233</v>
      </c>
      <c r="AZ1569">
        <v>3075</v>
      </c>
      <c r="BA1569" t="s">
        <v>1234</v>
      </c>
      <c r="BB1569" t="s">
        <v>1235</v>
      </c>
      <c r="BC1569">
        <v>1988</v>
      </c>
      <c r="BD1569" t="s">
        <v>90</v>
      </c>
    </row>
    <row r="1570" spans="1:56" x14ac:dyDescent="0.35">
      <c r="A1570">
        <v>127651</v>
      </c>
      <c r="B1570" t="s">
        <v>1232</v>
      </c>
      <c r="C1570" t="s">
        <v>652</v>
      </c>
      <c r="D1570" t="s">
        <v>57</v>
      </c>
      <c r="E1570" t="s">
        <v>86</v>
      </c>
      <c r="F1570" t="s">
        <v>58</v>
      </c>
      <c r="G1570" t="s">
        <v>59</v>
      </c>
      <c r="H1570" t="s">
        <v>60</v>
      </c>
      <c r="J1570" t="s">
        <v>86</v>
      </c>
      <c r="L1570" t="s">
        <v>62</v>
      </c>
      <c r="M1570" t="s">
        <v>63</v>
      </c>
      <c r="N1570" t="s">
        <v>64</v>
      </c>
      <c r="P1570" t="s">
        <v>65</v>
      </c>
      <c r="R1570">
        <v>12</v>
      </c>
      <c r="T1570">
        <v>10.3</v>
      </c>
      <c r="V1570">
        <v>13.9</v>
      </c>
      <c r="W1570" t="s">
        <v>66</v>
      </c>
      <c r="X1570" t="s">
        <v>67</v>
      </c>
      <c r="Y1570" t="s">
        <v>67</v>
      </c>
      <c r="Z1570" t="s">
        <v>68</v>
      </c>
      <c r="AB1570">
        <v>4</v>
      </c>
      <c r="AC1570" t="s">
        <v>61</v>
      </c>
      <c r="AJ1570" t="s">
        <v>69</v>
      </c>
      <c r="AY1570" t="s">
        <v>1233</v>
      </c>
      <c r="AZ1570">
        <v>3075</v>
      </c>
      <c r="BA1570" t="s">
        <v>1234</v>
      </c>
      <c r="BB1570" t="s">
        <v>1235</v>
      </c>
      <c r="BC1570">
        <v>1988</v>
      </c>
      <c r="BD1570" t="s">
        <v>90</v>
      </c>
    </row>
    <row r="1571" spans="1:56" x14ac:dyDescent="0.35">
      <c r="A1571">
        <v>127651</v>
      </c>
      <c r="B1571" t="s">
        <v>1232</v>
      </c>
      <c r="C1571" t="s">
        <v>652</v>
      </c>
      <c r="D1571" t="s">
        <v>57</v>
      </c>
      <c r="E1571" t="s">
        <v>86</v>
      </c>
      <c r="F1571" t="s">
        <v>58</v>
      </c>
      <c r="G1571" t="s">
        <v>59</v>
      </c>
      <c r="H1571" t="s">
        <v>60</v>
      </c>
      <c r="J1571" t="s">
        <v>86</v>
      </c>
      <c r="L1571" t="s">
        <v>62</v>
      </c>
      <c r="M1571" t="s">
        <v>63</v>
      </c>
      <c r="N1571" t="s">
        <v>64</v>
      </c>
      <c r="P1571" t="s">
        <v>65</v>
      </c>
      <c r="R1571">
        <v>12.2</v>
      </c>
      <c r="T1571">
        <v>10.8</v>
      </c>
      <c r="V1571">
        <v>13.8</v>
      </c>
      <c r="W1571" t="s">
        <v>66</v>
      </c>
      <c r="X1571" t="s">
        <v>67</v>
      </c>
      <c r="Y1571" t="s">
        <v>67</v>
      </c>
      <c r="Z1571" t="s">
        <v>68</v>
      </c>
      <c r="AB1571">
        <v>4</v>
      </c>
      <c r="AC1571" t="s">
        <v>61</v>
      </c>
      <c r="AJ1571" t="s">
        <v>69</v>
      </c>
      <c r="AY1571" t="s">
        <v>1233</v>
      </c>
      <c r="AZ1571">
        <v>3075</v>
      </c>
      <c r="BA1571" t="s">
        <v>1234</v>
      </c>
      <c r="BB1571" t="s">
        <v>1235</v>
      </c>
      <c r="BC1571">
        <v>1988</v>
      </c>
      <c r="BD1571" t="s">
        <v>90</v>
      </c>
    </row>
    <row r="1572" spans="1:56" x14ac:dyDescent="0.35">
      <c r="A1572">
        <v>127651</v>
      </c>
      <c r="B1572" t="s">
        <v>1232</v>
      </c>
      <c r="C1572" t="s">
        <v>652</v>
      </c>
      <c r="D1572" t="s">
        <v>57</v>
      </c>
      <c r="E1572" t="s">
        <v>86</v>
      </c>
      <c r="F1572" t="s">
        <v>58</v>
      </c>
      <c r="G1572" t="s">
        <v>59</v>
      </c>
      <c r="H1572" t="s">
        <v>60</v>
      </c>
      <c r="J1572" t="s">
        <v>86</v>
      </c>
      <c r="L1572" t="s">
        <v>62</v>
      </c>
      <c r="M1572" t="s">
        <v>63</v>
      </c>
      <c r="N1572" t="s">
        <v>64</v>
      </c>
      <c r="P1572" t="s">
        <v>65</v>
      </c>
      <c r="R1572">
        <v>7.4</v>
      </c>
      <c r="T1572">
        <v>6.65</v>
      </c>
      <c r="V1572">
        <v>8.23</v>
      </c>
      <c r="W1572" t="s">
        <v>66</v>
      </c>
      <c r="X1572" t="s">
        <v>67</v>
      </c>
      <c r="Y1572" t="s">
        <v>67</v>
      </c>
      <c r="Z1572" t="s">
        <v>68</v>
      </c>
      <c r="AB1572">
        <v>4</v>
      </c>
      <c r="AC1572" t="s">
        <v>61</v>
      </c>
      <c r="AJ1572" t="s">
        <v>69</v>
      </c>
      <c r="AY1572" t="s">
        <v>1233</v>
      </c>
      <c r="AZ1572">
        <v>3075</v>
      </c>
      <c r="BA1572" t="s">
        <v>1234</v>
      </c>
      <c r="BB1572" t="s">
        <v>1235</v>
      </c>
      <c r="BC1572">
        <v>1988</v>
      </c>
      <c r="BD1572" t="s">
        <v>90</v>
      </c>
    </row>
    <row r="1573" spans="1:56" x14ac:dyDescent="0.35">
      <c r="A1573">
        <v>127651</v>
      </c>
      <c r="B1573" t="s">
        <v>1232</v>
      </c>
      <c r="C1573" t="s">
        <v>652</v>
      </c>
      <c r="D1573" t="s">
        <v>57</v>
      </c>
      <c r="E1573" t="s">
        <v>86</v>
      </c>
      <c r="F1573" t="s">
        <v>58</v>
      </c>
      <c r="G1573" t="s">
        <v>59</v>
      </c>
      <c r="H1573" t="s">
        <v>60</v>
      </c>
      <c r="J1573" t="s">
        <v>86</v>
      </c>
      <c r="L1573" t="s">
        <v>62</v>
      </c>
      <c r="M1573" t="s">
        <v>63</v>
      </c>
      <c r="N1573" t="s">
        <v>64</v>
      </c>
      <c r="P1573" t="s">
        <v>65</v>
      </c>
      <c r="R1573">
        <v>7</v>
      </c>
      <c r="T1573">
        <v>6.52</v>
      </c>
      <c r="V1573">
        <v>7.51</v>
      </c>
      <c r="W1573" t="s">
        <v>66</v>
      </c>
      <c r="X1573" t="s">
        <v>67</v>
      </c>
      <c r="Y1573" t="s">
        <v>67</v>
      </c>
      <c r="Z1573" t="s">
        <v>68</v>
      </c>
      <c r="AB1573">
        <v>4</v>
      </c>
      <c r="AC1573" t="s">
        <v>61</v>
      </c>
      <c r="AJ1573" t="s">
        <v>69</v>
      </c>
      <c r="AY1573" t="s">
        <v>1233</v>
      </c>
      <c r="AZ1573">
        <v>3075</v>
      </c>
      <c r="BA1573" t="s">
        <v>1234</v>
      </c>
      <c r="BB1573" t="s">
        <v>1235</v>
      </c>
      <c r="BC1573">
        <v>1988</v>
      </c>
      <c r="BD1573" t="s">
        <v>90</v>
      </c>
    </row>
    <row r="1574" spans="1:56" x14ac:dyDescent="0.35">
      <c r="A1574">
        <v>127651</v>
      </c>
      <c r="B1574" t="s">
        <v>1232</v>
      </c>
      <c r="C1574" t="s">
        <v>652</v>
      </c>
      <c r="D1574" t="s">
        <v>57</v>
      </c>
      <c r="E1574" t="s">
        <v>86</v>
      </c>
      <c r="F1574" t="s">
        <v>58</v>
      </c>
      <c r="G1574" t="s">
        <v>59</v>
      </c>
      <c r="H1574" t="s">
        <v>60</v>
      </c>
      <c r="J1574" t="s">
        <v>86</v>
      </c>
      <c r="L1574" t="s">
        <v>62</v>
      </c>
      <c r="M1574" t="s">
        <v>63</v>
      </c>
      <c r="N1574" t="s">
        <v>64</v>
      </c>
      <c r="P1574" t="s">
        <v>65</v>
      </c>
      <c r="R1574">
        <v>20.8</v>
      </c>
      <c r="T1574">
        <v>17.899999999999999</v>
      </c>
      <c r="V1574">
        <v>24.1</v>
      </c>
      <c r="W1574" t="s">
        <v>66</v>
      </c>
      <c r="X1574" t="s">
        <v>67</v>
      </c>
      <c r="Y1574" t="s">
        <v>67</v>
      </c>
      <c r="Z1574" t="s">
        <v>68</v>
      </c>
      <c r="AB1574">
        <v>4</v>
      </c>
      <c r="AC1574" t="s">
        <v>61</v>
      </c>
      <c r="AJ1574" t="s">
        <v>69</v>
      </c>
      <c r="AY1574" t="s">
        <v>1233</v>
      </c>
      <c r="AZ1574">
        <v>3075</v>
      </c>
      <c r="BA1574" t="s">
        <v>1234</v>
      </c>
      <c r="BB1574" t="s">
        <v>1235</v>
      </c>
      <c r="BC1574">
        <v>1988</v>
      </c>
      <c r="BD1574" t="s">
        <v>90</v>
      </c>
    </row>
    <row r="1575" spans="1:56" x14ac:dyDescent="0.35">
      <c r="A1575">
        <v>127651</v>
      </c>
      <c r="B1575" t="s">
        <v>1232</v>
      </c>
      <c r="C1575" t="s">
        <v>652</v>
      </c>
      <c r="D1575" t="s">
        <v>85</v>
      </c>
      <c r="E1575" t="s">
        <v>86</v>
      </c>
      <c r="F1575" t="s">
        <v>58</v>
      </c>
      <c r="G1575" t="s">
        <v>59</v>
      </c>
      <c r="H1575" t="s">
        <v>60</v>
      </c>
      <c r="J1575" t="s">
        <v>86</v>
      </c>
      <c r="L1575" t="s">
        <v>62</v>
      </c>
      <c r="M1575" t="s">
        <v>63</v>
      </c>
      <c r="N1575" t="s">
        <v>64</v>
      </c>
      <c r="P1575" t="s">
        <v>65</v>
      </c>
      <c r="R1575">
        <v>7.3</v>
      </c>
      <c r="T1575">
        <v>6.71</v>
      </c>
      <c r="V1575">
        <v>7.94</v>
      </c>
      <c r="W1575" t="s">
        <v>66</v>
      </c>
      <c r="X1575" t="s">
        <v>67</v>
      </c>
      <c r="Y1575" t="s">
        <v>67</v>
      </c>
      <c r="Z1575" t="s">
        <v>68</v>
      </c>
      <c r="AB1575">
        <v>4</v>
      </c>
      <c r="AC1575" t="s">
        <v>61</v>
      </c>
      <c r="AJ1575" t="s">
        <v>69</v>
      </c>
      <c r="AY1575" t="s">
        <v>1236</v>
      </c>
      <c r="AZ1575">
        <v>3074</v>
      </c>
      <c r="BA1575" t="s">
        <v>1237</v>
      </c>
      <c r="BB1575" t="s">
        <v>1238</v>
      </c>
      <c r="BC1575">
        <v>1988</v>
      </c>
      <c r="BD1575" t="s">
        <v>90</v>
      </c>
    </row>
    <row r="1576" spans="1:56" x14ac:dyDescent="0.35">
      <c r="A1576">
        <v>127662</v>
      </c>
      <c r="B1576" t="s">
        <v>1239</v>
      </c>
      <c r="D1576" t="s">
        <v>57</v>
      </c>
      <c r="E1576" t="s">
        <v>128</v>
      </c>
      <c r="F1576" t="s">
        <v>58</v>
      </c>
      <c r="G1576" t="s">
        <v>59</v>
      </c>
      <c r="H1576" t="s">
        <v>60</v>
      </c>
      <c r="I1576" t="s">
        <v>129</v>
      </c>
      <c r="J1576" t="s">
        <v>86</v>
      </c>
      <c r="K1576" t="s">
        <v>61</v>
      </c>
      <c r="L1576" t="s">
        <v>74</v>
      </c>
      <c r="M1576" t="s">
        <v>63</v>
      </c>
      <c r="N1576" t="s">
        <v>64</v>
      </c>
      <c r="P1576" t="s">
        <v>65</v>
      </c>
      <c r="R1576">
        <v>113</v>
      </c>
      <c r="W1576" t="s">
        <v>66</v>
      </c>
      <c r="X1576" t="s">
        <v>67</v>
      </c>
      <c r="Y1576" t="s">
        <v>67</v>
      </c>
      <c r="Z1576" t="s">
        <v>68</v>
      </c>
      <c r="AB1576">
        <v>4</v>
      </c>
      <c r="AC1576" t="s">
        <v>61</v>
      </c>
      <c r="AJ1576" t="s">
        <v>69</v>
      </c>
      <c r="AY1576" t="s">
        <v>541</v>
      </c>
      <c r="AZ1576">
        <v>2721</v>
      </c>
      <c r="BA1576" t="s">
        <v>542</v>
      </c>
      <c r="BB1576" t="s">
        <v>543</v>
      </c>
      <c r="BC1576">
        <v>1989</v>
      </c>
      <c r="BD1576" t="s">
        <v>544</v>
      </c>
    </row>
    <row r="1577" spans="1:56" x14ac:dyDescent="0.35">
      <c r="A1577">
        <v>127662</v>
      </c>
      <c r="B1577" t="s">
        <v>1239</v>
      </c>
      <c r="D1577" t="s">
        <v>57</v>
      </c>
      <c r="E1577" t="s">
        <v>407</v>
      </c>
      <c r="F1577" t="s">
        <v>58</v>
      </c>
      <c r="G1577" t="s">
        <v>59</v>
      </c>
      <c r="H1577" t="s">
        <v>60</v>
      </c>
      <c r="J1577">
        <v>33</v>
      </c>
      <c r="K1577" t="s">
        <v>61</v>
      </c>
      <c r="L1577" t="s">
        <v>74</v>
      </c>
      <c r="M1577" t="s">
        <v>63</v>
      </c>
      <c r="N1577" t="s">
        <v>64</v>
      </c>
      <c r="P1577" t="s">
        <v>65</v>
      </c>
      <c r="R1577">
        <v>113</v>
      </c>
      <c r="W1577" t="s">
        <v>66</v>
      </c>
      <c r="X1577" t="s">
        <v>67</v>
      </c>
      <c r="Y1577" t="s">
        <v>67</v>
      </c>
      <c r="Z1577" t="s">
        <v>68</v>
      </c>
      <c r="AB1577">
        <v>4</v>
      </c>
      <c r="AC1577" t="s">
        <v>61</v>
      </c>
      <c r="AJ1577" t="s">
        <v>69</v>
      </c>
      <c r="AY1577" t="s">
        <v>80</v>
      </c>
      <c r="AZ1577">
        <v>12859</v>
      </c>
      <c r="BA1577" t="s">
        <v>81</v>
      </c>
      <c r="BB1577" t="s">
        <v>82</v>
      </c>
      <c r="BC1577">
        <v>1988</v>
      </c>
      <c r="BD1577" t="s">
        <v>73</v>
      </c>
    </row>
    <row r="1578" spans="1:56" x14ac:dyDescent="0.35">
      <c r="A1578">
        <v>128030</v>
      </c>
      <c r="B1578" t="s">
        <v>1240</v>
      </c>
      <c r="E1578">
        <v>50</v>
      </c>
      <c r="F1578" t="s">
        <v>58</v>
      </c>
      <c r="G1578" t="s">
        <v>59</v>
      </c>
      <c r="H1578" t="s">
        <v>60</v>
      </c>
      <c r="J1578" t="s">
        <v>86</v>
      </c>
      <c r="L1578" t="s">
        <v>62</v>
      </c>
      <c r="M1578" t="s">
        <v>63</v>
      </c>
      <c r="N1578" t="s">
        <v>64</v>
      </c>
      <c r="P1578" t="s">
        <v>100</v>
      </c>
      <c r="R1578">
        <v>0.06</v>
      </c>
      <c r="T1578">
        <v>0.04</v>
      </c>
      <c r="V1578">
        <v>8.8999999999999996E-2</v>
      </c>
      <c r="W1578" t="s">
        <v>66</v>
      </c>
      <c r="X1578" t="s">
        <v>67</v>
      </c>
      <c r="Y1578" t="s">
        <v>67</v>
      </c>
      <c r="Z1578" t="s">
        <v>68</v>
      </c>
      <c r="AB1578">
        <v>4</v>
      </c>
      <c r="AC1578" t="s">
        <v>61</v>
      </c>
      <c r="AJ1578" t="s">
        <v>69</v>
      </c>
      <c r="AY1578" t="s">
        <v>116</v>
      </c>
      <c r="AZ1578">
        <v>344</v>
      </c>
      <c r="BA1578" t="s">
        <v>117</v>
      </c>
      <c r="BB1578" t="s">
        <v>118</v>
      </c>
      <c r="BC1578">
        <v>1992</v>
      </c>
      <c r="BD1578" t="s">
        <v>90</v>
      </c>
    </row>
    <row r="1579" spans="1:56" x14ac:dyDescent="0.35">
      <c r="A1579">
        <v>128449</v>
      </c>
      <c r="B1579" t="s">
        <v>1241</v>
      </c>
      <c r="D1579" t="s">
        <v>57</v>
      </c>
      <c r="E1579" t="s">
        <v>79</v>
      </c>
      <c r="F1579" t="s">
        <v>58</v>
      </c>
      <c r="G1579" t="s">
        <v>59</v>
      </c>
      <c r="H1579" t="s">
        <v>60</v>
      </c>
      <c r="J1579">
        <v>30</v>
      </c>
      <c r="K1579" t="s">
        <v>61</v>
      </c>
      <c r="L1579" t="s">
        <v>74</v>
      </c>
      <c r="M1579" t="s">
        <v>63</v>
      </c>
      <c r="N1579" t="s">
        <v>64</v>
      </c>
      <c r="P1579" t="s">
        <v>65</v>
      </c>
      <c r="R1579">
        <v>18300</v>
      </c>
      <c r="T1579">
        <v>16400</v>
      </c>
      <c r="V1579">
        <v>20400</v>
      </c>
      <c r="W1579" t="s">
        <v>66</v>
      </c>
      <c r="X1579" t="s">
        <v>67</v>
      </c>
      <c r="Y1579" t="s">
        <v>67</v>
      </c>
      <c r="Z1579" t="s">
        <v>68</v>
      </c>
      <c r="AB1579">
        <v>4</v>
      </c>
      <c r="AC1579" t="s">
        <v>61</v>
      </c>
      <c r="AJ1579" t="s">
        <v>69</v>
      </c>
      <c r="AY1579" t="s">
        <v>80</v>
      </c>
      <c r="AZ1579">
        <v>12859</v>
      </c>
      <c r="BA1579" t="s">
        <v>81</v>
      </c>
      <c r="BB1579" t="s">
        <v>82</v>
      </c>
      <c r="BC1579">
        <v>1988</v>
      </c>
      <c r="BD1579" t="s">
        <v>73</v>
      </c>
    </row>
    <row r="1580" spans="1:56" x14ac:dyDescent="0.35">
      <c r="A1580">
        <v>128585</v>
      </c>
      <c r="B1580" t="s">
        <v>1242</v>
      </c>
      <c r="D1580" t="s">
        <v>85</v>
      </c>
      <c r="E1580" t="s">
        <v>86</v>
      </c>
      <c r="F1580" t="s">
        <v>58</v>
      </c>
      <c r="G1580" t="s">
        <v>59</v>
      </c>
      <c r="H1580" t="s">
        <v>60</v>
      </c>
      <c r="J1580" t="s">
        <v>86</v>
      </c>
      <c r="L1580" t="s">
        <v>62</v>
      </c>
      <c r="M1580" t="s">
        <v>63</v>
      </c>
      <c r="N1580" t="s">
        <v>64</v>
      </c>
      <c r="P1580" t="s">
        <v>100</v>
      </c>
      <c r="Q1580" t="s">
        <v>153</v>
      </c>
      <c r="R1580">
        <v>180</v>
      </c>
      <c r="W1580" t="s">
        <v>66</v>
      </c>
      <c r="X1580" t="s">
        <v>67</v>
      </c>
      <c r="Y1580" t="s">
        <v>67</v>
      </c>
      <c r="Z1580" t="s">
        <v>68</v>
      </c>
      <c r="AB1580">
        <v>4</v>
      </c>
      <c r="AC1580" t="s">
        <v>61</v>
      </c>
      <c r="AJ1580" t="s">
        <v>69</v>
      </c>
      <c r="AY1580" t="s">
        <v>1243</v>
      </c>
      <c r="AZ1580">
        <v>5789</v>
      </c>
      <c r="BA1580" t="s">
        <v>1244</v>
      </c>
      <c r="BB1580" t="s">
        <v>1245</v>
      </c>
      <c r="BC1580">
        <v>1974</v>
      </c>
      <c r="BD1580" t="s">
        <v>90</v>
      </c>
    </row>
    <row r="1581" spans="1:56" x14ac:dyDescent="0.35">
      <c r="A1581">
        <v>128585</v>
      </c>
      <c r="B1581" t="s">
        <v>1242</v>
      </c>
      <c r="D1581" t="s">
        <v>85</v>
      </c>
      <c r="E1581">
        <v>15</v>
      </c>
      <c r="F1581" t="s">
        <v>58</v>
      </c>
      <c r="G1581" t="s">
        <v>59</v>
      </c>
      <c r="H1581" t="s">
        <v>60</v>
      </c>
      <c r="J1581" t="s">
        <v>86</v>
      </c>
      <c r="L1581" t="s">
        <v>62</v>
      </c>
      <c r="M1581" t="s">
        <v>63</v>
      </c>
      <c r="N1581" t="s">
        <v>64</v>
      </c>
      <c r="P1581" t="s">
        <v>100</v>
      </c>
      <c r="Q1581" t="s">
        <v>153</v>
      </c>
      <c r="R1581">
        <v>180</v>
      </c>
      <c r="W1581" t="s">
        <v>66</v>
      </c>
      <c r="X1581" t="s">
        <v>67</v>
      </c>
      <c r="Y1581" t="s">
        <v>67</v>
      </c>
      <c r="Z1581" t="s">
        <v>68</v>
      </c>
      <c r="AB1581">
        <v>4</v>
      </c>
      <c r="AC1581" t="s">
        <v>61</v>
      </c>
      <c r="AJ1581" t="s">
        <v>69</v>
      </c>
      <c r="AY1581" t="s">
        <v>1246</v>
      </c>
      <c r="AZ1581">
        <v>6969</v>
      </c>
      <c r="BA1581" t="s">
        <v>1247</v>
      </c>
      <c r="BB1581" t="s">
        <v>1248</v>
      </c>
      <c r="BC1581">
        <v>1973</v>
      </c>
      <c r="BD1581" t="s">
        <v>90</v>
      </c>
    </row>
    <row r="1582" spans="1:56" x14ac:dyDescent="0.35">
      <c r="A1582">
        <v>129099</v>
      </c>
      <c r="B1582" t="s">
        <v>1249</v>
      </c>
      <c r="D1582" t="s">
        <v>85</v>
      </c>
      <c r="E1582">
        <v>15</v>
      </c>
      <c r="F1582" t="s">
        <v>58</v>
      </c>
      <c r="G1582" t="s">
        <v>59</v>
      </c>
      <c r="H1582" t="s">
        <v>60</v>
      </c>
      <c r="J1582" t="s">
        <v>86</v>
      </c>
      <c r="L1582" t="s">
        <v>62</v>
      </c>
      <c r="M1582" t="s">
        <v>63</v>
      </c>
      <c r="N1582" t="s">
        <v>64</v>
      </c>
      <c r="P1582" t="s">
        <v>100</v>
      </c>
      <c r="Q1582" t="s">
        <v>153</v>
      </c>
      <c r="R1582">
        <v>180</v>
      </c>
      <c r="W1582" t="s">
        <v>66</v>
      </c>
      <c r="X1582" t="s">
        <v>67</v>
      </c>
      <c r="Y1582" t="s">
        <v>67</v>
      </c>
      <c r="Z1582" t="s">
        <v>68</v>
      </c>
      <c r="AB1582">
        <v>4</v>
      </c>
      <c r="AC1582" t="s">
        <v>61</v>
      </c>
      <c r="AJ1582" t="s">
        <v>69</v>
      </c>
      <c r="AY1582" t="s">
        <v>1246</v>
      </c>
      <c r="AZ1582">
        <v>6969</v>
      </c>
      <c r="BA1582" t="s">
        <v>1247</v>
      </c>
      <c r="BB1582" t="s">
        <v>1248</v>
      </c>
      <c r="BC1582">
        <v>1973</v>
      </c>
      <c r="BD1582" t="s">
        <v>90</v>
      </c>
    </row>
    <row r="1583" spans="1:56" x14ac:dyDescent="0.35">
      <c r="A1583">
        <v>129099</v>
      </c>
      <c r="B1583" t="s">
        <v>1249</v>
      </c>
      <c r="D1583" t="s">
        <v>85</v>
      </c>
      <c r="E1583" t="s">
        <v>86</v>
      </c>
      <c r="F1583" t="s">
        <v>58</v>
      </c>
      <c r="G1583" t="s">
        <v>59</v>
      </c>
      <c r="H1583" t="s">
        <v>60</v>
      </c>
      <c r="J1583" t="s">
        <v>86</v>
      </c>
      <c r="L1583" t="s">
        <v>62</v>
      </c>
      <c r="M1583" t="s">
        <v>63</v>
      </c>
      <c r="N1583" t="s">
        <v>64</v>
      </c>
      <c r="P1583" t="s">
        <v>100</v>
      </c>
      <c r="Q1583" t="s">
        <v>153</v>
      </c>
      <c r="R1583">
        <v>180</v>
      </c>
      <c r="W1583" t="s">
        <v>66</v>
      </c>
      <c r="X1583" t="s">
        <v>67</v>
      </c>
      <c r="Y1583" t="s">
        <v>67</v>
      </c>
      <c r="Z1583" t="s">
        <v>68</v>
      </c>
      <c r="AB1583">
        <v>4</v>
      </c>
      <c r="AC1583" t="s">
        <v>61</v>
      </c>
      <c r="AJ1583" t="s">
        <v>69</v>
      </c>
      <c r="AY1583" t="s">
        <v>1243</v>
      </c>
      <c r="AZ1583">
        <v>5789</v>
      </c>
      <c r="BA1583" t="s">
        <v>1244</v>
      </c>
      <c r="BB1583" t="s">
        <v>1245</v>
      </c>
      <c r="BC1583">
        <v>1974</v>
      </c>
      <c r="BD1583" t="s">
        <v>90</v>
      </c>
    </row>
    <row r="1584" spans="1:56" x14ac:dyDescent="0.35">
      <c r="A1584">
        <v>130201</v>
      </c>
      <c r="B1584" t="s">
        <v>1250</v>
      </c>
      <c r="D1584" t="s">
        <v>85</v>
      </c>
      <c r="E1584">
        <v>15</v>
      </c>
      <c r="F1584" t="s">
        <v>58</v>
      </c>
      <c r="G1584" t="s">
        <v>59</v>
      </c>
      <c r="H1584" t="s">
        <v>60</v>
      </c>
      <c r="J1584" t="s">
        <v>86</v>
      </c>
      <c r="L1584" t="s">
        <v>62</v>
      </c>
      <c r="M1584" t="s">
        <v>63</v>
      </c>
      <c r="N1584" t="s">
        <v>64</v>
      </c>
      <c r="P1584" t="s">
        <v>100</v>
      </c>
      <c r="Q1584" t="s">
        <v>153</v>
      </c>
      <c r="R1584">
        <v>180</v>
      </c>
      <c r="W1584" t="s">
        <v>66</v>
      </c>
      <c r="X1584" t="s">
        <v>67</v>
      </c>
      <c r="Y1584" t="s">
        <v>67</v>
      </c>
      <c r="Z1584" t="s">
        <v>68</v>
      </c>
      <c r="AB1584">
        <v>4</v>
      </c>
      <c r="AC1584" t="s">
        <v>61</v>
      </c>
      <c r="AJ1584" t="s">
        <v>69</v>
      </c>
      <c r="AY1584" t="s">
        <v>1246</v>
      </c>
      <c r="AZ1584">
        <v>6969</v>
      </c>
      <c r="BA1584" t="s">
        <v>1247</v>
      </c>
      <c r="BB1584" t="s">
        <v>1248</v>
      </c>
      <c r="BC1584">
        <v>1973</v>
      </c>
      <c r="BD1584" t="s">
        <v>90</v>
      </c>
    </row>
    <row r="1585" spans="1:56" x14ac:dyDescent="0.35">
      <c r="A1585">
        <v>130201</v>
      </c>
      <c r="B1585" t="s">
        <v>1250</v>
      </c>
      <c r="D1585" t="s">
        <v>85</v>
      </c>
      <c r="E1585" t="s">
        <v>86</v>
      </c>
      <c r="F1585" t="s">
        <v>58</v>
      </c>
      <c r="G1585" t="s">
        <v>59</v>
      </c>
      <c r="H1585" t="s">
        <v>60</v>
      </c>
      <c r="J1585" t="s">
        <v>86</v>
      </c>
      <c r="L1585" t="s">
        <v>62</v>
      </c>
      <c r="M1585" t="s">
        <v>63</v>
      </c>
      <c r="N1585" t="s">
        <v>64</v>
      </c>
      <c r="P1585" t="s">
        <v>100</v>
      </c>
      <c r="Q1585" t="s">
        <v>153</v>
      </c>
      <c r="R1585">
        <v>18</v>
      </c>
      <c r="W1585" t="s">
        <v>66</v>
      </c>
      <c r="X1585" t="s">
        <v>67</v>
      </c>
      <c r="Y1585" t="s">
        <v>67</v>
      </c>
      <c r="Z1585" t="s">
        <v>68</v>
      </c>
      <c r="AB1585">
        <v>4</v>
      </c>
      <c r="AC1585" t="s">
        <v>61</v>
      </c>
      <c r="AJ1585" t="s">
        <v>69</v>
      </c>
      <c r="AY1585" t="s">
        <v>1243</v>
      </c>
      <c r="AZ1585">
        <v>5789</v>
      </c>
      <c r="BA1585" t="s">
        <v>1244</v>
      </c>
      <c r="BB1585" t="s">
        <v>1245</v>
      </c>
      <c r="BC1585">
        <v>1974</v>
      </c>
      <c r="BD1585" t="s">
        <v>90</v>
      </c>
    </row>
    <row r="1586" spans="1:56" x14ac:dyDescent="0.35">
      <c r="A1586">
        <v>131113</v>
      </c>
      <c r="B1586" t="s">
        <v>1251</v>
      </c>
      <c r="D1586" t="s">
        <v>57</v>
      </c>
      <c r="E1586" t="s">
        <v>86</v>
      </c>
      <c r="F1586" t="s">
        <v>58</v>
      </c>
      <c r="G1586" t="s">
        <v>59</v>
      </c>
      <c r="H1586" t="s">
        <v>60</v>
      </c>
      <c r="J1586" t="s">
        <v>86</v>
      </c>
      <c r="L1586" t="s">
        <v>62</v>
      </c>
      <c r="M1586" t="s">
        <v>63</v>
      </c>
      <c r="N1586" t="s">
        <v>64</v>
      </c>
      <c r="O1586">
        <v>6</v>
      </c>
      <c r="P1586" t="s">
        <v>65</v>
      </c>
      <c r="R1586">
        <v>120</v>
      </c>
      <c r="T1586">
        <v>68</v>
      </c>
      <c r="V1586">
        <v>210</v>
      </c>
      <c r="W1586" t="s">
        <v>66</v>
      </c>
      <c r="X1586" t="s">
        <v>67</v>
      </c>
      <c r="Y1586" t="s">
        <v>67</v>
      </c>
      <c r="Z1586" t="s">
        <v>68</v>
      </c>
      <c r="AB1586">
        <v>4</v>
      </c>
      <c r="AC1586" t="s">
        <v>61</v>
      </c>
      <c r="AJ1586" t="s">
        <v>69</v>
      </c>
      <c r="AY1586" t="s">
        <v>633</v>
      </c>
      <c r="AZ1586">
        <v>180491</v>
      </c>
      <c r="BA1586" t="s">
        <v>634</v>
      </c>
      <c r="BB1586" t="s">
        <v>635</v>
      </c>
      <c r="BC1586">
        <v>2000</v>
      </c>
      <c r="BD1586" t="s">
        <v>90</v>
      </c>
    </row>
    <row r="1587" spans="1:56" x14ac:dyDescent="0.35">
      <c r="A1587">
        <v>131113</v>
      </c>
      <c r="B1587" t="s">
        <v>1251</v>
      </c>
      <c r="D1587" t="s">
        <v>57</v>
      </c>
      <c r="E1587" t="s">
        <v>79</v>
      </c>
      <c r="F1587" t="s">
        <v>58</v>
      </c>
      <c r="G1587" t="s">
        <v>59</v>
      </c>
      <c r="H1587" t="s">
        <v>60</v>
      </c>
      <c r="J1587" t="s">
        <v>86</v>
      </c>
      <c r="K1587" t="s">
        <v>61</v>
      </c>
      <c r="L1587" t="s">
        <v>74</v>
      </c>
      <c r="M1587" t="s">
        <v>63</v>
      </c>
      <c r="N1587" t="s">
        <v>64</v>
      </c>
      <c r="P1587" t="s">
        <v>65</v>
      </c>
      <c r="R1587">
        <v>121</v>
      </c>
      <c r="T1587">
        <v>111</v>
      </c>
      <c r="V1587">
        <v>132</v>
      </c>
      <c r="W1587" t="s">
        <v>66</v>
      </c>
      <c r="X1587" t="s">
        <v>67</v>
      </c>
      <c r="Y1587" t="s">
        <v>67</v>
      </c>
      <c r="Z1587" t="s">
        <v>68</v>
      </c>
      <c r="AB1587">
        <v>4</v>
      </c>
      <c r="AC1587" t="s">
        <v>61</v>
      </c>
      <c r="AJ1587" t="s">
        <v>69</v>
      </c>
      <c r="AY1587" t="s">
        <v>75</v>
      </c>
      <c r="AZ1587">
        <v>3217</v>
      </c>
      <c r="BA1587" t="s">
        <v>76</v>
      </c>
      <c r="BB1587" t="s">
        <v>77</v>
      </c>
      <c r="BC1587">
        <v>1990</v>
      </c>
      <c r="BD1587" t="s">
        <v>161</v>
      </c>
    </row>
    <row r="1588" spans="1:56" x14ac:dyDescent="0.35">
      <c r="A1588">
        <v>131113</v>
      </c>
      <c r="B1588" t="s">
        <v>1251</v>
      </c>
      <c r="D1588" t="s">
        <v>85</v>
      </c>
      <c r="E1588" t="s">
        <v>128</v>
      </c>
      <c r="F1588" t="s">
        <v>58</v>
      </c>
      <c r="G1588" t="s">
        <v>59</v>
      </c>
      <c r="H1588" t="s">
        <v>60</v>
      </c>
      <c r="I1588" t="s">
        <v>129</v>
      </c>
      <c r="J1588" t="s">
        <v>86</v>
      </c>
      <c r="L1588" t="s">
        <v>62</v>
      </c>
      <c r="M1588" t="s">
        <v>63</v>
      </c>
      <c r="N1588" t="s">
        <v>64</v>
      </c>
      <c r="P1588" t="s">
        <v>65</v>
      </c>
      <c r="R1588">
        <v>121</v>
      </c>
      <c r="W1588" t="s">
        <v>66</v>
      </c>
      <c r="X1588" t="s">
        <v>67</v>
      </c>
      <c r="Y1588" t="s">
        <v>67</v>
      </c>
      <c r="Z1588" t="s">
        <v>68</v>
      </c>
      <c r="AB1588">
        <v>4</v>
      </c>
      <c r="AC1588" t="s">
        <v>61</v>
      </c>
      <c r="AJ1588" t="s">
        <v>69</v>
      </c>
      <c r="AY1588" t="s">
        <v>630</v>
      </c>
      <c r="AZ1588">
        <v>15040</v>
      </c>
      <c r="BA1588" t="s">
        <v>631</v>
      </c>
      <c r="BB1588" t="s">
        <v>632</v>
      </c>
      <c r="BC1588">
        <v>1995</v>
      </c>
      <c r="BD1588" t="s">
        <v>90</v>
      </c>
    </row>
    <row r="1589" spans="1:56" x14ac:dyDescent="0.35">
      <c r="A1589">
        <v>131113</v>
      </c>
      <c r="B1589" t="s">
        <v>1251</v>
      </c>
      <c r="D1589" t="s">
        <v>85</v>
      </c>
      <c r="E1589" t="s">
        <v>128</v>
      </c>
      <c r="F1589" t="s">
        <v>58</v>
      </c>
      <c r="G1589" t="s">
        <v>59</v>
      </c>
      <c r="H1589" t="s">
        <v>60</v>
      </c>
      <c r="I1589" t="s">
        <v>129</v>
      </c>
      <c r="J1589" t="s">
        <v>86</v>
      </c>
      <c r="L1589" t="s">
        <v>74</v>
      </c>
      <c r="M1589" t="s">
        <v>63</v>
      </c>
      <c r="N1589" t="s">
        <v>64</v>
      </c>
      <c r="P1589" t="s">
        <v>65</v>
      </c>
      <c r="R1589">
        <v>39</v>
      </c>
      <c r="W1589" t="s">
        <v>66</v>
      </c>
      <c r="X1589" t="s">
        <v>67</v>
      </c>
      <c r="Y1589" t="s">
        <v>67</v>
      </c>
      <c r="Z1589" t="s">
        <v>68</v>
      </c>
      <c r="AB1589">
        <v>4</v>
      </c>
      <c r="AC1589" t="s">
        <v>61</v>
      </c>
      <c r="AJ1589" t="s">
        <v>69</v>
      </c>
      <c r="AY1589" t="s">
        <v>630</v>
      </c>
      <c r="AZ1589">
        <v>15040</v>
      </c>
      <c r="BA1589" t="s">
        <v>631</v>
      </c>
      <c r="BB1589" t="s">
        <v>632</v>
      </c>
      <c r="BC1589">
        <v>1995</v>
      </c>
      <c r="BD1589" t="s">
        <v>90</v>
      </c>
    </row>
    <row r="1590" spans="1:56" x14ac:dyDescent="0.35">
      <c r="A1590">
        <v>131522</v>
      </c>
      <c r="B1590" t="s">
        <v>1252</v>
      </c>
      <c r="C1590" t="s">
        <v>91</v>
      </c>
      <c r="D1590" t="s">
        <v>85</v>
      </c>
      <c r="E1590" t="s">
        <v>86</v>
      </c>
      <c r="F1590" t="s">
        <v>58</v>
      </c>
      <c r="G1590" t="s">
        <v>59</v>
      </c>
      <c r="H1590" t="s">
        <v>60</v>
      </c>
      <c r="J1590">
        <v>11</v>
      </c>
      <c r="K1590" t="s">
        <v>196</v>
      </c>
      <c r="L1590" t="s">
        <v>74</v>
      </c>
      <c r="M1590" t="s">
        <v>63</v>
      </c>
      <c r="N1590" t="s">
        <v>64</v>
      </c>
      <c r="P1590" t="s">
        <v>65</v>
      </c>
      <c r="R1590">
        <v>0.18</v>
      </c>
      <c r="W1590" t="s">
        <v>66</v>
      </c>
      <c r="X1590" t="s">
        <v>67</v>
      </c>
      <c r="Y1590" t="s">
        <v>67</v>
      </c>
      <c r="Z1590" t="s">
        <v>68</v>
      </c>
      <c r="AB1590">
        <v>4</v>
      </c>
      <c r="AC1590" t="s">
        <v>61</v>
      </c>
      <c r="AJ1590" t="s">
        <v>69</v>
      </c>
      <c r="AY1590" t="s">
        <v>661</v>
      </c>
      <c r="AZ1590">
        <v>2145</v>
      </c>
      <c r="BA1590" t="s">
        <v>662</v>
      </c>
      <c r="BB1590" t="s">
        <v>663</v>
      </c>
      <c r="BC1590">
        <v>1976</v>
      </c>
      <c r="BD1590" t="s">
        <v>200</v>
      </c>
    </row>
    <row r="1591" spans="1:56" x14ac:dyDescent="0.35">
      <c r="A1591">
        <v>131522</v>
      </c>
      <c r="B1591" t="s">
        <v>1252</v>
      </c>
      <c r="C1591" t="s">
        <v>91</v>
      </c>
      <c r="E1591" t="s">
        <v>86</v>
      </c>
      <c r="F1591" t="s">
        <v>58</v>
      </c>
      <c r="G1591" t="s">
        <v>59</v>
      </c>
      <c r="H1591" t="s">
        <v>60</v>
      </c>
      <c r="J1591">
        <v>11</v>
      </c>
      <c r="K1591" t="s">
        <v>196</v>
      </c>
      <c r="L1591" t="s">
        <v>74</v>
      </c>
      <c r="M1591" t="s">
        <v>63</v>
      </c>
      <c r="N1591" t="s">
        <v>64</v>
      </c>
      <c r="P1591" t="s">
        <v>65</v>
      </c>
      <c r="R1591">
        <v>0.21</v>
      </c>
      <c r="W1591" t="s">
        <v>66</v>
      </c>
      <c r="X1591" t="s">
        <v>67</v>
      </c>
      <c r="Y1591" t="s">
        <v>67</v>
      </c>
      <c r="Z1591" t="s">
        <v>68</v>
      </c>
      <c r="AB1591">
        <v>4</v>
      </c>
      <c r="AC1591" t="s">
        <v>61</v>
      </c>
      <c r="AJ1591" t="s">
        <v>69</v>
      </c>
      <c r="AY1591" t="s">
        <v>670</v>
      </c>
      <c r="AZ1591">
        <v>5230</v>
      </c>
      <c r="BA1591" t="s">
        <v>671</v>
      </c>
      <c r="BB1591" t="s">
        <v>672</v>
      </c>
      <c r="BC1591">
        <v>1976</v>
      </c>
      <c r="BD1591" t="s">
        <v>200</v>
      </c>
    </row>
    <row r="1592" spans="1:56" x14ac:dyDescent="0.35">
      <c r="A1592">
        <v>131522</v>
      </c>
      <c r="B1592" t="s">
        <v>1252</v>
      </c>
      <c r="C1592" t="s">
        <v>91</v>
      </c>
      <c r="D1592" t="s">
        <v>85</v>
      </c>
      <c r="E1592" t="s">
        <v>86</v>
      </c>
      <c r="F1592" t="s">
        <v>58</v>
      </c>
      <c r="G1592" t="s">
        <v>59</v>
      </c>
      <c r="H1592" t="s">
        <v>60</v>
      </c>
      <c r="J1592">
        <v>11</v>
      </c>
      <c r="K1592" t="s">
        <v>196</v>
      </c>
      <c r="L1592" t="s">
        <v>74</v>
      </c>
      <c r="M1592" t="s">
        <v>63</v>
      </c>
      <c r="N1592" t="s">
        <v>64</v>
      </c>
      <c r="P1592" t="s">
        <v>65</v>
      </c>
      <c r="R1592">
        <v>0.21</v>
      </c>
      <c r="W1592" t="s">
        <v>66</v>
      </c>
      <c r="X1592" t="s">
        <v>67</v>
      </c>
      <c r="Y1592" t="s">
        <v>67</v>
      </c>
      <c r="Z1592" t="s">
        <v>68</v>
      </c>
      <c r="AB1592">
        <v>4</v>
      </c>
      <c r="AC1592" t="s">
        <v>61</v>
      </c>
      <c r="AJ1592" t="s">
        <v>69</v>
      </c>
      <c r="AY1592" t="s">
        <v>661</v>
      </c>
      <c r="AZ1592">
        <v>2145</v>
      </c>
      <c r="BA1592" t="s">
        <v>662</v>
      </c>
      <c r="BB1592" t="s">
        <v>663</v>
      </c>
      <c r="BC1592">
        <v>1976</v>
      </c>
      <c r="BD1592" t="s">
        <v>200</v>
      </c>
    </row>
    <row r="1593" spans="1:56" x14ac:dyDescent="0.35">
      <c r="A1593">
        <v>131522</v>
      </c>
      <c r="B1593" t="s">
        <v>1252</v>
      </c>
      <c r="D1593" t="s">
        <v>57</v>
      </c>
      <c r="E1593" t="s">
        <v>86</v>
      </c>
      <c r="F1593" t="s">
        <v>58</v>
      </c>
      <c r="G1593" t="s">
        <v>59</v>
      </c>
      <c r="H1593" t="s">
        <v>60</v>
      </c>
      <c r="J1593" t="s">
        <v>86</v>
      </c>
      <c r="L1593" t="s">
        <v>74</v>
      </c>
      <c r="M1593" t="s">
        <v>63</v>
      </c>
      <c r="N1593" t="s">
        <v>64</v>
      </c>
      <c r="P1593" t="s">
        <v>65</v>
      </c>
      <c r="R1593">
        <v>0.34</v>
      </c>
      <c r="W1593" t="s">
        <v>66</v>
      </c>
      <c r="X1593" t="s">
        <v>67</v>
      </c>
      <c r="Y1593" t="s">
        <v>67</v>
      </c>
      <c r="Z1593" t="s">
        <v>68</v>
      </c>
      <c r="AB1593">
        <v>4</v>
      </c>
      <c r="AC1593" t="s">
        <v>61</v>
      </c>
      <c r="AJ1593" t="s">
        <v>69</v>
      </c>
      <c r="AY1593" t="s">
        <v>1038</v>
      </c>
      <c r="AZ1593">
        <v>837</v>
      </c>
      <c r="BA1593" t="s">
        <v>1039</v>
      </c>
      <c r="BB1593" t="s">
        <v>1040</v>
      </c>
      <c r="BC1593">
        <v>1975</v>
      </c>
      <c r="BD1593" t="s">
        <v>90</v>
      </c>
    </row>
    <row r="1594" spans="1:56" x14ac:dyDescent="0.35">
      <c r="A1594">
        <v>131522</v>
      </c>
      <c r="B1594" t="s">
        <v>1252</v>
      </c>
      <c r="C1594" t="s">
        <v>91</v>
      </c>
      <c r="E1594" t="s">
        <v>86</v>
      </c>
      <c r="F1594" t="s">
        <v>58</v>
      </c>
      <c r="G1594" t="s">
        <v>59</v>
      </c>
      <c r="H1594" t="s">
        <v>60</v>
      </c>
      <c r="J1594">
        <v>4</v>
      </c>
      <c r="K1594" t="s">
        <v>196</v>
      </c>
      <c r="L1594" t="s">
        <v>74</v>
      </c>
      <c r="M1594" t="s">
        <v>63</v>
      </c>
      <c r="N1594" t="s">
        <v>64</v>
      </c>
      <c r="P1594" t="s">
        <v>65</v>
      </c>
      <c r="R1594">
        <v>0.19800000000000001</v>
      </c>
      <c r="W1594" t="s">
        <v>66</v>
      </c>
      <c r="X1594" t="s">
        <v>67</v>
      </c>
      <c r="Y1594" t="s">
        <v>67</v>
      </c>
      <c r="Z1594" t="s">
        <v>68</v>
      </c>
      <c r="AB1594">
        <v>4</v>
      </c>
      <c r="AC1594" t="s">
        <v>61</v>
      </c>
      <c r="AJ1594" t="s">
        <v>69</v>
      </c>
      <c r="AY1594" t="s">
        <v>670</v>
      </c>
      <c r="AZ1594">
        <v>5600</v>
      </c>
      <c r="BA1594" t="s">
        <v>1253</v>
      </c>
      <c r="BB1594" t="s">
        <v>1254</v>
      </c>
      <c r="BC1594">
        <v>1976</v>
      </c>
      <c r="BD1594" t="s">
        <v>200</v>
      </c>
    </row>
    <row r="1595" spans="1:56" x14ac:dyDescent="0.35">
      <c r="A1595">
        <v>131522</v>
      </c>
      <c r="B1595" t="s">
        <v>1252</v>
      </c>
      <c r="C1595" t="s">
        <v>91</v>
      </c>
      <c r="D1595" t="s">
        <v>85</v>
      </c>
      <c r="E1595" t="s">
        <v>86</v>
      </c>
      <c r="F1595" t="s">
        <v>58</v>
      </c>
      <c r="G1595" t="s">
        <v>59</v>
      </c>
      <c r="H1595" t="s">
        <v>60</v>
      </c>
      <c r="J1595">
        <v>11</v>
      </c>
      <c r="K1595" t="s">
        <v>196</v>
      </c>
      <c r="L1595" t="s">
        <v>74</v>
      </c>
      <c r="M1595" t="s">
        <v>63</v>
      </c>
      <c r="N1595" t="s">
        <v>64</v>
      </c>
      <c r="P1595" t="s">
        <v>65</v>
      </c>
      <c r="R1595">
        <v>0.19</v>
      </c>
      <c r="W1595" t="s">
        <v>66</v>
      </c>
      <c r="X1595" t="s">
        <v>67</v>
      </c>
      <c r="Y1595" t="s">
        <v>67</v>
      </c>
      <c r="Z1595" t="s">
        <v>68</v>
      </c>
      <c r="AB1595">
        <v>4</v>
      </c>
      <c r="AC1595" t="s">
        <v>61</v>
      </c>
      <c r="AJ1595" t="s">
        <v>69</v>
      </c>
      <c r="AY1595" t="s">
        <v>661</v>
      </c>
      <c r="AZ1595">
        <v>2145</v>
      </c>
      <c r="BA1595" t="s">
        <v>662</v>
      </c>
      <c r="BB1595" t="s">
        <v>663</v>
      </c>
      <c r="BC1595">
        <v>1976</v>
      </c>
      <c r="BD1595" t="s">
        <v>200</v>
      </c>
    </row>
    <row r="1596" spans="1:56" x14ac:dyDescent="0.35">
      <c r="A1596">
        <v>131522</v>
      </c>
      <c r="B1596" t="s">
        <v>1252</v>
      </c>
      <c r="C1596" t="s">
        <v>91</v>
      </c>
      <c r="D1596" t="s">
        <v>85</v>
      </c>
      <c r="E1596" t="s">
        <v>86</v>
      </c>
      <c r="F1596" t="s">
        <v>58</v>
      </c>
      <c r="G1596" t="s">
        <v>59</v>
      </c>
      <c r="H1596" t="s">
        <v>60</v>
      </c>
      <c r="J1596">
        <v>11</v>
      </c>
      <c r="K1596" t="s">
        <v>196</v>
      </c>
      <c r="L1596" t="s">
        <v>74</v>
      </c>
      <c r="M1596" t="s">
        <v>63</v>
      </c>
      <c r="N1596" t="s">
        <v>64</v>
      </c>
      <c r="P1596" t="s">
        <v>65</v>
      </c>
      <c r="R1596">
        <v>0.19</v>
      </c>
      <c r="W1596" t="s">
        <v>66</v>
      </c>
      <c r="X1596" t="s">
        <v>67</v>
      </c>
      <c r="Y1596" t="s">
        <v>67</v>
      </c>
      <c r="Z1596" t="s">
        <v>68</v>
      </c>
      <c r="AB1596">
        <v>4</v>
      </c>
      <c r="AC1596" t="s">
        <v>61</v>
      </c>
      <c r="AJ1596" t="s">
        <v>69</v>
      </c>
      <c r="AY1596" t="s">
        <v>661</v>
      </c>
      <c r="AZ1596">
        <v>2145</v>
      </c>
      <c r="BA1596" t="s">
        <v>662</v>
      </c>
      <c r="BB1596" t="s">
        <v>663</v>
      </c>
      <c r="BC1596">
        <v>1976</v>
      </c>
      <c r="BD1596" t="s">
        <v>200</v>
      </c>
    </row>
    <row r="1597" spans="1:56" x14ac:dyDescent="0.35">
      <c r="A1597">
        <v>131522</v>
      </c>
      <c r="B1597" t="s">
        <v>1252</v>
      </c>
      <c r="E1597">
        <v>90</v>
      </c>
      <c r="F1597" t="s">
        <v>58</v>
      </c>
      <c r="G1597" t="s">
        <v>59</v>
      </c>
      <c r="H1597" t="s">
        <v>60</v>
      </c>
      <c r="J1597" t="s">
        <v>86</v>
      </c>
      <c r="L1597" t="s">
        <v>74</v>
      </c>
      <c r="M1597" t="s">
        <v>63</v>
      </c>
      <c r="N1597" t="s">
        <v>64</v>
      </c>
      <c r="P1597" t="s">
        <v>65</v>
      </c>
      <c r="R1597">
        <v>0.27</v>
      </c>
      <c r="T1597">
        <v>0.21199999999999999</v>
      </c>
      <c r="V1597">
        <v>0.34399999999999997</v>
      </c>
      <c r="W1597" t="s">
        <v>66</v>
      </c>
      <c r="X1597" t="s">
        <v>67</v>
      </c>
      <c r="Y1597" t="s">
        <v>67</v>
      </c>
      <c r="Z1597" t="s">
        <v>68</v>
      </c>
      <c r="AB1597">
        <v>4</v>
      </c>
      <c r="AC1597" t="s">
        <v>61</v>
      </c>
      <c r="AJ1597" t="s">
        <v>69</v>
      </c>
      <c r="AY1597" t="s">
        <v>96</v>
      </c>
      <c r="AZ1597">
        <v>6797</v>
      </c>
      <c r="BA1597" t="s">
        <v>97</v>
      </c>
      <c r="BB1597" t="s">
        <v>98</v>
      </c>
      <c r="BC1597">
        <v>1986</v>
      </c>
      <c r="BD1597" t="s">
        <v>90</v>
      </c>
    </row>
    <row r="1598" spans="1:56" x14ac:dyDescent="0.35">
      <c r="A1598">
        <v>131522</v>
      </c>
      <c r="B1598" t="s">
        <v>1252</v>
      </c>
      <c r="C1598" t="s">
        <v>91</v>
      </c>
      <c r="D1598" t="s">
        <v>85</v>
      </c>
      <c r="E1598" t="s">
        <v>86</v>
      </c>
      <c r="F1598" t="s">
        <v>58</v>
      </c>
      <c r="G1598" t="s">
        <v>59</v>
      </c>
      <c r="H1598" t="s">
        <v>60</v>
      </c>
      <c r="J1598">
        <v>11</v>
      </c>
      <c r="K1598" t="s">
        <v>196</v>
      </c>
      <c r="L1598" t="s">
        <v>74</v>
      </c>
      <c r="M1598" t="s">
        <v>63</v>
      </c>
      <c r="N1598" t="s">
        <v>64</v>
      </c>
      <c r="P1598" t="s">
        <v>65</v>
      </c>
      <c r="R1598">
        <v>0.2</v>
      </c>
      <c r="W1598" t="s">
        <v>66</v>
      </c>
      <c r="X1598" t="s">
        <v>67</v>
      </c>
      <c r="Y1598" t="s">
        <v>67</v>
      </c>
      <c r="Z1598" t="s">
        <v>68</v>
      </c>
      <c r="AB1598">
        <v>4</v>
      </c>
      <c r="AC1598" t="s">
        <v>61</v>
      </c>
      <c r="AJ1598" t="s">
        <v>69</v>
      </c>
      <c r="AY1598" t="s">
        <v>661</v>
      </c>
      <c r="AZ1598">
        <v>2145</v>
      </c>
      <c r="BA1598" t="s">
        <v>662</v>
      </c>
      <c r="BB1598" t="s">
        <v>663</v>
      </c>
      <c r="BC1598">
        <v>1976</v>
      </c>
      <c r="BD1598" t="s">
        <v>200</v>
      </c>
    </row>
    <row r="1599" spans="1:56" x14ac:dyDescent="0.35">
      <c r="A1599">
        <v>131522</v>
      </c>
      <c r="B1599" t="s">
        <v>1252</v>
      </c>
      <c r="C1599" t="s">
        <v>91</v>
      </c>
      <c r="E1599" t="s">
        <v>86</v>
      </c>
      <c r="F1599" t="s">
        <v>58</v>
      </c>
      <c r="G1599" t="s">
        <v>59</v>
      </c>
      <c r="H1599" t="s">
        <v>60</v>
      </c>
      <c r="J1599">
        <v>14</v>
      </c>
      <c r="K1599" t="s">
        <v>196</v>
      </c>
      <c r="L1599" t="s">
        <v>74</v>
      </c>
      <c r="M1599" t="s">
        <v>63</v>
      </c>
      <c r="N1599" t="s">
        <v>64</v>
      </c>
      <c r="P1599" t="s">
        <v>65</v>
      </c>
      <c r="R1599">
        <v>0.19</v>
      </c>
      <c r="W1599" t="s">
        <v>66</v>
      </c>
      <c r="X1599" t="s">
        <v>67</v>
      </c>
      <c r="Y1599" t="s">
        <v>67</v>
      </c>
      <c r="Z1599" t="s">
        <v>68</v>
      </c>
      <c r="AB1599">
        <v>4</v>
      </c>
      <c r="AC1599" t="s">
        <v>61</v>
      </c>
      <c r="AJ1599" t="s">
        <v>69</v>
      </c>
      <c r="AY1599" t="s">
        <v>670</v>
      </c>
      <c r="AZ1599">
        <v>5600</v>
      </c>
      <c r="BA1599" t="s">
        <v>1253</v>
      </c>
      <c r="BB1599" t="s">
        <v>1254</v>
      </c>
      <c r="BC1599">
        <v>1976</v>
      </c>
      <c r="BD1599" t="s">
        <v>200</v>
      </c>
    </row>
    <row r="1600" spans="1:56" x14ac:dyDescent="0.35">
      <c r="A1600">
        <v>131522</v>
      </c>
      <c r="B1600" t="s">
        <v>1252</v>
      </c>
      <c r="C1600" t="s">
        <v>91</v>
      </c>
      <c r="E1600" t="s">
        <v>86</v>
      </c>
      <c r="F1600" t="s">
        <v>58</v>
      </c>
      <c r="G1600" t="s">
        <v>59</v>
      </c>
      <c r="H1600" t="s">
        <v>60</v>
      </c>
      <c r="J1600" t="s">
        <v>86</v>
      </c>
      <c r="L1600" t="s">
        <v>74</v>
      </c>
      <c r="M1600" t="s">
        <v>63</v>
      </c>
      <c r="N1600" t="s">
        <v>64</v>
      </c>
      <c r="P1600" t="s">
        <v>65</v>
      </c>
      <c r="R1600">
        <v>0.22700000000000001</v>
      </c>
      <c r="W1600" t="s">
        <v>66</v>
      </c>
      <c r="X1600" t="s">
        <v>67</v>
      </c>
      <c r="Y1600" t="s">
        <v>67</v>
      </c>
      <c r="Z1600" t="s">
        <v>68</v>
      </c>
      <c r="AB1600">
        <v>4</v>
      </c>
      <c r="AC1600" t="s">
        <v>61</v>
      </c>
      <c r="AJ1600" t="s">
        <v>69</v>
      </c>
      <c r="AY1600" t="s">
        <v>670</v>
      </c>
      <c r="AZ1600">
        <v>5600</v>
      </c>
      <c r="BA1600" t="s">
        <v>1253</v>
      </c>
      <c r="BB1600" t="s">
        <v>1254</v>
      </c>
      <c r="BC1600">
        <v>1976</v>
      </c>
      <c r="BD1600" t="s">
        <v>90</v>
      </c>
    </row>
    <row r="1601" spans="1:56" x14ac:dyDescent="0.35">
      <c r="A1601">
        <v>131522</v>
      </c>
      <c r="B1601" t="s">
        <v>1252</v>
      </c>
      <c r="C1601" t="s">
        <v>91</v>
      </c>
      <c r="D1601" t="s">
        <v>85</v>
      </c>
      <c r="E1601" t="s">
        <v>86</v>
      </c>
      <c r="F1601" t="s">
        <v>58</v>
      </c>
      <c r="G1601" t="s">
        <v>59</v>
      </c>
      <c r="H1601" t="s">
        <v>60</v>
      </c>
      <c r="J1601">
        <v>11</v>
      </c>
      <c r="K1601" t="s">
        <v>196</v>
      </c>
      <c r="L1601" t="s">
        <v>74</v>
      </c>
      <c r="M1601" t="s">
        <v>63</v>
      </c>
      <c r="N1601" t="s">
        <v>64</v>
      </c>
      <c r="P1601" t="s">
        <v>65</v>
      </c>
      <c r="R1601">
        <v>0.22</v>
      </c>
      <c r="W1601" t="s">
        <v>66</v>
      </c>
      <c r="X1601" t="s">
        <v>67</v>
      </c>
      <c r="Y1601" t="s">
        <v>67</v>
      </c>
      <c r="Z1601" t="s">
        <v>68</v>
      </c>
      <c r="AB1601">
        <v>4</v>
      </c>
      <c r="AC1601" t="s">
        <v>61</v>
      </c>
      <c r="AJ1601" t="s">
        <v>69</v>
      </c>
      <c r="AY1601" t="s">
        <v>661</v>
      </c>
      <c r="AZ1601">
        <v>2145</v>
      </c>
      <c r="BA1601" t="s">
        <v>662</v>
      </c>
      <c r="BB1601" t="s">
        <v>663</v>
      </c>
      <c r="BC1601">
        <v>1976</v>
      </c>
      <c r="BD1601" t="s">
        <v>200</v>
      </c>
    </row>
    <row r="1602" spans="1:56" x14ac:dyDescent="0.35">
      <c r="A1602">
        <v>131522</v>
      </c>
      <c r="B1602" t="s">
        <v>1252</v>
      </c>
      <c r="D1602" t="s">
        <v>57</v>
      </c>
      <c r="E1602" t="s">
        <v>79</v>
      </c>
      <c r="F1602" t="s">
        <v>58</v>
      </c>
      <c r="G1602" t="s">
        <v>59</v>
      </c>
      <c r="H1602" t="s">
        <v>60</v>
      </c>
      <c r="I1602" t="s">
        <v>129</v>
      </c>
      <c r="J1602">
        <v>3</v>
      </c>
      <c r="K1602" t="s">
        <v>320</v>
      </c>
      <c r="L1602" t="s">
        <v>74</v>
      </c>
      <c r="M1602" t="s">
        <v>63</v>
      </c>
      <c r="N1602" t="s">
        <v>64</v>
      </c>
      <c r="P1602" t="s">
        <v>65</v>
      </c>
      <c r="R1602">
        <v>0.28499999999999998</v>
      </c>
      <c r="T1602">
        <v>0.26700000000000002</v>
      </c>
      <c r="V1602">
        <v>0.30499999999999999</v>
      </c>
      <c r="W1602" t="s">
        <v>66</v>
      </c>
      <c r="X1602" t="s">
        <v>67</v>
      </c>
      <c r="Y1602" t="s">
        <v>67</v>
      </c>
      <c r="Z1602" t="s">
        <v>68</v>
      </c>
      <c r="AB1602">
        <v>4</v>
      </c>
      <c r="AC1602" t="s">
        <v>61</v>
      </c>
      <c r="AJ1602" t="s">
        <v>69</v>
      </c>
      <c r="AY1602" t="s">
        <v>376</v>
      </c>
      <c r="AZ1602">
        <v>838</v>
      </c>
      <c r="BA1602" t="s">
        <v>1255</v>
      </c>
      <c r="BB1602" t="s">
        <v>1256</v>
      </c>
      <c r="BC1602">
        <v>1976</v>
      </c>
      <c r="BD1602" t="s">
        <v>324</v>
      </c>
    </row>
    <row r="1603" spans="1:56" x14ac:dyDescent="0.35">
      <c r="A1603">
        <v>131522</v>
      </c>
      <c r="B1603" t="s">
        <v>1252</v>
      </c>
      <c r="D1603" t="s">
        <v>85</v>
      </c>
      <c r="E1603" t="s">
        <v>86</v>
      </c>
      <c r="F1603" t="s">
        <v>58</v>
      </c>
      <c r="G1603" t="s">
        <v>59</v>
      </c>
      <c r="H1603" t="s">
        <v>60</v>
      </c>
      <c r="I1603" t="s">
        <v>188</v>
      </c>
      <c r="J1603">
        <v>4</v>
      </c>
      <c r="K1603" t="s">
        <v>61</v>
      </c>
      <c r="L1603" t="s">
        <v>74</v>
      </c>
      <c r="M1603" t="s">
        <v>63</v>
      </c>
      <c r="N1603" t="s">
        <v>64</v>
      </c>
      <c r="P1603" t="s">
        <v>100</v>
      </c>
      <c r="R1603">
        <v>0.30499999999999999</v>
      </c>
      <c r="T1603">
        <v>0.251</v>
      </c>
      <c r="V1603">
        <v>0.371</v>
      </c>
      <c r="W1603" t="s">
        <v>66</v>
      </c>
      <c r="X1603" t="s">
        <v>67</v>
      </c>
      <c r="Y1603" t="s">
        <v>67</v>
      </c>
      <c r="Z1603" t="s">
        <v>68</v>
      </c>
      <c r="AB1603">
        <v>4</v>
      </c>
      <c r="AC1603" t="s">
        <v>61</v>
      </c>
      <c r="AJ1603" t="s">
        <v>69</v>
      </c>
      <c r="AY1603" t="s">
        <v>1257</v>
      </c>
      <c r="AZ1603">
        <v>17753</v>
      </c>
      <c r="BA1603" t="s">
        <v>1258</v>
      </c>
      <c r="BB1603" t="s">
        <v>1259</v>
      </c>
      <c r="BC1603">
        <v>1989</v>
      </c>
      <c r="BD1603" t="s">
        <v>73</v>
      </c>
    </row>
    <row r="1604" spans="1:56" x14ac:dyDescent="0.35">
      <c r="A1604">
        <v>131522</v>
      </c>
      <c r="B1604" t="s">
        <v>1252</v>
      </c>
      <c r="C1604" t="s">
        <v>91</v>
      </c>
      <c r="D1604" t="s">
        <v>85</v>
      </c>
      <c r="E1604" t="s">
        <v>86</v>
      </c>
      <c r="F1604" t="s">
        <v>58</v>
      </c>
      <c r="G1604" t="s">
        <v>59</v>
      </c>
      <c r="H1604" t="s">
        <v>60</v>
      </c>
      <c r="J1604">
        <v>11</v>
      </c>
      <c r="K1604" t="s">
        <v>196</v>
      </c>
      <c r="L1604" t="s">
        <v>74</v>
      </c>
      <c r="M1604" t="s">
        <v>63</v>
      </c>
      <c r="N1604" t="s">
        <v>64</v>
      </c>
      <c r="P1604" t="s">
        <v>65</v>
      </c>
      <c r="R1604">
        <v>0.2</v>
      </c>
      <c r="W1604" t="s">
        <v>66</v>
      </c>
      <c r="X1604" t="s">
        <v>67</v>
      </c>
      <c r="Y1604" t="s">
        <v>67</v>
      </c>
      <c r="Z1604" t="s">
        <v>68</v>
      </c>
      <c r="AB1604">
        <v>4</v>
      </c>
      <c r="AC1604" t="s">
        <v>61</v>
      </c>
      <c r="AJ1604" t="s">
        <v>69</v>
      </c>
      <c r="AY1604" t="s">
        <v>661</v>
      </c>
      <c r="AZ1604">
        <v>2145</v>
      </c>
      <c r="BA1604" t="s">
        <v>662</v>
      </c>
      <c r="BB1604" t="s">
        <v>663</v>
      </c>
      <c r="BC1604">
        <v>1976</v>
      </c>
      <c r="BD1604" t="s">
        <v>200</v>
      </c>
    </row>
    <row r="1605" spans="1:56" x14ac:dyDescent="0.35">
      <c r="A1605">
        <v>131522</v>
      </c>
      <c r="B1605" t="s">
        <v>1252</v>
      </c>
      <c r="C1605" t="s">
        <v>91</v>
      </c>
      <c r="D1605" t="s">
        <v>85</v>
      </c>
      <c r="E1605" t="s">
        <v>86</v>
      </c>
      <c r="F1605" t="s">
        <v>58</v>
      </c>
      <c r="G1605" t="s">
        <v>59</v>
      </c>
      <c r="H1605" t="s">
        <v>60</v>
      </c>
      <c r="J1605">
        <v>11</v>
      </c>
      <c r="K1605" t="s">
        <v>196</v>
      </c>
      <c r="L1605" t="s">
        <v>74</v>
      </c>
      <c r="M1605" t="s">
        <v>63</v>
      </c>
      <c r="N1605" t="s">
        <v>64</v>
      </c>
      <c r="P1605" t="s">
        <v>65</v>
      </c>
      <c r="R1605">
        <v>0.24</v>
      </c>
      <c r="W1605" t="s">
        <v>66</v>
      </c>
      <c r="X1605" t="s">
        <v>67</v>
      </c>
      <c r="Y1605" t="s">
        <v>67</v>
      </c>
      <c r="Z1605" t="s">
        <v>68</v>
      </c>
      <c r="AB1605">
        <v>4</v>
      </c>
      <c r="AC1605" t="s">
        <v>61</v>
      </c>
      <c r="AJ1605" t="s">
        <v>69</v>
      </c>
      <c r="AY1605" t="s">
        <v>661</v>
      </c>
      <c r="AZ1605">
        <v>2145</v>
      </c>
      <c r="BA1605" t="s">
        <v>662</v>
      </c>
      <c r="BB1605" t="s">
        <v>663</v>
      </c>
      <c r="BC1605">
        <v>1976</v>
      </c>
      <c r="BD1605" t="s">
        <v>200</v>
      </c>
    </row>
    <row r="1606" spans="1:56" x14ac:dyDescent="0.35">
      <c r="A1606">
        <v>131522</v>
      </c>
      <c r="B1606" t="s">
        <v>1252</v>
      </c>
      <c r="C1606" t="s">
        <v>91</v>
      </c>
      <c r="D1606" t="s">
        <v>85</v>
      </c>
      <c r="E1606" t="s">
        <v>86</v>
      </c>
      <c r="F1606" t="s">
        <v>58</v>
      </c>
      <c r="G1606" t="s">
        <v>59</v>
      </c>
      <c r="H1606" t="s">
        <v>60</v>
      </c>
      <c r="J1606">
        <v>11</v>
      </c>
      <c r="K1606" t="s">
        <v>196</v>
      </c>
      <c r="L1606" t="s">
        <v>74</v>
      </c>
      <c r="M1606" t="s">
        <v>63</v>
      </c>
      <c r="N1606" t="s">
        <v>64</v>
      </c>
      <c r="P1606" t="s">
        <v>65</v>
      </c>
      <c r="R1606">
        <v>0.19</v>
      </c>
      <c r="W1606" t="s">
        <v>66</v>
      </c>
      <c r="X1606" t="s">
        <v>67</v>
      </c>
      <c r="Y1606" t="s">
        <v>67</v>
      </c>
      <c r="Z1606" t="s">
        <v>68</v>
      </c>
      <c r="AB1606">
        <v>4</v>
      </c>
      <c r="AC1606" t="s">
        <v>61</v>
      </c>
      <c r="AJ1606" t="s">
        <v>69</v>
      </c>
      <c r="AY1606" t="s">
        <v>661</v>
      </c>
      <c r="AZ1606">
        <v>2145</v>
      </c>
      <c r="BA1606" t="s">
        <v>662</v>
      </c>
      <c r="BB1606" t="s">
        <v>663</v>
      </c>
      <c r="BC1606">
        <v>1976</v>
      </c>
      <c r="BD1606" t="s">
        <v>200</v>
      </c>
    </row>
    <row r="1607" spans="1:56" x14ac:dyDescent="0.35">
      <c r="A1607">
        <v>131522</v>
      </c>
      <c r="B1607" t="s">
        <v>1252</v>
      </c>
      <c r="D1607" t="s">
        <v>85</v>
      </c>
      <c r="E1607" t="s">
        <v>86</v>
      </c>
      <c r="F1607" t="s">
        <v>58</v>
      </c>
      <c r="G1607" t="s">
        <v>59</v>
      </c>
      <c r="H1607" t="s">
        <v>60</v>
      </c>
      <c r="I1607" t="s">
        <v>188</v>
      </c>
      <c r="J1607">
        <v>2</v>
      </c>
      <c r="K1607" t="s">
        <v>61</v>
      </c>
      <c r="L1607" t="s">
        <v>74</v>
      </c>
      <c r="M1607" t="s">
        <v>63</v>
      </c>
      <c r="N1607" t="s">
        <v>64</v>
      </c>
      <c r="P1607" t="s">
        <v>100</v>
      </c>
      <c r="R1607">
        <v>0.14199999999999999</v>
      </c>
      <c r="T1607">
        <v>0.10100000000000001</v>
      </c>
      <c r="V1607">
        <v>0.20100000000000001</v>
      </c>
      <c r="W1607" t="s">
        <v>66</v>
      </c>
      <c r="X1607" t="s">
        <v>67</v>
      </c>
      <c r="Y1607" t="s">
        <v>67</v>
      </c>
      <c r="Z1607" t="s">
        <v>68</v>
      </c>
      <c r="AB1607">
        <v>4</v>
      </c>
      <c r="AC1607" t="s">
        <v>61</v>
      </c>
      <c r="AJ1607" t="s">
        <v>69</v>
      </c>
      <c r="AY1607" t="s">
        <v>1257</v>
      </c>
      <c r="AZ1607">
        <v>17753</v>
      </c>
      <c r="BA1607" t="s">
        <v>1258</v>
      </c>
      <c r="BB1607" t="s">
        <v>1259</v>
      </c>
      <c r="BC1607">
        <v>1989</v>
      </c>
      <c r="BD1607" t="s">
        <v>73</v>
      </c>
    </row>
    <row r="1608" spans="1:56" x14ac:dyDescent="0.35">
      <c r="A1608">
        <v>131522</v>
      </c>
      <c r="B1608" t="s">
        <v>1252</v>
      </c>
      <c r="D1608" t="s">
        <v>85</v>
      </c>
      <c r="E1608" t="s">
        <v>86</v>
      </c>
      <c r="F1608" t="s">
        <v>58</v>
      </c>
      <c r="G1608" t="s">
        <v>59</v>
      </c>
      <c r="H1608" t="s">
        <v>60</v>
      </c>
      <c r="I1608" t="s">
        <v>188</v>
      </c>
      <c r="J1608" t="s">
        <v>86</v>
      </c>
      <c r="K1608" t="s">
        <v>61</v>
      </c>
      <c r="L1608" t="s">
        <v>62</v>
      </c>
      <c r="M1608" t="s">
        <v>63</v>
      </c>
      <c r="N1608" t="s">
        <v>64</v>
      </c>
      <c r="P1608" t="s">
        <v>100</v>
      </c>
      <c r="R1608">
        <v>0.02</v>
      </c>
      <c r="T1608">
        <v>1.4999999999999999E-2</v>
      </c>
      <c r="V1608">
        <v>0.03</v>
      </c>
      <c r="W1608" t="s">
        <v>66</v>
      </c>
      <c r="X1608" t="s">
        <v>67</v>
      </c>
      <c r="Y1608" t="s">
        <v>67</v>
      </c>
      <c r="Z1608" t="s">
        <v>68</v>
      </c>
      <c r="AB1608">
        <v>4</v>
      </c>
      <c r="AC1608" t="s">
        <v>61</v>
      </c>
      <c r="AJ1608" t="s">
        <v>69</v>
      </c>
      <c r="AY1608" t="s">
        <v>1260</v>
      </c>
      <c r="AZ1608">
        <v>11956</v>
      </c>
      <c r="BA1608" t="s">
        <v>1261</v>
      </c>
      <c r="BB1608" t="s">
        <v>1262</v>
      </c>
      <c r="BC1608">
        <v>1986</v>
      </c>
      <c r="BD1608" t="s">
        <v>1263</v>
      </c>
    </row>
    <row r="1609" spans="1:56" x14ac:dyDescent="0.35">
      <c r="A1609">
        <v>131522</v>
      </c>
      <c r="B1609" t="s">
        <v>1252</v>
      </c>
      <c r="C1609" t="s">
        <v>91</v>
      </c>
      <c r="D1609" t="s">
        <v>85</v>
      </c>
      <c r="E1609" t="s">
        <v>86</v>
      </c>
      <c r="F1609" t="s">
        <v>58</v>
      </c>
      <c r="G1609" t="s">
        <v>59</v>
      </c>
      <c r="H1609" t="s">
        <v>60</v>
      </c>
      <c r="J1609">
        <v>11</v>
      </c>
      <c r="K1609" t="s">
        <v>196</v>
      </c>
      <c r="L1609" t="s">
        <v>74</v>
      </c>
      <c r="M1609" t="s">
        <v>63</v>
      </c>
      <c r="N1609" t="s">
        <v>64</v>
      </c>
      <c r="P1609" t="s">
        <v>65</v>
      </c>
      <c r="R1609">
        <v>0.18</v>
      </c>
      <c r="W1609" t="s">
        <v>66</v>
      </c>
      <c r="X1609" t="s">
        <v>67</v>
      </c>
      <c r="Y1609" t="s">
        <v>67</v>
      </c>
      <c r="Z1609" t="s">
        <v>68</v>
      </c>
      <c r="AB1609">
        <v>4</v>
      </c>
      <c r="AC1609" t="s">
        <v>61</v>
      </c>
      <c r="AJ1609" t="s">
        <v>69</v>
      </c>
      <c r="AY1609" t="s">
        <v>661</v>
      </c>
      <c r="AZ1609">
        <v>2145</v>
      </c>
      <c r="BA1609" t="s">
        <v>662</v>
      </c>
      <c r="BB1609" t="s">
        <v>663</v>
      </c>
      <c r="BC1609">
        <v>1976</v>
      </c>
      <c r="BD1609" t="s">
        <v>200</v>
      </c>
    </row>
    <row r="1610" spans="1:56" x14ac:dyDescent="0.35">
      <c r="A1610">
        <v>131522</v>
      </c>
      <c r="B1610" t="s">
        <v>1252</v>
      </c>
      <c r="C1610" t="s">
        <v>91</v>
      </c>
      <c r="D1610" t="s">
        <v>85</v>
      </c>
      <c r="E1610" t="s">
        <v>86</v>
      </c>
      <c r="F1610" t="s">
        <v>58</v>
      </c>
      <c r="G1610" t="s">
        <v>59</v>
      </c>
      <c r="H1610" t="s">
        <v>60</v>
      </c>
      <c r="J1610">
        <v>11</v>
      </c>
      <c r="K1610" t="s">
        <v>196</v>
      </c>
      <c r="L1610" t="s">
        <v>74</v>
      </c>
      <c r="M1610" t="s">
        <v>63</v>
      </c>
      <c r="N1610" t="s">
        <v>64</v>
      </c>
      <c r="P1610" t="s">
        <v>65</v>
      </c>
      <c r="R1610">
        <v>0.23</v>
      </c>
      <c r="W1610" t="s">
        <v>66</v>
      </c>
      <c r="X1610" t="s">
        <v>67</v>
      </c>
      <c r="Y1610" t="s">
        <v>67</v>
      </c>
      <c r="Z1610" t="s">
        <v>68</v>
      </c>
      <c r="AB1610">
        <v>4</v>
      </c>
      <c r="AC1610" t="s">
        <v>61</v>
      </c>
      <c r="AJ1610" t="s">
        <v>69</v>
      </c>
      <c r="AY1610" t="s">
        <v>661</v>
      </c>
      <c r="AZ1610">
        <v>2145</v>
      </c>
      <c r="BA1610" t="s">
        <v>662</v>
      </c>
      <c r="BB1610" t="s">
        <v>663</v>
      </c>
      <c r="BC1610">
        <v>1976</v>
      </c>
      <c r="BD1610" t="s">
        <v>200</v>
      </c>
    </row>
    <row r="1611" spans="1:56" x14ac:dyDescent="0.35">
      <c r="A1611">
        <v>131522</v>
      </c>
      <c r="B1611" t="s">
        <v>1252</v>
      </c>
      <c r="C1611" t="s">
        <v>91</v>
      </c>
      <c r="D1611" t="s">
        <v>85</v>
      </c>
      <c r="E1611" t="s">
        <v>86</v>
      </c>
      <c r="F1611" t="s">
        <v>58</v>
      </c>
      <c r="G1611" t="s">
        <v>59</v>
      </c>
      <c r="H1611" t="s">
        <v>60</v>
      </c>
      <c r="J1611">
        <v>11</v>
      </c>
      <c r="K1611" t="s">
        <v>196</v>
      </c>
      <c r="L1611" t="s">
        <v>74</v>
      </c>
      <c r="M1611" t="s">
        <v>63</v>
      </c>
      <c r="N1611" t="s">
        <v>64</v>
      </c>
      <c r="P1611" t="s">
        <v>65</v>
      </c>
      <c r="R1611">
        <v>0.2</v>
      </c>
      <c r="W1611" t="s">
        <v>66</v>
      </c>
      <c r="X1611" t="s">
        <v>67</v>
      </c>
      <c r="Y1611" t="s">
        <v>67</v>
      </c>
      <c r="Z1611" t="s">
        <v>68</v>
      </c>
      <c r="AB1611">
        <v>4</v>
      </c>
      <c r="AC1611" t="s">
        <v>61</v>
      </c>
      <c r="AJ1611" t="s">
        <v>69</v>
      </c>
      <c r="AY1611" t="s">
        <v>661</v>
      </c>
      <c r="AZ1611">
        <v>2145</v>
      </c>
      <c r="BA1611" t="s">
        <v>662</v>
      </c>
      <c r="BB1611" t="s">
        <v>663</v>
      </c>
      <c r="BC1611">
        <v>1976</v>
      </c>
      <c r="BD1611" t="s">
        <v>200</v>
      </c>
    </row>
    <row r="1612" spans="1:56" x14ac:dyDescent="0.35">
      <c r="A1612">
        <v>131522</v>
      </c>
      <c r="B1612" t="s">
        <v>1252</v>
      </c>
      <c r="C1612" t="s">
        <v>91</v>
      </c>
      <c r="D1612" t="s">
        <v>85</v>
      </c>
      <c r="E1612" t="s">
        <v>86</v>
      </c>
      <c r="F1612" t="s">
        <v>58</v>
      </c>
      <c r="G1612" t="s">
        <v>59</v>
      </c>
      <c r="H1612" t="s">
        <v>60</v>
      </c>
      <c r="J1612">
        <v>11</v>
      </c>
      <c r="K1612" t="s">
        <v>196</v>
      </c>
      <c r="L1612" t="s">
        <v>74</v>
      </c>
      <c r="M1612" t="s">
        <v>63</v>
      </c>
      <c r="N1612" t="s">
        <v>64</v>
      </c>
      <c r="P1612" t="s">
        <v>65</v>
      </c>
      <c r="R1612">
        <v>0.18</v>
      </c>
      <c r="W1612" t="s">
        <v>66</v>
      </c>
      <c r="X1612" t="s">
        <v>67</v>
      </c>
      <c r="Y1612" t="s">
        <v>67</v>
      </c>
      <c r="Z1612" t="s">
        <v>68</v>
      </c>
      <c r="AB1612">
        <v>4</v>
      </c>
      <c r="AC1612" t="s">
        <v>61</v>
      </c>
      <c r="AJ1612" t="s">
        <v>69</v>
      </c>
      <c r="AY1612" t="s">
        <v>661</v>
      </c>
      <c r="AZ1612">
        <v>2145</v>
      </c>
      <c r="BA1612" t="s">
        <v>662</v>
      </c>
      <c r="BB1612" t="s">
        <v>663</v>
      </c>
      <c r="BC1612">
        <v>1976</v>
      </c>
      <c r="BD1612" t="s">
        <v>200</v>
      </c>
    </row>
    <row r="1613" spans="1:56" x14ac:dyDescent="0.35">
      <c r="A1613">
        <v>131522</v>
      </c>
      <c r="B1613" t="s">
        <v>1252</v>
      </c>
      <c r="C1613" t="s">
        <v>91</v>
      </c>
      <c r="E1613" t="s">
        <v>86</v>
      </c>
      <c r="F1613" t="s">
        <v>58</v>
      </c>
      <c r="G1613" t="s">
        <v>59</v>
      </c>
      <c r="H1613" t="s">
        <v>60</v>
      </c>
      <c r="J1613">
        <v>11</v>
      </c>
      <c r="K1613" t="s">
        <v>196</v>
      </c>
      <c r="L1613" t="s">
        <v>74</v>
      </c>
      <c r="M1613" t="s">
        <v>63</v>
      </c>
      <c r="N1613" t="s">
        <v>64</v>
      </c>
      <c r="P1613" t="s">
        <v>65</v>
      </c>
      <c r="R1613">
        <v>0.222</v>
      </c>
      <c r="W1613" t="s">
        <v>66</v>
      </c>
      <c r="X1613" t="s">
        <v>67</v>
      </c>
      <c r="Y1613" t="s">
        <v>67</v>
      </c>
      <c r="Z1613" t="s">
        <v>68</v>
      </c>
      <c r="AB1613">
        <v>4</v>
      </c>
      <c r="AC1613" t="s">
        <v>61</v>
      </c>
      <c r="AJ1613" t="s">
        <v>69</v>
      </c>
      <c r="AY1613" t="s">
        <v>670</v>
      </c>
      <c r="AZ1613">
        <v>5600</v>
      </c>
      <c r="BA1613" t="s">
        <v>1253</v>
      </c>
      <c r="BB1613" t="s">
        <v>1254</v>
      </c>
      <c r="BC1613">
        <v>1976</v>
      </c>
      <c r="BD1613" t="s">
        <v>200</v>
      </c>
    </row>
    <row r="1614" spans="1:56" x14ac:dyDescent="0.35">
      <c r="A1614">
        <v>131522</v>
      </c>
      <c r="B1614" t="s">
        <v>1252</v>
      </c>
      <c r="D1614" t="s">
        <v>57</v>
      </c>
      <c r="E1614" t="s">
        <v>86</v>
      </c>
      <c r="F1614" t="s">
        <v>58</v>
      </c>
      <c r="G1614" t="s">
        <v>59</v>
      </c>
      <c r="H1614" t="s">
        <v>60</v>
      </c>
      <c r="J1614" t="s">
        <v>86</v>
      </c>
      <c r="L1614" t="s">
        <v>74</v>
      </c>
      <c r="M1614" t="s">
        <v>63</v>
      </c>
      <c r="N1614" t="s">
        <v>64</v>
      </c>
      <c r="P1614" t="s">
        <v>65</v>
      </c>
      <c r="R1614">
        <v>0.21</v>
      </c>
      <c r="W1614" t="s">
        <v>66</v>
      </c>
      <c r="X1614" t="s">
        <v>67</v>
      </c>
      <c r="Y1614" t="s">
        <v>67</v>
      </c>
      <c r="Z1614" t="s">
        <v>68</v>
      </c>
      <c r="AB1614">
        <v>4</v>
      </c>
      <c r="AC1614" t="s">
        <v>61</v>
      </c>
      <c r="AJ1614" t="s">
        <v>69</v>
      </c>
      <c r="AY1614" t="s">
        <v>1038</v>
      </c>
      <c r="AZ1614">
        <v>837</v>
      </c>
      <c r="BA1614" t="s">
        <v>1039</v>
      </c>
      <c r="BB1614" t="s">
        <v>1040</v>
      </c>
      <c r="BC1614">
        <v>1975</v>
      </c>
      <c r="BD1614" t="s">
        <v>90</v>
      </c>
    </row>
    <row r="1615" spans="1:56" x14ac:dyDescent="0.35">
      <c r="A1615">
        <v>131522</v>
      </c>
      <c r="B1615" t="s">
        <v>1252</v>
      </c>
      <c r="C1615" t="s">
        <v>91</v>
      </c>
      <c r="D1615" t="s">
        <v>85</v>
      </c>
      <c r="E1615" t="s">
        <v>86</v>
      </c>
      <c r="F1615" t="s">
        <v>58</v>
      </c>
      <c r="G1615" t="s">
        <v>59</v>
      </c>
      <c r="H1615" t="s">
        <v>60</v>
      </c>
      <c r="J1615">
        <v>11</v>
      </c>
      <c r="K1615" t="s">
        <v>196</v>
      </c>
      <c r="L1615" t="s">
        <v>74</v>
      </c>
      <c r="M1615" t="s">
        <v>63</v>
      </c>
      <c r="N1615" t="s">
        <v>64</v>
      </c>
      <c r="P1615" t="s">
        <v>65</v>
      </c>
      <c r="R1615">
        <v>0.19</v>
      </c>
      <c r="W1615" t="s">
        <v>66</v>
      </c>
      <c r="X1615" t="s">
        <v>67</v>
      </c>
      <c r="Y1615" t="s">
        <v>67</v>
      </c>
      <c r="Z1615" t="s">
        <v>68</v>
      </c>
      <c r="AB1615">
        <v>4</v>
      </c>
      <c r="AC1615" t="s">
        <v>61</v>
      </c>
      <c r="AJ1615" t="s">
        <v>69</v>
      </c>
      <c r="AY1615" t="s">
        <v>661</v>
      </c>
      <c r="AZ1615">
        <v>2145</v>
      </c>
      <c r="BA1615" t="s">
        <v>662</v>
      </c>
      <c r="BB1615" t="s">
        <v>663</v>
      </c>
      <c r="BC1615">
        <v>1976</v>
      </c>
      <c r="BD1615" t="s">
        <v>200</v>
      </c>
    </row>
    <row r="1616" spans="1:56" x14ac:dyDescent="0.35">
      <c r="A1616">
        <v>131522</v>
      </c>
      <c r="B1616" t="s">
        <v>1252</v>
      </c>
      <c r="C1616" t="s">
        <v>91</v>
      </c>
      <c r="D1616" t="s">
        <v>85</v>
      </c>
      <c r="E1616" t="s">
        <v>86</v>
      </c>
      <c r="F1616" t="s">
        <v>58</v>
      </c>
      <c r="G1616" t="s">
        <v>59</v>
      </c>
      <c r="H1616" t="s">
        <v>60</v>
      </c>
      <c r="J1616">
        <v>11</v>
      </c>
      <c r="K1616" t="s">
        <v>196</v>
      </c>
      <c r="L1616" t="s">
        <v>74</v>
      </c>
      <c r="M1616" t="s">
        <v>63</v>
      </c>
      <c r="N1616" t="s">
        <v>64</v>
      </c>
      <c r="P1616" t="s">
        <v>65</v>
      </c>
      <c r="R1616">
        <v>0.22</v>
      </c>
      <c r="W1616" t="s">
        <v>66</v>
      </c>
      <c r="X1616" t="s">
        <v>67</v>
      </c>
      <c r="Y1616" t="s">
        <v>67</v>
      </c>
      <c r="Z1616" t="s">
        <v>68</v>
      </c>
      <c r="AB1616">
        <v>4</v>
      </c>
      <c r="AC1616" t="s">
        <v>61</v>
      </c>
      <c r="AJ1616" t="s">
        <v>69</v>
      </c>
      <c r="AY1616" t="s">
        <v>661</v>
      </c>
      <c r="AZ1616">
        <v>2145</v>
      </c>
      <c r="BA1616" t="s">
        <v>662</v>
      </c>
      <c r="BB1616" t="s">
        <v>663</v>
      </c>
      <c r="BC1616">
        <v>1976</v>
      </c>
      <c r="BD1616" t="s">
        <v>200</v>
      </c>
    </row>
    <row r="1617" spans="1:56" x14ac:dyDescent="0.35">
      <c r="A1617">
        <v>131522</v>
      </c>
      <c r="B1617" t="s">
        <v>1252</v>
      </c>
      <c r="D1617" t="s">
        <v>85</v>
      </c>
      <c r="E1617" t="s">
        <v>86</v>
      </c>
      <c r="F1617" t="s">
        <v>58</v>
      </c>
      <c r="G1617" t="s">
        <v>59</v>
      </c>
      <c r="H1617" t="s">
        <v>60</v>
      </c>
      <c r="I1617" t="s">
        <v>188</v>
      </c>
      <c r="J1617">
        <v>4</v>
      </c>
      <c r="K1617" t="s">
        <v>61</v>
      </c>
      <c r="L1617" t="s">
        <v>74</v>
      </c>
      <c r="M1617" t="s">
        <v>63</v>
      </c>
      <c r="N1617" t="s">
        <v>64</v>
      </c>
      <c r="P1617" t="s">
        <v>100</v>
      </c>
      <c r="R1617">
        <v>9.5000000000000001E-2</v>
      </c>
      <c r="T1617">
        <v>6.7000000000000004E-2</v>
      </c>
      <c r="V1617">
        <v>0.13500000000000001</v>
      </c>
      <c r="W1617" t="s">
        <v>66</v>
      </c>
      <c r="X1617" t="s">
        <v>67</v>
      </c>
      <c r="Y1617" t="s">
        <v>67</v>
      </c>
      <c r="Z1617" t="s">
        <v>68</v>
      </c>
      <c r="AB1617">
        <v>4</v>
      </c>
      <c r="AC1617" t="s">
        <v>61</v>
      </c>
      <c r="AJ1617" t="s">
        <v>69</v>
      </c>
      <c r="AY1617" t="s">
        <v>1257</v>
      </c>
      <c r="AZ1617">
        <v>17753</v>
      </c>
      <c r="BA1617" t="s">
        <v>1258</v>
      </c>
      <c r="BB1617" t="s">
        <v>1259</v>
      </c>
      <c r="BC1617">
        <v>1989</v>
      </c>
      <c r="BD1617" t="s">
        <v>73</v>
      </c>
    </row>
    <row r="1618" spans="1:56" x14ac:dyDescent="0.35">
      <c r="A1618">
        <v>131522</v>
      </c>
      <c r="B1618" t="s">
        <v>1252</v>
      </c>
      <c r="C1618" t="s">
        <v>91</v>
      </c>
      <c r="E1618" t="s">
        <v>86</v>
      </c>
      <c r="F1618" t="s">
        <v>58</v>
      </c>
      <c r="G1618" t="s">
        <v>59</v>
      </c>
      <c r="H1618" t="s">
        <v>60</v>
      </c>
      <c r="J1618" t="s">
        <v>86</v>
      </c>
      <c r="L1618" t="s">
        <v>74</v>
      </c>
      <c r="M1618" t="s">
        <v>63</v>
      </c>
      <c r="N1618" t="s">
        <v>64</v>
      </c>
      <c r="P1618" t="s">
        <v>65</v>
      </c>
      <c r="R1618">
        <v>0.20300000000000001</v>
      </c>
      <c r="W1618" t="s">
        <v>66</v>
      </c>
      <c r="X1618" t="s">
        <v>67</v>
      </c>
      <c r="Y1618" t="s">
        <v>67</v>
      </c>
      <c r="Z1618" t="s">
        <v>68</v>
      </c>
      <c r="AB1618">
        <v>4</v>
      </c>
      <c r="AC1618" t="s">
        <v>61</v>
      </c>
      <c r="AJ1618" t="s">
        <v>69</v>
      </c>
      <c r="AY1618" t="s">
        <v>670</v>
      </c>
      <c r="AZ1618">
        <v>5600</v>
      </c>
      <c r="BA1618" t="s">
        <v>1253</v>
      </c>
      <c r="BB1618" t="s">
        <v>1254</v>
      </c>
      <c r="BC1618">
        <v>1976</v>
      </c>
      <c r="BD1618" t="s">
        <v>90</v>
      </c>
    </row>
    <row r="1619" spans="1:56" x14ac:dyDescent="0.35">
      <c r="A1619">
        <v>131522</v>
      </c>
      <c r="B1619" t="s">
        <v>1252</v>
      </c>
      <c r="D1619" t="s">
        <v>85</v>
      </c>
      <c r="E1619" t="s">
        <v>86</v>
      </c>
      <c r="F1619" t="s">
        <v>58</v>
      </c>
      <c r="G1619" t="s">
        <v>59</v>
      </c>
      <c r="H1619" t="s">
        <v>60</v>
      </c>
      <c r="I1619" t="s">
        <v>188</v>
      </c>
      <c r="J1619">
        <v>2</v>
      </c>
      <c r="K1619" t="s">
        <v>61</v>
      </c>
      <c r="L1619" t="s">
        <v>74</v>
      </c>
      <c r="M1619" t="s">
        <v>63</v>
      </c>
      <c r="N1619" t="s">
        <v>64</v>
      </c>
      <c r="P1619" t="s">
        <v>100</v>
      </c>
      <c r="R1619">
        <v>0.42699999999999999</v>
      </c>
      <c r="T1619">
        <v>0.38800000000000001</v>
      </c>
      <c r="V1619">
        <v>0.47</v>
      </c>
      <c r="W1619" t="s">
        <v>66</v>
      </c>
      <c r="X1619" t="s">
        <v>67</v>
      </c>
      <c r="Y1619" t="s">
        <v>67</v>
      </c>
      <c r="Z1619" t="s">
        <v>68</v>
      </c>
      <c r="AB1619">
        <v>4</v>
      </c>
      <c r="AC1619" t="s">
        <v>61</v>
      </c>
      <c r="AJ1619" t="s">
        <v>69</v>
      </c>
      <c r="AY1619" t="s">
        <v>1257</v>
      </c>
      <c r="AZ1619">
        <v>17753</v>
      </c>
      <c r="BA1619" t="s">
        <v>1258</v>
      </c>
      <c r="BB1619" t="s">
        <v>1259</v>
      </c>
      <c r="BC1619">
        <v>1989</v>
      </c>
      <c r="BD1619" t="s">
        <v>73</v>
      </c>
    </row>
    <row r="1620" spans="1:56" x14ac:dyDescent="0.35">
      <c r="A1620">
        <v>131522</v>
      </c>
      <c r="B1620" t="s">
        <v>1252</v>
      </c>
      <c r="C1620" t="s">
        <v>91</v>
      </c>
      <c r="E1620" t="s">
        <v>86</v>
      </c>
      <c r="F1620" t="s">
        <v>58</v>
      </c>
      <c r="G1620" t="s">
        <v>59</v>
      </c>
      <c r="H1620" t="s">
        <v>60</v>
      </c>
      <c r="J1620">
        <v>7</v>
      </c>
      <c r="K1620" t="s">
        <v>196</v>
      </c>
      <c r="L1620" t="s">
        <v>74</v>
      </c>
      <c r="M1620" t="s">
        <v>63</v>
      </c>
      <c r="N1620" t="s">
        <v>64</v>
      </c>
      <c r="P1620" t="s">
        <v>65</v>
      </c>
      <c r="R1620">
        <v>0.23</v>
      </c>
      <c r="W1620" t="s">
        <v>66</v>
      </c>
      <c r="X1620" t="s">
        <v>67</v>
      </c>
      <c r="Y1620" t="s">
        <v>67</v>
      </c>
      <c r="Z1620" t="s">
        <v>68</v>
      </c>
      <c r="AB1620">
        <v>4</v>
      </c>
      <c r="AC1620" t="s">
        <v>61</v>
      </c>
      <c r="AJ1620" t="s">
        <v>69</v>
      </c>
      <c r="AY1620" t="s">
        <v>670</v>
      </c>
      <c r="AZ1620">
        <v>5600</v>
      </c>
      <c r="BA1620" t="s">
        <v>1253</v>
      </c>
      <c r="BB1620" t="s">
        <v>1254</v>
      </c>
      <c r="BC1620">
        <v>1976</v>
      </c>
      <c r="BD1620" t="s">
        <v>200</v>
      </c>
    </row>
    <row r="1621" spans="1:56" x14ac:dyDescent="0.35">
      <c r="A1621">
        <v>131522</v>
      </c>
      <c r="B1621" t="s">
        <v>1252</v>
      </c>
      <c r="C1621" t="s">
        <v>91</v>
      </c>
      <c r="D1621" t="s">
        <v>85</v>
      </c>
      <c r="E1621" t="s">
        <v>86</v>
      </c>
      <c r="F1621" t="s">
        <v>58</v>
      </c>
      <c r="G1621" t="s">
        <v>59</v>
      </c>
      <c r="H1621" t="s">
        <v>60</v>
      </c>
      <c r="J1621">
        <v>11</v>
      </c>
      <c r="K1621" t="s">
        <v>196</v>
      </c>
      <c r="L1621" t="s">
        <v>74</v>
      </c>
      <c r="M1621" t="s">
        <v>63</v>
      </c>
      <c r="N1621" t="s">
        <v>64</v>
      </c>
      <c r="P1621" t="s">
        <v>65</v>
      </c>
      <c r="R1621">
        <v>0.27</v>
      </c>
      <c r="W1621" t="s">
        <v>66</v>
      </c>
      <c r="X1621" t="s">
        <v>67</v>
      </c>
      <c r="Y1621" t="s">
        <v>67</v>
      </c>
      <c r="Z1621" t="s">
        <v>68</v>
      </c>
      <c r="AB1621">
        <v>4</v>
      </c>
      <c r="AC1621" t="s">
        <v>61</v>
      </c>
      <c r="AJ1621" t="s">
        <v>69</v>
      </c>
      <c r="AY1621" t="s">
        <v>661</v>
      </c>
      <c r="AZ1621">
        <v>2145</v>
      </c>
      <c r="BA1621" t="s">
        <v>662</v>
      </c>
      <c r="BB1621" t="s">
        <v>663</v>
      </c>
      <c r="BC1621">
        <v>1976</v>
      </c>
      <c r="BD1621" t="s">
        <v>200</v>
      </c>
    </row>
    <row r="1622" spans="1:56" x14ac:dyDescent="0.35">
      <c r="A1622">
        <v>131920</v>
      </c>
      <c r="B1622" t="s">
        <v>1264</v>
      </c>
      <c r="D1622" t="s">
        <v>85</v>
      </c>
      <c r="E1622" t="s">
        <v>86</v>
      </c>
      <c r="F1622" t="s">
        <v>58</v>
      </c>
      <c r="G1622" t="s">
        <v>59</v>
      </c>
      <c r="H1622" t="s">
        <v>60</v>
      </c>
      <c r="J1622" t="s">
        <v>86</v>
      </c>
      <c r="L1622" t="s">
        <v>62</v>
      </c>
      <c r="M1622" t="s">
        <v>63</v>
      </c>
      <c r="N1622" t="s">
        <v>64</v>
      </c>
      <c r="P1622" t="s">
        <v>100</v>
      </c>
      <c r="Q1622" t="s">
        <v>153</v>
      </c>
      <c r="R1622">
        <v>180</v>
      </c>
      <c r="W1622" t="s">
        <v>66</v>
      </c>
      <c r="X1622" t="s">
        <v>67</v>
      </c>
      <c r="Y1622" t="s">
        <v>67</v>
      </c>
      <c r="Z1622" t="s">
        <v>68</v>
      </c>
      <c r="AB1622">
        <v>4</v>
      </c>
      <c r="AC1622" t="s">
        <v>61</v>
      </c>
      <c r="AJ1622" t="s">
        <v>69</v>
      </c>
      <c r="AY1622" t="s">
        <v>1243</v>
      </c>
      <c r="AZ1622">
        <v>5789</v>
      </c>
      <c r="BA1622" t="s">
        <v>1244</v>
      </c>
      <c r="BB1622" t="s">
        <v>1245</v>
      </c>
      <c r="BC1622">
        <v>1974</v>
      </c>
      <c r="BD1622" t="s">
        <v>90</v>
      </c>
    </row>
    <row r="1623" spans="1:56" x14ac:dyDescent="0.35">
      <c r="A1623">
        <v>131920</v>
      </c>
      <c r="B1623" t="s">
        <v>1264</v>
      </c>
      <c r="D1623" t="s">
        <v>85</v>
      </c>
      <c r="E1623">
        <v>15</v>
      </c>
      <c r="F1623" t="s">
        <v>58</v>
      </c>
      <c r="G1623" t="s">
        <v>59</v>
      </c>
      <c r="H1623" t="s">
        <v>60</v>
      </c>
      <c r="J1623" t="s">
        <v>86</v>
      </c>
      <c r="L1623" t="s">
        <v>62</v>
      </c>
      <c r="M1623" t="s">
        <v>63</v>
      </c>
      <c r="N1623" t="s">
        <v>64</v>
      </c>
      <c r="P1623" t="s">
        <v>100</v>
      </c>
      <c r="Q1623" t="s">
        <v>153</v>
      </c>
      <c r="R1623">
        <v>180</v>
      </c>
      <c r="W1623" t="s">
        <v>66</v>
      </c>
      <c r="X1623" t="s">
        <v>67</v>
      </c>
      <c r="Y1623" t="s">
        <v>67</v>
      </c>
      <c r="Z1623" t="s">
        <v>68</v>
      </c>
      <c r="AB1623">
        <v>4</v>
      </c>
      <c r="AC1623" t="s">
        <v>61</v>
      </c>
      <c r="AJ1623" t="s">
        <v>69</v>
      </c>
      <c r="AY1623" t="s">
        <v>1246</v>
      </c>
      <c r="AZ1623">
        <v>6969</v>
      </c>
      <c r="BA1623" t="s">
        <v>1247</v>
      </c>
      <c r="BB1623" t="s">
        <v>1248</v>
      </c>
      <c r="BC1623">
        <v>1973</v>
      </c>
      <c r="BD1623" t="s">
        <v>90</v>
      </c>
    </row>
    <row r="1624" spans="1:56" x14ac:dyDescent="0.35">
      <c r="A1624">
        <v>132649</v>
      </c>
      <c r="B1624" t="s">
        <v>1265</v>
      </c>
      <c r="D1624" t="s">
        <v>57</v>
      </c>
      <c r="E1624">
        <v>98</v>
      </c>
      <c r="F1624" t="s">
        <v>58</v>
      </c>
      <c r="G1624" t="s">
        <v>59</v>
      </c>
      <c r="H1624" t="s">
        <v>60</v>
      </c>
      <c r="J1624">
        <v>32</v>
      </c>
      <c r="K1624" t="s">
        <v>61</v>
      </c>
      <c r="L1624" t="s">
        <v>74</v>
      </c>
      <c r="M1624" t="s">
        <v>63</v>
      </c>
      <c r="N1624" t="s">
        <v>64</v>
      </c>
      <c r="P1624" t="s">
        <v>65</v>
      </c>
      <c r="R1624">
        <v>1.78</v>
      </c>
      <c r="T1624">
        <v>1.62</v>
      </c>
      <c r="V1624">
        <v>1.95</v>
      </c>
      <c r="W1624" t="s">
        <v>66</v>
      </c>
      <c r="X1624" t="s">
        <v>67</v>
      </c>
      <c r="Y1624" t="s">
        <v>67</v>
      </c>
      <c r="Z1624" t="s">
        <v>68</v>
      </c>
      <c r="AB1624">
        <v>4</v>
      </c>
      <c r="AC1624" t="s">
        <v>61</v>
      </c>
      <c r="AJ1624" t="s">
        <v>69</v>
      </c>
      <c r="AY1624" t="s">
        <v>80</v>
      </c>
      <c r="AZ1624">
        <v>12859</v>
      </c>
      <c r="BA1624" t="s">
        <v>81</v>
      </c>
      <c r="BB1624" t="s">
        <v>82</v>
      </c>
      <c r="BC1624">
        <v>1988</v>
      </c>
      <c r="BD1624" t="s">
        <v>73</v>
      </c>
    </row>
    <row r="1625" spans="1:56" x14ac:dyDescent="0.35">
      <c r="A1625">
        <v>132649</v>
      </c>
      <c r="B1625" t="s">
        <v>1265</v>
      </c>
      <c r="D1625" t="s">
        <v>57</v>
      </c>
      <c r="E1625">
        <v>99</v>
      </c>
      <c r="F1625" t="s">
        <v>58</v>
      </c>
      <c r="G1625" t="s">
        <v>59</v>
      </c>
      <c r="H1625" t="s">
        <v>60</v>
      </c>
      <c r="J1625">
        <v>30</v>
      </c>
      <c r="K1625" t="s">
        <v>61</v>
      </c>
      <c r="L1625" t="s">
        <v>74</v>
      </c>
      <c r="M1625" t="s">
        <v>63</v>
      </c>
      <c r="N1625" t="s">
        <v>64</v>
      </c>
      <c r="P1625" t="s">
        <v>65</v>
      </c>
      <c r="R1625">
        <v>1.05</v>
      </c>
      <c r="T1625">
        <v>0.84</v>
      </c>
      <c r="V1625">
        <v>1.31</v>
      </c>
      <c r="W1625" t="s">
        <v>66</v>
      </c>
      <c r="X1625" t="s">
        <v>67</v>
      </c>
      <c r="Y1625" t="s">
        <v>67</v>
      </c>
      <c r="Z1625" t="s">
        <v>68</v>
      </c>
      <c r="AB1625">
        <v>4</v>
      </c>
      <c r="AC1625" t="s">
        <v>61</v>
      </c>
      <c r="AJ1625" t="s">
        <v>69</v>
      </c>
      <c r="AY1625" t="s">
        <v>309</v>
      </c>
      <c r="AZ1625">
        <v>17138</v>
      </c>
      <c r="BA1625" t="s">
        <v>310</v>
      </c>
      <c r="BB1625" t="s">
        <v>311</v>
      </c>
      <c r="BC1625">
        <v>1991</v>
      </c>
      <c r="BD1625" t="s">
        <v>73</v>
      </c>
    </row>
    <row r="1626" spans="1:56" x14ac:dyDescent="0.35">
      <c r="A1626">
        <v>132649</v>
      </c>
      <c r="B1626" t="s">
        <v>1265</v>
      </c>
      <c r="D1626" t="s">
        <v>57</v>
      </c>
      <c r="E1626">
        <v>98</v>
      </c>
      <c r="F1626" t="s">
        <v>58</v>
      </c>
      <c r="G1626" t="s">
        <v>59</v>
      </c>
      <c r="H1626" t="s">
        <v>60</v>
      </c>
      <c r="J1626">
        <v>29</v>
      </c>
      <c r="K1626" t="s">
        <v>61</v>
      </c>
      <c r="L1626" t="s">
        <v>74</v>
      </c>
      <c r="M1626" t="s">
        <v>63</v>
      </c>
      <c r="N1626" t="s">
        <v>64</v>
      </c>
      <c r="P1626" t="s">
        <v>65</v>
      </c>
      <c r="R1626">
        <v>1.85</v>
      </c>
      <c r="W1626" t="s">
        <v>66</v>
      </c>
      <c r="X1626" t="s">
        <v>67</v>
      </c>
      <c r="Y1626" t="s">
        <v>67</v>
      </c>
      <c r="Z1626" t="s">
        <v>68</v>
      </c>
      <c r="AB1626">
        <v>4</v>
      </c>
      <c r="AC1626" t="s">
        <v>61</v>
      </c>
      <c r="AJ1626" t="s">
        <v>69</v>
      </c>
      <c r="AY1626" t="s">
        <v>80</v>
      </c>
      <c r="AZ1626">
        <v>12859</v>
      </c>
      <c r="BA1626" t="s">
        <v>81</v>
      </c>
      <c r="BB1626" t="s">
        <v>82</v>
      </c>
      <c r="BC1626">
        <v>1988</v>
      </c>
      <c r="BD1626" t="s">
        <v>73</v>
      </c>
    </row>
    <row r="1627" spans="1:56" x14ac:dyDescent="0.35">
      <c r="A1627">
        <v>132649</v>
      </c>
      <c r="B1627" t="s">
        <v>1265</v>
      </c>
      <c r="D1627" t="s">
        <v>85</v>
      </c>
      <c r="E1627">
        <v>99</v>
      </c>
      <c r="F1627" t="s">
        <v>58</v>
      </c>
      <c r="G1627" t="s">
        <v>59</v>
      </c>
      <c r="H1627" t="s">
        <v>60</v>
      </c>
      <c r="J1627">
        <v>30</v>
      </c>
      <c r="K1627" t="s">
        <v>61</v>
      </c>
      <c r="L1627" t="s">
        <v>62</v>
      </c>
      <c r="M1627" t="s">
        <v>63</v>
      </c>
      <c r="N1627" t="s">
        <v>64</v>
      </c>
      <c r="P1627" t="s">
        <v>65</v>
      </c>
      <c r="R1627">
        <v>3.62</v>
      </c>
      <c r="T1627">
        <v>3.2</v>
      </c>
      <c r="V1627">
        <v>4.0999999999999996</v>
      </c>
      <c r="W1627" t="s">
        <v>66</v>
      </c>
      <c r="X1627" t="s">
        <v>67</v>
      </c>
      <c r="Y1627" t="s">
        <v>67</v>
      </c>
      <c r="Z1627" t="s">
        <v>68</v>
      </c>
      <c r="AB1627">
        <v>4</v>
      </c>
      <c r="AC1627" t="s">
        <v>61</v>
      </c>
      <c r="AJ1627" t="s">
        <v>69</v>
      </c>
      <c r="AY1627" t="s">
        <v>309</v>
      </c>
      <c r="AZ1627">
        <v>17138</v>
      </c>
      <c r="BA1627" t="s">
        <v>310</v>
      </c>
      <c r="BB1627" t="s">
        <v>311</v>
      </c>
      <c r="BC1627">
        <v>1991</v>
      </c>
      <c r="BD1627" t="s">
        <v>73</v>
      </c>
    </row>
    <row r="1628" spans="1:56" x14ac:dyDescent="0.35">
      <c r="A1628">
        <v>132649</v>
      </c>
      <c r="B1628" t="s">
        <v>1265</v>
      </c>
      <c r="D1628" t="s">
        <v>57</v>
      </c>
      <c r="E1628">
        <v>99</v>
      </c>
      <c r="F1628" t="s">
        <v>58</v>
      </c>
      <c r="G1628" t="s">
        <v>59</v>
      </c>
      <c r="H1628" t="s">
        <v>60</v>
      </c>
      <c r="J1628">
        <v>30</v>
      </c>
      <c r="K1628" t="s">
        <v>61</v>
      </c>
      <c r="L1628" t="s">
        <v>62</v>
      </c>
      <c r="M1628" t="s">
        <v>63</v>
      </c>
      <c r="N1628" t="s">
        <v>64</v>
      </c>
      <c r="P1628" t="s">
        <v>65</v>
      </c>
      <c r="R1628">
        <v>3.02</v>
      </c>
      <c r="T1628">
        <v>2.67</v>
      </c>
      <c r="V1628">
        <v>3.43</v>
      </c>
      <c r="W1628" t="s">
        <v>66</v>
      </c>
      <c r="X1628" t="s">
        <v>67</v>
      </c>
      <c r="Y1628" t="s">
        <v>67</v>
      </c>
      <c r="Z1628" t="s">
        <v>68</v>
      </c>
      <c r="AB1628">
        <v>4</v>
      </c>
      <c r="AC1628" t="s">
        <v>61</v>
      </c>
      <c r="AJ1628" t="s">
        <v>69</v>
      </c>
      <c r="AY1628" t="s">
        <v>309</v>
      </c>
      <c r="AZ1628">
        <v>17138</v>
      </c>
      <c r="BA1628" t="s">
        <v>310</v>
      </c>
      <c r="BB1628" t="s">
        <v>311</v>
      </c>
      <c r="BC1628">
        <v>1991</v>
      </c>
      <c r="BD1628" t="s">
        <v>73</v>
      </c>
    </row>
    <row r="1629" spans="1:56" x14ac:dyDescent="0.35">
      <c r="A1629">
        <v>132649</v>
      </c>
      <c r="B1629" t="s">
        <v>1265</v>
      </c>
      <c r="D1629" t="s">
        <v>57</v>
      </c>
      <c r="E1629">
        <v>99</v>
      </c>
      <c r="F1629" t="s">
        <v>58</v>
      </c>
      <c r="G1629" t="s">
        <v>59</v>
      </c>
      <c r="H1629" t="s">
        <v>60</v>
      </c>
      <c r="J1629">
        <v>30</v>
      </c>
      <c r="K1629" t="s">
        <v>61</v>
      </c>
      <c r="L1629" t="s">
        <v>62</v>
      </c>
      <c r="M1629" t="s">
        <v>63</v>
      </c>
      <c r="N1629" t="s">
        <v>64</v>
      </c>
      <c r="P1629" t="s">
        <v>65</v>
      </c>
      <c r="R1629">
        <v>1.1399999999999999</v>
      </c>
      <c r="T1629">
        <v>1.04</v>
      </c>
      <c r="V1629">
        <v>1.25</v>
      </c>
      <c r="W1629" t="s">
        <v>66</v>
      </c>
      <c r="X1629" t="s">
        <v>67</v>
      </c>
      <c r="Y1629" t="s">
        <v>67</v>
      </c>
      <c r="Z1629" t="s">
        <v>68</v>
      </c>
      <c r="AB1629">
        <v>4</v>
      </c>
      <c r="AC1629" t="s">
        <v>61</v>
      </c>
      <c r="AJ1629" t="s">
        <v>69</v>
      </c>
      <c r="AY1629" t="s">
        <v>309</v>
      </c>
      <c r="AZ1629">
        <v>17138</v>
      </c>
      <c r="BA1629" t="s">
        <v>310</v>
      </c>
      <c r="BB1629" t="s">
        <v>311</v>
      </c>
      <c r="BC1629">
        <v>1991</v>
      </c>
      <c r="BD1629" t="s">
        <v>73</v>
      </c>
    </row>
    <row r="1630" spans="1:56" x14ac:dyDescent="0.35">
      <c r="A1630">
        <v>133062</v>
      </c>
      <c r="B1630" t="s">
        <v>1266</v>
      </c>
      <c r="C1630" t="s">
        <v>91</v>
      </c>
      <c r="D1630" t="s">
        <v>57</v>
      </c>
      <c r="E1630">
        <v>88.4</v>
      </c>
      <c r="F1630" t="s">
        <v>58</v>
      </c>
      <c r="G1630" t="s">
        <v>59</v>
      </c>
      <c r="H1630" t="s">
        <v>60</v>
      </c>
      <c r="J1630">
        <v>3.5</v>
      </c>
      <c r="K1630" t="s">
        <v>320</v>
      </c>
      <c r="L1630" t="s">
        <v>74</v>
      </c>
      <c r="M1630" t="s">
        <v>63</v>
      </c>
      <c r="N1630" t="s">
        <v>64</v>
      </c>
      <c r="P1630" t="s">
        <v>65</v>
      </c>
      <c r="R1630">
        <v>6.5000000000000002E-2</v>
      </c>
      <c r="T1630">
        <v>5.8999999999999997E-2</v>
      </c>
      <c r="V1630">
        <v>7.1999999999999995E-2</v>
      </c>
      <c r="W1630" t="s">
        <v>66</v>
      </c>
      <c r="X1630" t="s">
        <v>67</v>
      </c>
      <c r="Y1630" t="s">
        <v>67</v>
      </c>
      <c r="Z1630" t="s">
        <v>68</v>
      </c>
      <c r="AB1630">
        <v>4</v>
      </c>
      <c r="AC1630" t="s">
        <v>61</v>
      </c>
      <c r="AJ1630" t="s">
        <v>69</v>
      </c>
      <c r="AY1630" t="s">
        <v>1267</v>
      </c>
      <c r="AZ1630">
        <v>945</v>
      </c>
      <c r="BA1630" t="s">
        <v>1268</v>
      </c>
      <c r="BB1630" t="s">
        <v>1269</v>
      </c>
      <c r="BC1630">
        <v>1973</v>
      </c>
      <c r="BD1630" t="s">
        <v>324</v>
      </c>
    </row>
    <row r="1631" spans="1:56" x14ac:dyDescent="0.35">
      <c r="A1631">
        <v>133062</v>
      </c>
      <c r="B1631" t="s">
        <v>1266</v>
      </c>
      <c r="E1631">
        <v>90</v>
      </c>
      <c r="F1631" t="s">
        <v>58</v>
      </c>
      <c r="G1631" t="s">
        <v>59</v>
      </c>
      <c r="H1631" t="s">
        <v>60</v>
      </c>
      <c r="J1631" t="s">
        <v>86</v>
      </c>
      <c r="L1631" t="s">
        <v>74</v>
      </c>
      <c r="M1631" t="s">
        <v>63</v>
      </c>
      <c r="N1631" t="s">
        <v>64</v>
      </c>
      <c r="P1631" t="s">
        <v>65</v>
      </c>
      <c r="R1631">
        <v>0.13400000000000001</v>
      </c>
      <c r="T1631">
        <v>0.1</v>
      </c>
      <c r="V1631">
        <v>0.17799999999999999</v>
      </c>
      <c r="W1631" t="s">
        <v>66</v>
      </c>
      <c r="X1631" t="s">
        <v>67</v>
      </c>
      <c r="Y1631" t="s">
        <v>67</v>
      </c>
      <c r="Z1631" t="s">
        <v>68</v>
      </c>
      <c r="AB1631">
        <v>4</v>
      </c>
      <c r="AC1631" t="s">
        <v>61</v>
      </c>
      <c r="AJ1631" t="s">
        <v>69</v>
      </c>
      <c r="AY1631" t="s">
        <v>96</v>
      </c>
      <c r="AZ1631">
        <v>6797</v>
      </c>
      <c r="BA1631" t="s">
        <v>97</v>
      </c>
      <c r="BB1631" t="s">
        <v>98</v>
      </c>
      <c r="BC1631">
        <v>1986</v>
      </c>
      <c r="BD1631" t="s">
        <v>90</v>
      </c>
    </row>
    <row r="1632" spans="1:56" x14ac:dyDescent="0.35">
      <c r="A1632">
        <v>133062</v>
      </c>
      <c r="B1632" t="s">
        <v>1266</v>
      </c>
      <c r="E1632">
        <v>90</v>
      </c>
      <c r="F1632" t="s">
        <v>58</v>
      </c>
      <c r="G1632" t="s">
        <v>59</v>
      </c>
      <c r="H1632" t="s">
        <v>60</v>
      </c>
      <c r="J1632" t="s">
        <v>86</v>
      </c>
      <c r="L1632" t="s">
        <v>62</v>
      </c>
      <c r="M1632" t="s">
        <v>63</v>
      </c>
      <c r="N1632" t="s">
        <v>64</v>
      </c>
      <c r="P1632" t="s">
        <v>65</v>
      </c>
      <c r="R1632">
        <v>0.2</v>
      </c>
      <c r="T1632">
        <v>0.16800000000000001</v>
      </c>
      <c r="V1632">
        <v>0.23799999999999999</v>
      </c>
      <c r="W1632" t="s">
        <v>66</v>
      </c>
      <c r="X1632" t="s">
        <v>67</v>
      </c>
      <c r="Y1632" t="s">
        <v>67</v>
      </c>
      <c r="Z1632" t="s">
        <v>68</v>
      </c>
      <c r="AB1632">
        <v>4</v>
      </c>
      <c r="AC1632" t="s">
        <v>61</v>
      </c>
      <c r="AJ1632" t="s">
        <v>69</v>
      </c>
      <c r="AY1632" t="s">
        <v>96</v>
      </c>
      <c r="AZ1632">
        <v>6797</v>
      </c>
      <c r="BA1632" t="s">
        <v>97</v>
      </c>
      <c r="BB1632" t="s">
        <v>98</v>
      </c>
      <c r="BC1632">
        <v>1986</v>
      </c>
      <c r="BD1632" t="s">
        <v>90</v>
      </c>
    </row>
    <row r="1633" spans="1:56" x14ac:dyDescent="0.35">
      <c r="A1633">
        <v>133073</v>
      </c>
      <c r="B1633" t="s">
        <v>1270</v>
      </c>
      <c r="E1633">
        <v>88</v>
      </c>
      <c r="F1633" t="s">
        <v>58</v>
      </c>
      <c r="G1633" t="s">
        <v>59</v>
      </c>
      <c r="H1633" t="s">
        <v>60</v>
      </c>
      <c r="J1633" t="s">
        <v>86</v>
      </c>
      <c r="L1633" t="s">
        <v>74</v>
      </c>
      <c r="M1633" t="s">
        <v>63</v>
      </c>
      <c r="N1633" t="s">
        <v>64</v>
      </c>
      <c r="P1633" t="s">
        <v>65</v>
      </c>
      <c r="R1633">
        <v>0.114</v>
      </c>
      <c r="T1633">
        <v>8.6400000000000005E-2</v>
      </c>
      <c r="V1633">
        <v>0.15</v>
      </c>
      <c r="W1633" t="s">
        <v>66</v>
      </c>
      <c r="X1633" t="s">
        <v>67</v>
      </c>
      <c r="Y1633" t="s">
        <v>67</v>
      </c>
      <c r="Z1633" t="s">
        <v>68</v>
      </c>
      <c r="AB1633">
        <v>4</v>
      </c>
      <c r="AC1633" t="s">
        <v>61</v>
      </c>
      <c r="AJ1633" t="s">
        <v>69</v>
      </c>
      <c r="AY1633" t="s">
        <v>96</v>
      </c>
      <c r="AZ1633">
        <v>6797</v>
      </c>
      <c r="BA1633" t="s">
        <v>97</v>
      </c>
      <c r="BB1633" t="s">
        <v>98</v>
      </c>
      <c r="BC1633">
        <v>1986</v>
      </c>
      <c r="BD1633" t="s">
        <v>90</v>
      </c>
    </row>
    <row r="1634" spans="1:56" x14ac:dyDescent="0.35">
      <c r="A1634">
        <v>133073</v>
      </c>
      <c r="B1634" t="s">
        <v>1270</v>
      </c>
      <c r="E1634">
        <v>88</v>
      </c>
      <c r="F1634" t="s">
        <v>58</v>
      </c>
      <c r="G1634" t="s">
        <v>59</v>
      </c>
      <c r="H1634" t="s">
        <v>60</v>
      </c>
      <c r="J1634" t="s">
        <v>86</v>
      </c>
      <c r="L1634" t="s">
        <v>62</v>
      </c>
      <c r="M1634" t="s">
        <v>63</v>
      </c>
      <c r="N1634" t="s">
        <v>64</v>
      </c>
      <c r="P1634" t="s">
        <v>65</v>
      </c>
      <c r="R1634">
        <v>0.29799999999999999</v>
      </c>
      <c r="T1634">
        <v>0.20699999999999999</v>
      </c>
      <c r="V1634">
        <v>0.43</v>
      </c>
      <c r="W1634" t="s">
        <v>66</v>
      </c>
      <c r="X1634" t="s">
        <v>67</v>
      </c>
      <c r="Y1634" t="s">
        <v>67</v>
      </c>
      <c r="Z1634" t="s">
        <v>68</v>
      </c>
      <c r="AB1634">
        <v>4</v>
      </c>
      <c r="AC1634" t="s">
        <v>61</v>
      </c>
      <c r="AJ1634" t="s">
        <v>69</v>
      </c>
      <c r="AY1634" t="s">
        <v>96</v>
      </c>
      <c r="AZ1634">
        <v>6797</v>
      </c>
      <c r="BA1634" t="s">
        <v>97</v>
      </c>
      <c r="BB1634" t="s">
        <v>98</v>
      </c>
      <c r="BC1634">
        <v>1986</v>
      </c>
      <c r="BD1634" t="s">
        <v>90</v>
      </c>
    </row>
    <row r="1635" spans="1:56" x14ac:dyDescent="0.35">
      <c r="A1635">
        <v>133119</v>
      </c>
      <c r="B1635" t="s">
        <v>1271</v>
      </c>
      <c r="D1635" t="s">
        <v>57</v>
      </c>
      <c r="E1635">
        <v>99</v>
      </c>
      <c r="F1635" t="s">
        <v>58</v>
      </c>
      <c r="G1635" t="s">
        <v>59</v>
      </c>
      <c r="H1635" t="s">
        <v>60</v>
      </c>
      <c r="J1635">
        <v>33</v>
      </c>
      <c r="K1635" t="s">
        <v>61</v>
      </c>
      <c r="L1635" t="s">
        <v>74</v>
      </c>
      <c r="M1635" t="s">
        <v>63</v>
      </c>
      <c r="N1635" t="s">
        <v>64</v>
      </c>
      <c r="P1635" t="s">
        <v>65</v>
      </c>
      <c r="R1635">
        <v>5.51</v>
      </c>
      <c r="T1635">
        <v>5.24</v>
      </c>
      <c r="V1635">
        <v>5.8</v>
      </c>
      <c r="W1635" t="s">
        <v>66</v>
      </c>
      <c r="X1635" t="s">
        <v>67</v>
      </c>
      <c r="Y1635" t="s">
        <v>67</v>
      </c>
      <c r="Z1635" t="s">
        <v>68</v>
      </c>
      <c r="AB1635">
        <v>4</v>
      </c>
      <c r="AC1635" t="s">
        <v>61</v>
      </c>
      <c r="AJ1635" t="s">
        <v>69</v>
      </c>
      <c r="AY1635" t="s">
        <v>141</v>
      </c>
      <c r="AZ1635">
        <v>12447</v>
      </c>
      <c r="BA1635" t="s">
        <v>142</v>
      </c>
      <c r="BB1635" t="s">
        <v>143</v>
      </c>
      <c r="BC1635">
        <v>1985</v>
      </c>
      <c r="BD1635" t="s">
        <v>73</v>
      </c>
    </row>
    <row r="1636" spans="1:56" x14ac:dyDescent="0.35">
      <c r="A1636">
        <v>133119</v>
      </c>
      <c r="B1636" t="s">
        <v>1271</v>
      </c>
      <c r="D1636" t="s">
        <v>57</v>
      </c>
      <c r="E1636">
        <v>99</v>
      </c>
      <c r="F1636" t="s">
        <v>58</v>
      </c>
      <c r="G1636" t="s">
        <v>59</v>
      </c>
      <c r="H1636" t="s">
        <v>60</v>
      </c>
      <c r="J1636">
        <v>29</v>
      </c>
      <c r="K1636" t="s">
        <v>61</v>
      </c>
      <c r="L1636" t="s">
        <v>74</v>
      </c>
      <c r="M1636" t="s">
        <v>63</v>
      </c>
      <c r="N1636" t="s">
        <v>64</v>
      </c>
      <c r="P1636" t="s">
        <v>65</v>
      </c>
      <c r="R1636">
        <v>4.13</v>
      </c>
      <c r="T1636">
        <v>3.47</v>
      </c>
      <c r="V1636">
        <v>4.91</v>
      </c>
      <c r="W1636" t="s">
        <v>66</v>
      </c>
      <c r="X1636" t="s">
        <v>67</v>
      </c>
      <c r="Y1636" t="s">
        <v>67</v>
      </c>
      <c r="Z1636" t="s">
        <v>68</v>
      </c>
      <c r="AB1636">
        <v>4</v>
      </c>
      <c r="AC1636" t="s">
        <v>61</v>
      </c>
      <c r="AJ1636" t="s">
        <v>69</v>
      </c>
      <c r="AY1636" t="s">
        <v>141</v>
      </c>
      <c r="AZ1636">
        <v>12447</v>
      </c>
      <c r="BA1636" t="s">
        <v>142</v>
      </c>
      <c r="BB1636" t="s">
        <v>143</v>
      </c>
      <c r="BC1636">
        <v>1985</v>
      </c>
      <c r="BD1636" t="s">
        <v>73</v>
      </c>
    </row>
    <row r="1637" spans="1:56" x14ac:dyDescent="0.35">
      <c r="A1637">
        <v>134623</v>
      </c>
      <c r="B1637" t="s">
        <v>1272</v>
      </c>
      <c r="D1637" t="s">
        <v>57</v>
      </c>
      <c r="E1637">
        <v>98</v>
      </c>
      <c r="F1637" t="s">
        <v>58</v>
      </c>
      <c r="G1637" t="s">
        <v>59</v>
      </c>
      <c r="H1637" t="s">
        <v>60</v>
      </c>
      <c r="J1637">
        <v>34</v>
      </c>
      <c r="K1637" t="s">
        <v>61</v>
      </c>
      <c r="L1637" t="s">
        <v>74</v>
      </c>
      <c r="M1637" t="s">
        <v>63</v>
      </c>
      <c r="N1637" t="s">
        <v>64</v>
      </c>
      <c r="P1637" t="s">
        <v>65</v>
      </c>
      <c r="R1637">
        <v>110</v>
      </c>
      <c r="T1637">
        <v>106</v>
      </c>
      <c r="V1637">
        <v>114</v>
      </c>
      <c r="W1637" t="s">
        <v>66</v>
      </c>
      <c r="X1637" t="s">
        <v>67</v>
      </c>
      <c r="Y1637" t="s">
        <v>67</v>
      </c>
      <c r="Z1637" t="s">
        <v>68</v>
      </c>
      <c r="AB1637">
        <v>4</v>
      </c>
      <c r="AC1637" t="s">
        <v>61</v>
      </c>
      <c r="AJ1637" t="s">
        <v>69</v>
      </c>
      <c r="AY1637" t="s">
        <v>286</v>
      </c>
      <c r="AZ1637">
        <v>12448</v>
      </c>
      <c r="BA1637" t="s">
        <v>287</v>
      </c>
      <c r="BB1637" t="s">
        <v>288</v>
      </c>
      <c r="BC1637">
        <v>1984</v>
      </c>
      <c r="BD1637" t="s">
        <v>73</v>
      </c>
    </row>
    <row r="1638" spans="1:56" x14ac:dyDescent="0.35">
      <c r="A1638">
        <v>135193</v>
      </c>
      <c r="B1638" t="s">
        <v>1273</v>
      </c>
      <c r="D1638" t="s">
        <v>57</v>
      </c>
      <c r="E1638" t="s">
        <v>86</v>
      </c>
      <c r="F1638" t="s">
        <v>58</v>
      </c>
      <c r="G1638" t="s">
        <v>59</v>
      </c>
      <c r="H1638" t="s">
        <v>60</v>
      </c>
      <c r="I1638" t="s">
        <v>129</v>
      </c>
      <c r="J1638" t="s">
        <v>86</v>
      </c>
      <c r="K1638" t="s">
        <v>320</v>
      </c>
      <c r="L1638" t="s">
        <v>62</v>
      </c>
      <c r="M1638" t="s">
        <v>63</v>
      </c>
      <c r="N1638" t="s">
        <v>64</v>
      </c>
      <c r="P1638" t="s">
        <v>65</v>
      </c>
      <c r="R1638">
        <v>3.46</v>
      </c>
      <c r="T1638">
        <v>2.4300000000000002</v>
      </c>
      <c r="V1638">
        <v>3.9</v>
      </c>
      <c r="W1638" t="s">
        <v>66</v>
      </c>
      <c r="X1638" t="s">
        <v>67</v>
      </c>
      <c r="Y1638" t="s">
        <v>67</v>
      </c>
      <c r="Z1638" t="s">
        <v>68</v>
      </c>
      <c r="AB1638">
        <v>4</v>
      </c>
      <c r="AC1638" t="s">
        <v>61</v>
      </c>
      <c r="AJ1638" t="s">
        <v>69</v>
      </c>
      <c r="AY1638" t="s">
        <v>748</v>
      </c>
      <c r="AZ1638">
        <v>11725</v>
      </c>
      <c r="BA1638" t="s">
        <v>749</v>
      </c>
      <c r="BB1638" t="s">
        <v>750</v>
      </c>
      <c r="BC1638">
        <v>1984</v>
      </c>
      <c r="BD1638" t="s">
        <v>751</v>
      </c>
    </row>
    <row r="1639" spans="1:56" x14ac:dyDescent="0.35">
      <c r="A1639">
        <v>136856</v>
      </c>
      <c r="B1639" t="s">
        <v>1274</v>
      </c>
      <c r="D1639" t="s">
        <v>57</v>
      </c>
      <c r="E1639" t="s">
        <v>86</v>
      </c>
      <c r="F1639" t="s">
        <v>58</v>
      </c>
      <c r="G1639" t="s">
        <v>59</v>
      </c>
      <c r="H1639" t="s">
        <v>60</v>
      </c>
      <c r="J1639" t="s">
        <v>86</v>
      </c>
      <c r="K1639" t="s">
        <v>61</v>
      </c>
      <c r="L1639" t="s">
        <v>190</v>
      </c>
      <c r="M1639" t="s">
        <v>63</v>
      </c>
      <c r="N1639" t="s">
        <v>64</v>
      </c>
      <c r="P1639" t="s">
        <v>65</v>
      </c>
      <c r="R1639">
        <v>22</v>
      </c>
      <c r="T1639">
        <v>18</v>
      </c>
      <c r="V1639">
        <v>26</v>
      </c>
      <c r="W1639" t="s">
        <v>66</v>
      </c>
      <c r="X1639" t="s">
        <v>67</v>
      </c>
      <c r="Y1639" t="s">
        <v>67</v>
      </c>
      <c r="Z1639" t="s">
        <v>68</v>
      </c>
      <c r="AB1639">
        <v>4</v>
      </c>
      <c r="AC1639" t="s">
        <v>61</v>
      </c>
      <c r="AJ1639" t="s">
        <v>69</v>
      </c>
      <c r="AY1639" t="s">
        <v>801</v>
      </c>
      <c r="AZ1639">
        <v>60072</v>
      </c>
      <c r="BA1639" t="s">
        <v>802</v>
      </c>
      <c r="BB1639" t="s">
        <v>803</v>
      </c>
      <c r="BC1639">
        <v>2001</v>
      </c>
      <c r="BD1639" t="s">
        <v>804</v>
      </c>
    </row>
    <row r="1640" spans="1:56" x14ac:dyDescent="0.35">
      <c r="A1640">
        <v>137268</v>
      </c>
      <c r="B1640" t="s">
        <v>1275</v>
      </c>
      <c r="C1640" t="s">
        <v>195</v>
      </c>
      <c r="D1640" t="s">
        <v>85</v>
      </c>
      <c r="E1640">
        <v>99</v>
      </c>
      <c r="F1640" t="s">
        <v>58</v>
      </c>
      <c r="G1640" t="s">
        <v>59</v>
      </c>
      <c r="H1640" t="s">
        <v>60</v>
      </c>
      <c r="I1640" t="s">
        <v>177</v>
      </c>
      <c r="J1640" t="s">
        <v>86</v>
      </c>
      <c r="K1640" t="s">
        <v>61</v>
      </c>
      <c r="L1640" t="s">
        <v>190</v>
      </c>
      <c r="M1640" t="s">
        <v>63</v>
      </c>
      <c r="N1640" t="s">
        <v>64</v>
      </c>
      <c r="P1640" t="s">
        <v>65</v>
      </c>
      <c r="R1640">
        <v>1.3198767029999999E-2</v>
      </c>
      <c r="T1640">
        <v>1.1804361770000001E-2</v>
      </c>
      <c r="V1640">
        <v>1.468933817E-2</v>
      </c>
      <c r="W1640" t="s">
        <v>66</v>
      </c>
      <c r="X1640" t="s">
        <v>67</v>
      </c>
      <c r="Y1640" t="s">
        <v>67</v>
      </c>
      <c r="Z1640" t="s">
        <v>68</v>
      </c>
      <c r="AB1640">
        <v>4</v>
      </c>
      <c r="AC1640" t="s">
        <v>61</v>
      </c>
      <c r="AJ1640" t="s">
        <v>69</v>
      </c>
      <c r="AY1640" t="s">
        <v>996</v>
      </c>
      <c r="AZ1640">
        <v>18390</v>
      </c>
      <c r="BA1640" t="s">
        <v>997</v>
      </c>
      <c r="BB1640" t="s">
        <v>998</v>
      </c>
      <c r="BC1640">
        <v>1997</v>
      </c>
      <c r="BD1640" t="s">
        <v>999</v>
      </c>
    </row>
    <row r="1641" spans="1:56" x14ac:dyDescent="0.35">
      <c r="A1641">
        <v>137268</v>
      </c>
      <c r="B1641" t="s">
        <v>1275</v>
      </c>
      <c r="C1641" t="s">
        <v>195</v>
      </c>
      <c r="D1641" t="s">
        <v>85</v>
      </c>
      <c r="E1641">
        <v>99</v>
      </c>
      <c r="F1641" t="s">
        <v>58</v>
      </c>
      <c r="G1641" t="s">
        <v>59</v>
      </c>
      <c r="H1641" t="s">
        <v>60</v>
      </c>
      <c r="I1641" t="s">
        <v>177</v>
      </c>
      <c r="J1641" t="s">
        <v>86</v>
      </c>
      <c r="K1641" t="s">
        <v>61</v>
      </c>
      <c r="L1641" t="s">
        <v>190</v>
      </c>
      <c r="M1641" t="s">
        <v>63</v>
      </c>
      <c r="N1641" t="s">
        <v>64</v>
      </c>
      <c r="P1641" t="s">
        <v>65</v>
      </c>
      <c r="R1641">
        <v>3.5581375599999999E-2</v>
      </c>
      <c r="T1641">
        <v>2.8128519899999999E-2</v>
      </c>
      <c r="V1641">
        <v>3.7504693200000001E-2</v>
      </c>
      <c r="W1641" t="s">
        <v>66</v>
      </c>
      <c r="X1641" t="s">
        <v>67</v>
      </c>
      <c r="Y1641" t="s">
        <v>67</v>
      </c>
      <c r="Z1641" t="s">
        <v>68</v>
      </c>
      <c r="AB1641">
        <v>4</v>
      </c>
      <c r="AC1641" t="s">
        <v>61</v>
      </c>
      <c r="AJ1641" t="s">
        <v>69</v>
      </c>
      <c r="AY1641" t="s">
        <v>996</v>
      </c>
      <c r="AZ1641">
        <v>18390</v>
      </c>
      <c r="BA1641" t="s">
        <v>997</v>
      </c>
      <c r="BB1641" t="s">
        <v>998</v>
      </c>
      <c r="BC1641">
        <v>1997</v>
      </c>
      <c r="BD1641" t="s">
        <v>999</v>
      </c>
    </row>
    <row r="1642" spans="1:56" x14ac:dyDescent="0.35">
      <c r="A1642">
        <v>137291</v>
      </c>
      <c r="B1642" t="s">
        <v>1276</v>
      </c>
      <c r="D1642" t="s">
        <v>85</v>
      </c>
      <c r="E1642">
        <v>50</v>
      </c>
      <c r="F1642" t="s">
        <v>58</v>
      </c>
      <c r="G1642" t="s">
        <v>59</v>
      </c>
      <c r="H1642" t="s">
        <v>60</v>
      </c>
      <c r="J1642" t="s">
        <v>86</v>
      </c>
      <c r="L1642" t="s">
        <v>62</v>
      </c>
      <c r="M1642" t="s">
        <v>63</v>
      </c>
      <c r="N1642" t="s">
        <v>64</v>
      </c>
      <c r="P1642" t="s">
        <v>100</v>
      </c>
      <c r="R1642">
        <v>0.23</v>
      </c>
      <c r="T1642">
        <v>0.16</v>
      </c>
      <c r="V1642">
        <v>0.31</v>
      </c>
      <c r="W1642" t="s">
        <v>66</v>
      </c>
      <c r="X1642" t="s">
        <v>67</v>
      </c>
      <c r="Y1642" t="s">
        <v>67</v>
      </c>
      <c r="Z1642" t="s">
        <v>68</v>
      </c>
      <c r="AB1642">
        <v>4</v>
      </c>
      <c r="AC1642" t="s">
        <v>61</v>
      </c>
      <c r="AJ1642" t="s">
        <v>69</v>
      </c>
      <c r="AY1642" t="s">
        <v>168</v>
      </c>
      <c r="AZ1642">
        <v>8096</v>
      </c>
      <c r="BA1642" t="s">
        <v>169</v>
      </c>
      <c r="BB1642" t="s">
        <v>170</v>
      </c>
      <c r="BC1642">
        <v>1966</v>
      </c>
      <c r="BD1642" t="s">
        <v>90</v>
      </c>
    </row>
    <row r="1643" spans="1:56" x14ac:dyDescent="0.35">
      <c r="A1643">
        <v>137291</v>
      </c>
      <c r="B1643" t="s">
        <v>1276</v>
      </c>
      <c r="D1643" t="s">
        <v>85</v>
      </c>
      <c r="E1643">
        <v>50</v>
      </c>
      <c r="F1643" t="s">
        <v>58</v>
      </c>
      <c r="G1643" t="s">
        <v>59</v>
      </c>
      <c r="H1643" t="s">
        <v>60</v>
      </c>
      <c r="J1643" t="s">
        <v>86</v>
      </c>
      <c r="L1643" t="s">
        <v>62</v>
      </c>
      <c r="M1643" t="s">
        <v>63</v>
      </c>
      <c r="N1643" t="s">
        <v>64</v>
      </c>
      <c r="P1643" t="s">
        <v>100</v>
      </c>
      <c r="R1643">
        <v>7.0999999999999994E-2</v>
      </c>
      <c r="T1643">
        <v>5.3999999999999999E-2</v>
      </c>
      <c r="V1643">
        <v>8.8999999999999996E-2</v>
      </c>
      <c r="W1643" t="s">
        <v>66</v>
      </c>
      <c r="X1643" t="s">
        <v>67</v>
      </c>
      <c r="Y1643" t="s">
        <v>67</v>
      </c>
      <c r="Z1643" t="s">
        <v>68</v>
      </c>
      <c r="AB1643">
        <v>4</v>
      </c>
      <c r="AC1643" t="s">
        <v>61</v>
      </c>
      <c r="AJ1643" t="s">
        <v>69</v>
      </c>
      <c r="AY1643" t="s">
        <v>168</v>
      </c>
      <c r="AZ1643">
        <v>8096</v>
      </c>
      <c r="BA1643" t="s">
        <v>169</v>
      </c>
      <c r="BB1643" t="s">
        <v>170</v>
      </c>
      <c r="BC1643">
        <v>1966</v>
      </c>
      <c r="BD1643" t="s">
        <v>90</v>
      </c>
    </row>
    <row r="1644" spans="1:56" x14ac:dyDescent="0.35">
      <c r="A1644">
        <v>137304</v>
      </c>
      <c r="B1644" t="s">
        <v>1277</v>
      </c>
      <c r="D1644" t="s">
        <v>85</v>
      </c>
      <c r="E1644" t="s">
        <v>86</v>
      </c>
      <c r="F1644" t="s">
        <v>58</v>
      </c>
      <c r="G1644" t="s">
        <v>59</v>
      </c>
      <c r="H1644" t="s">
        <v>60</v>
      </c>
      <c r="J1644" t="s">
        <v>86</v>
      </c>
      <c r="L1644" t="s">
        <v>62</v>
      </c>
      <c r="M1644" t="s">
        <v>63</v>
      </c>
      <c r="N1644" t="s">
        <v>64</v>
      </c>
      <c r="P1644" t="s">
        <v>100</v>
      </c>
      <c r="R1644">
        <v>0.25</v>
      </c>
      <c r="T1644">
        <v>0.19</v>
      </c>
      <c r="V1644">
        <v>0.33</v>
      </c>
      <c r="W1644" t="s">
        <v>66</v>
      </c>
      <c r="X1644" t="s">
        <v>67</v>
      </c>
      <c r="Y1644" t="s">
        <v>67</v>
      </c>
      <c r="Z1644" t="s">
        <v>68</v>
      </c>
      <c r="AB1644">
        <v>4</v>
      </c>
      <c r="AC1644" t="s">
        <v>61</v>
      </c>
      <c r="AJ1644" t="s">
        <v>69</v>
      </c>
      <c r="AY1644" t="s">
        <v>168</v>
      </c>
      <c r="AZ1644">
        <v>8096</v>
      </c>
      <c r="BA1644" t="s">
        <v>169</v>
      </c>
      <c r="BB1644" t="s">
        <v>170</v>
      </c>
      <c r="BC1644">
        <v>1966</v>
      </c>
      <c r="BD1644" t="s">
        <v>90</v>
      </c>
    </row>
    <row r="1645" spans="1:56" x14ac:dyDescent="0.35">
      <c r="A1645">
        <v>137304</v>
      </c>
      <c r="B1645" t="s">
        <v>1277</v>
      </c>
      <c r="D1645" t="s">
        <v>85</v>
      </c>
      <c r="E1645" t="s">
        <v>86</v>
      </c>
      <c r="F1645" t="s">
        <v>58</v>
      </c>
      <c r="G1645" t="s">
        <v>59</v>
      </c>
      <c r="H1645" t="s">
        <v>60</v>
      </c>
      <c r="J1645" t="s">
        <v>86</v>
      </c>
      <c r="L1645" t="s">
        <v>62</v>
      </c>
      <c r="M1645" t="s">
        <v>63</v>
      </c>
      <c r="N1645" t="s">
        <v>64</v>
      </c>
      <c r="P1645" t="s">
        <v>100</v>
      </c>
      <c r="R1645">
        <v>0.24</v>
      </c>
      <c r="T1645">
        <v>0.19</v>
      </c>
      <c r="V1645">
        <v>0.31</v>
      </c>
      <c r="W1645" t="s">
        <v>66</v>
      </c>
      <c r="X1645" t="s">
        <v>67</v>
      </c>
      <c r="Y1645" t="s">
        <v>67</v>
      </c>
      <c r="Z1645" t="s">
        <v>68</v>
      </c>
      <c r="AB1645">
        <v>4</v>
      </c>
      <c r="AC1645" t="s">
        <v>61</v>
      </c>
      <c r="AJ1645" t="s">
        <v>69</v>
      </c>
      <c r="AY1645" t="s">
        <v>168</v>
      </c>
      <c r="AZ1645">
        <v>8096</v>
      </c>
      <c r="BA1645" t="s">
        <v>169</v>
      </c>
      <c r="BB1645" t="s">
        <v>170</v>
      </c>
      <c r="BC1645">
        <v>1966</v>
      </c>
      <c r="BD1645" t="s">
        <v>90</v>
      </c>
    </row>
    <row r="1646" spans="1:56" x14ac:dyDescent="0.35">
      <c r="A1646">
        <v>137406</v>
      </c>
      <c r="B1646" t="s">
        <v>1278</v>
      </c>
      <c r="D1646" t="s">
        <v>57</v>
      </c>
      <c r="E1646">
        <v>99</v>
      </c>
      <c r="F1646" t="s">
        <v>58</v>
      </c>
      <c r="G1646" t="s">
        <v>59</v>
      </c>
      <c r="H1646" t="s">
        <v>60</v>
      </c>
      <c r="J1646" t="s">
        <v>86</v>
      </c>
      <c r="K1646" t="s">
        <v>61</v>
      </c>
      <c r="L1646" t="s">
        <v>74</v>
      </c>
      <c r="M1646" t="s">
        <v>63</v>
      </c>
      <c r="N1646" t="s">
        <v>64</v>
      </c>
      <c r="P1646" t="s">
        <v>65</v>
      </c>
      <c r="R1646">
        <v>4740</v>
      </c>
      <c r="T1646">
        <v>4390</v>
      </c>
      <c r="V1646">
        <v>5120</v>
      </c>
      <c r="W1646" t="s">
        <v>66</v>
      </c>
      <c r="X1646" t="s">
        <v>67</v>
      </c>
      <c r="Y1646" t="s">
        <v>67</v>
      </c>
      <c r="Z1646" t="s">
        <v>68</v>
      </c>
      <c r="AB1646">
        <v>4</v>
      </c>
      <c r="AC1646" t="s">
        <v>61</v>
      </c>
      <c r="AJ1646" t="s">
        <v>69</v>
      </c>
      <c r="AY1646" t="s">
        <v>286</v>
      </c>
      <c r="AZ1646">
        <v>12448</v>
      </c>
      <c r="BA1646" t="s">
        <v>287</v>
      </c>
      <c r="BB1646" t="s">
        <v>288</v>
      </c>
      <c r="BC1646">
        <v>1984</v>
      </c>
      <c r="BD1646" t="s">
        <v>1279</v>
      </c>
    </row>
    <row r="1647" spans="1:56" x14ac:dyDescent="0.35">
      <c r="A1647">
        <v>138863</v>
      </c>
      <c r="B1647" t="s">
        <v>1280</v>
      </c>
      <c r="D1647" t="s">
        <v>57</v>
      </c>
      <c r="E1647" t="s">
        <v>86</v>
      </c>
      <c r="F1647" t="s">
        <v>58</v>
      </c>
      <c r="G1647" t="s">
        <v>59</v>
      </c>
      <c r="H1647" t="s">
        <v>60</v>
      </c>
      <c r="I1647" t="s">
        <v>129</v>
      </c>
      <c r="J1647">
        <v>31</v>
      </c>
      <c r="K1647" t="s">
        <v>61</v>
      </c>
      <c r="L1647" t="s">
        <v>74</v>
      </c>
      <c r="M1647" t="s">
        <v>63</v>
      </c>
      <c r="N1647" t="s">
        <v>64</v>
      </c>
      <c r="O1647">
        <v>6</v>
      </c>
      <c r="P1647" t="s">
        <v>65</v>
      </c>
      <c r="R1647">
        <v>38.5</v>
      </c>
      <c r="T1647">
        <v>35.4</v>
      </c>
      <c r="V1647">
        <v>41.8</v>
      </c>
      <c r="W1647" t="s">
        <v>66</v>
      </c>
      <c r="X1647" t="s">
        <v>67</v>
      </c>
      <c r="Y1647" t="s">
        <v>67</v>
      </c>
      <c r="Z1647" t="s">
        <v>68</v>
      </c>
      <c r="AB1647">
        <v>4</v>
      </c>
      <c r="AC1647" t="s">
        <v>61</v>
      </c>
      <c r="AJ1647" t="s">
        <v>69</v>
      </c>
      <c r="AY1647" t="s">
        <v>884</v>
      </c>
      <c r="AZ1647">
        <v>97161</v>
      </c>
      <c r="BA1647" t="s">
        <v>885</v>
      </c>
      <c r="BB1647" t="s">
        <v>886</v>
      </c>
      <c r="BC1647">
        <v>1990</v>
      </c>
      <c r="BD1647" t="s">
        <v>73</v>
      </c>
    </row>
    <row r="1648" spans="1:56" x14ac:dyDescent="0.35">
      <c r="A1648">
        <v>138863</v>
      </c>
      <c r="B1648" t="s">
        <v>1280</v>
      </c>
      <c r="E1648">
        <v>4</v>
      </c>
      <c r="F1648" t="s">
        <v>58</v>
      </c>
      <c r="G1648" t="s">
        <v>59</v>
      </c>
      <c r="H1648" t="s">
        <v>60</v>
      </c>
      <c r="J1648" t="s">
        <v>86</v>
      </c>
      <c r="L1648" t="s">
        <v>62</v>
      </c>
      <c r="M1648" t="s">
        <v>63</v>
      </c>
      <c r="N1648" t="s">
        <v>64</v>
      </c>
      <c r="P1648" t="s">
        <v>100</v>
      </c>
      <c r="R1648">
        <v>966</v>
      </c>
      <c r="T1648">
        <v>740</v>
      </c>
      <c r="V1648">
        <v>1652</v>
      </c>
      <c r="W1648" t="s">
        <v>66</v>
      </c>
      <c r="X1648" t="s">
        <v>67</v>
      </c>
      <c r="Y1648" t="s">
        <v>67</v>
      </c>
      <c r="Z1648" t="s">
        <v>68</v>
      </c>
      <c r="AB1648">
        <v>4</v>
      </c>
      <c r="AC1648" t="s">
        <v>61</v>
      </c>
      <c r="AJ1648" t="s">
        <v>69</v>
      </c>
      <c r="AY1648" t="s">
        <v>116</v>
      </c>
      <c r="AZ1648">
        <v>344</v>
      </c>
      <c r="BA1648" t="s">
        <v>117</v>
      </c>
      <c r="BB1648" t="s">
        <v>118</v>
      </c>
      <c r="BC1648">
        <v>1992</v>
      </c>
      <c r="BD1648" t="s">
        <v>90</v>
      </c>
    </row>
    <row r="1649" spans="1:56" x14ac:dyDescent="0.35">
      <c r="A1649">
        <v>139139</v>
      </c>
      <c r="B1649" t="s">
        <v>1281</v>
      </c>
      <c r="D1649" t="s">
        <v>85</v>
      </c>
      <c r="E1649" t="s">
        <v>86</v>
      </c>
      <c r="F1649" t="s">
        <v>58</v>
      </c>
      <c r="G1649" t="s">
        <v>59</v>
      </c>
      <c r="H1649" t="s">
        <v>60</v>
      </c>
      <c r="J1649" t="s">
        <v>86</v>
      </c>
      <c r="L1649" t="s">
        <v>62</v>
      </c>
      <c r="M1649" t="s">
        <v>63</v>
      </c>
      <c r="N1649" t="s">
        <v>64</v>
      </c>
      <c r="O1649">
        <v>4</v>
      </c>
      <c r="P1649" t="s">
        <v>100</v>
      </c>
      <c r="Q1649" t="s">
        <v>153</v>
      </c>
      <c r="R1649">
        <v>100</v>
      </c>
      <c r="W1649" t="s">
        <v>66</v>
      </c>
      <c r="X1649" t="s">
        <v>67</v>
      </c>
      <c r="Y1649" t="s">
        <v>67</v>
      </c>
      <c r="Z1649" t="s">
        <v>68</v>
      </c>
      <c r="AB1649">
        <v>4</v>
      </c>
      <c r="AC1649" t="s">
        <v>61</v>
      </c>
      <c r="AJ1649" t="s">
        <v>69</v>
      </c>
      <c r="AY1649" t="s">
        <v>173</v>
      </c>
      <c r="AZ1649">
        <v>167113</v>
      </c>
      <c r="BA1649" t="s">
        <v>174</v>
      </c>
      <c r="BB1649" t="s">
        <v>175</v>
      </c>
      <c r="BC1649">
        <v>1974</v>
      </c>
      <c r="BD1649" t="s">
        <v>90</v>
      </c>
    </row>
    <row r="1650" spans="1:56" x14ac:dyDescent="0.35">
      <c r="A1650">
        <v>140318</v>
      </c>
      <c r="B1650" t="s">
        <v>1282</v>
      </c>
      <c r="D1650" t="s">
        <v>57</v>
      </c>
      <c r="E1650">
        <v>97</v>
      </c>
      <c r="F1650" t="s">
        <v>58</v>
      </c>
      <c r="G1650" t="s">
        <v>59</v>
      </c>
      <c r="H1650" t="s">
        <v>60</v>
      </c>
      <c r="J1650">
        <v>31</v>
      </c>
      <c r="K1650" t="s">
        <v>61</v>
      </c>
      <c r="L1650" t="s">
        <v>74</v>
      </c>
      <c r="M1650" t="s">
        <v>63</v>
      </c>
      <c r="N1650" t="s">
        <v>64</v>
      </c>
      <c r="P1650" t="s">
        <v>65</v>
      </c>
      <c r="R1650">
        <v>2190</v>
      </c>
      <c r="T1650">
        <v>1950</v>
      </c>
      <c r="V1650">
        <v>2460</v>
      </c>
      <c r="W1650" t="s">
        <v>66</v>
      </c>
      <c r="X1650" t="s">
        <v>67</v>
      </c>
      <c r="Y1650" t="s">
        <v>67</v>
      </c>
      <c r="Z1650" t="s">
        <v>68</v>
      </c>
      <c r="AB1650">
        <v>4</v>
      </c>
      <c r="AC1650" t="s">
        <v>61</v>
      </c>
      <c r="AJ1650" t="s">
        <v>69</v>
      </c>
      <c r="AY1650" t="s">
        <v>263</v>
      </c>
      <c r="AZ1650">
        <v>12858</v>
      </c>
      <c r="BA1650" t="s">
        <v>264</v>
      </c>
      <c r="BB1650" t="s">
        <v>265</v>
      </c>
      <c r="BC1650">
        <v>1986</v>
      </c>
      <c r="BD1650" t="s">
        <v>73</v>
      </c>
    </row>
    <row r="1651" spans="1:56" x14ac:dyDescent="0.35">
      <c r="A1651">
        <v>140385</v>
      </c>
      <c r="B1651" t="s">
        <v>1283</v>
      </c>
      <c r="D1651" t="s">
        <v>85</v>
      </c>
      <c r="E1651" t="s">
        <v>86</v>
      </c>
      <c r="F1651" t="s">
        <v>58</v>
      </c>
      <c r="G1651" t="s">
        <v>59</v>
      </c>
      <c r="H1651" t="s">
        <v>60</v>
      </c>
      <c r="J1651" t="s">
        <v>86</v>
      </c>
      <c r="L1651" t="s">
        <v>62</v>
      </c>
      <c r="M1651" t="s">
        <v>63</v>
      </c>
      <c r="N1651" t="s">
        <v>64</v>
      </c>
      <c r="P1651" t="s">
        <v>100</v>
      </c>
      <c r="Q1651" t="s">
        <v>153</v>
      </c>
      <c r="R1651">
        <v>100</v>
      </c>
      <c r="W1651" t="s">
        <v>66</v>
      </c>
      <c r="X1651" t="s">
        <v>67</v>
      </c>
      <c r="Y1651" t="s">
        <v>67</v>
      </c>
      <c r="Z1651" t="s">
        <v>68</v>
      </c>
      <c r="AB1651">
        <v>4</v>
      </c>
      <c r="AC1651" t="s">
        <v>61</v>
      </c>
      <c r="AJ1651" t="s">
        <v>69</v>
      </c>
      <c r="AY1651" t="s">
        <v>962</v>
      </c>
      <c r="AZ1651">
        <v>939</v>
      </c>
      <c r="BA1651" t="s">
        <v>963</v>
      </c>
      <c r="BB1651" t="s">
        <v>964</v>
      </c>
      <c r="BC1651">
        <v>1978</v>
      </c>
      <c r="BD1651" t="s">
        <v>90</v>
      </c>
    </row>
    <row r="1652" spans="1:56" x14ac:dyDescent="0.35">
      <c r="A1652">
        <v>140885</v>
      </c>
      <c r="B1652" t="s">
        <v>1284</v>
      </c>
      <c r="D1652" t="s">
        <v>57</v>
      </c>
      <c r="E1652">
        <v>99</v>
      </c>
      <c r="F1652" t="s">
        <v>58</v>
      </c>
      <c r="G1652" t="s">
        <v>59</v>
      </c>
      <c r="H1652" t="s">
        <v>60</v>
      </c>
      <c r="J1652">
        <v>32</v>
      </c>
      <c r="K1652" t="s">
        <v>61</v>
      </c>
      <c r="L1652" t="s">
        <v>74</v>
      </c>
      <c r="M1652" t="s">
        <v>63</v>
      </c>
      <c r="N1652" t="s">
        <v>64</v>
      </c>
      <c r="P1652" t="s">
        <v>65</v>
      </c>
      <c r="R1652">
        <v>2.5</v>
      </c>
      <c r="T1652">
        <v>2.31</v>
      </c>
      <c r="V1652">
        <v>2.7</v>
      </c>
      <c r="W1652" t="s">
        <v>66</v>
      </c>
      <c r="X1652" t="s">
        <v>67</v>
      </c>
      <c r="Y1652" t="s">
        <v>67</v>
      </c>
      <c r="Z1652" t="s">
        <v>68</v>
      </c>
      <c r="AB1652">
        <v>4</v>
      </c>
      <c r="AC1652" t="s">
        <v>61</v>
      </c>
      <c r="AJ1652" t="s">
        <v>69</v>
      </c>
      <c r="AY1652" t="s">
        <v>75</v>
      </c>
      <c r="AZ1652">
        <v>3217</v>
      </c>
      <c r="BA1652" t="s">
        <v>76</v>
      </c>
      <c r="BB1652" t="s">
        <v>77</v>
      </c>
      <c r="BC1652">
        <v>1990</v>
      </c>
      <c r="BD1652" t="s">
        <v>73</v>
      </c>
    </row>
    <row r="1653" spans="1:56" x14ac:dyDescent="0.35">
      <c r="A1653">
        <v>141037</v>
      </c>
      <c r="B1653" t="s">
        <v>1285</v>
      </c>
      <c r="D1653" t="s">
        <v>57</v>
      </c>
      <c r="E1653" t="s">
        <v>253</v>
      </c>
      <c r="F1653" t="s">
        <v>58</v>
      </c>
      <c r="G1653" t="s">
        <v>59</v>
      </c>
      <c r="H1653" t="s">
        <v>60</v>
      </c>
      <c r="J1653">
        <v>30</v>
      </c>
      <c r="K1653" t="s">
        <v>61</v>
      </c>
      <c r="L1653" t="s">
        <v>74</v>
      </c>
      <c r="M1653" t="s">
        <v>63</v>
      </c>
      <c r="N1653" t="s">
        <v>64</v>
      </c>
      <c r="P1653" t="s">
        <v>65</v>
      </c>
      <c r="R1653">
        <v>4.46</v>
      </c>
      <c r="T1653">
        <v>4.26</v>
      </c>
      <c r="V1653">
        <v>4.67</v>
      </c>
      <c r="W1653" t="s">
        <v>66</v>
      </c>
      <c r="X1653" t="s">
        <v>67</v>
      </c>
      <c r="Y1653" t="s">
        <v>67</v>
      </c>
      <c r="Z1653" t="s">
        <v>68</v>
      </c>
      <c r="AB1653">
        <v>4</v>
      </c>
      <c r="AC1653" t="s">
        <v>61</v>
      </c>
      <c r="AJ1653" t="s">
        <v>69</v>
      </c>
      <c r="AY1653" t="s">
        <v>286</v>
      </c>
      <c r="AZ1653">
        <v>12448</v>
      </c>
      <c r="BA1653" t="s">
        <v>287</v>
      </c>
      <c r="BB1653" t="s">
        <v>288</v>
      </c>
      <c r="BC1653">
        <v>1984</v>
      </c>
      <c r="BD1653" t="s">
        <v>73</v>
      </c>
    </row>
    <row r="1654" spans="1:56" x14ac:dyDescent="0.35">
      <c r="A1654">
        <v>141059</v>
      </c>
      <c r="B1654" t="s">
        <v>1286</v>
      </c>
      <c r="D1654" t="s">
        <v>85</v>
      </c>
      <c r="E1654" t="s">
        <v>86</v>
      </c>
      <c r="F1654" t="s">
        <v>58</v>
      </c>
      <c r="G1654" t="s">
        <v>59</v>
      </c>
      <c r="H1654" t="s">
        <v>60</v>
      </c>
      <c r="J1654" t="s">
        <v>86</v>
      </c>
      <c r="L1654" t="s">
        <v>62</v>
      </c>
      <c r="M1654" t="s">
        <v>63</v>
      </c>
      <c r="N1654" t="s">
        <v>64</v>
      </c>
      <c r="P1654" t="s">
        <v>100</v>
      </c>
      <c r="R1654">
        <v>18</v>
      </c>
      <c r="W1654" t="s">
        <v>66</v>
      </c>
      <c r="X1654" t="s">
        <v>67</v>
      </c>
      <c r="Y1654" t="s">
        <v>67</v>
      </c>
      <c r="Z1654" t="s">
        <v>68</v>
      </c>
      <c r="AB1654">
        <v>4</v>
      </c>
      <c r="AC1654" t="s">
        <v>61</v>
      </c>
      <c r="AJ1654" t="s">
        <v>69</v>
      </c>
      <c r="AY1654" t="s">
        <v>412</v>
      </c>
      <c r="AZ1654">
        <v>901</v>
      </c>
      <c r="BA1654" t="s">
        <v>413</v>
      </c>
      <c r="BB1654" t="s">
        <v>414</v>
      </c>
      <c r="BC1654">
        <v>1969</v>
      </c>
      <c r="BD1654" t="s">
        <v>90</v>
      </c>
    </row>
    <row r="1655" spans="1:56" x14ac:dyDescent="0.35">
      <c r="A1655">
        <v>141286</v>
      </c>
      <c r="B1655" t="s">
        <v>1287</v>
      </c>
      <c r="D1655" t="s">
        <v>57</v>
      </c>
      <c r="E1655" t="s">
        <v>86</v>
      </c>
      <c r="F1655" t="s">
        <v>58</v>
      </c>
      <c r="G1655" t="s">
        <v>59</v>
      </c>
      <c r="H1655" t="s">
        <v>60</v>
      </c>
      <c r="J1655">
        <v>31</v>
      </c>
      <c r="K1655" t="s">
        <v>61</v>
      </c>
      <c r="L1655" t="s">
        <v>74</v>
      </c>
      <c r="M1655" t="s">
        <v>63</v>
      </c>
      <c r="N1655" t="s">
        <v>64</v>
      </c>
      <c r="P1655" t="s">
        <v>65</v>
      </c>
      <c r="R1655">
        <v>19.3</v>
      </c>
      <c r="T1655">
        <v>17.899999999999999</v>
      </c>
      <c r="V1655">
        <v>20.8</v>
      </c>
      <c r="W1655" t="s">
        <v>66</v>
      </c>
      <c r="X1655" t="s">
        <v>67</v>
      </c>
      <c r="Y1655" t="s">
        <v>67</v>
      </c>
      <c r="Z1655" t="s">
        <v>68</v>
      </c>
      <c r="AB1655">
        <v>4</v>
      </c>
      <c r="AC1655" t="s">
        <v>61</v>
      </c>
      <c r="AJ1655" t="s">
        <v>69</v>
      </c>
      <c r="AY1655" t="s">
        <v>286</v>
      </c>
      <c r="AZ1655">
        <v>12448</v>
      </c>
      <c r="BA1655" t="s">
        <v>287</v>
      </c>
      <c r="BB1655" t="s">
        <v>288</v>
      </c>
      <c r="BC1655">
        <v>1984</v>
      </c>
      <c r="BD1655" t="s">
        <v>73</v>
      </c>
    </row>
    <row r="1656" spans="1:56" x14ac:dyDescent="0.35">
      <c r="A1656">
        <v>141286</v>
      </c>
      <c r="B1656" t="s">
        <v>1287</v>
      </c>
      <c r="D1656" t="s">
        <v>57</v>
      </c>
      <c r="E1656">
        <v>98</v>
      </c>
      <c r="F1656" t="s">
        <v>58</v>
      </c>
      <c r="G1656" t="s">
        <v>59</v>
      </c>
      <c r="H1656" t="s">
        <v>60</v>
      </c>
      <c r="J1656" t="s">
        <v>86</v>
      </c>
      <c r="K1656" t="s">
        <v>61</v>
      </c>
      <c r="L1656" t="s">
        <v>74</v>
      </c>
      <c r="M1656" t="s">
        <v>63</v>
      </c>
      <c r="N1656" t="s">
        <v>64</v>
      </c>
      <c r="P1656" t="s">
        <v>65</v>
      </c>
      <c r="R1656">
        <v>16.8</v>
      </c>
      <c r="T1656">
        <v>15.2</v>
      </c>
      <c r="V1656">
        <v>18.600000000000001</v>
      </c>
      <c r="W1656" t="s">
        <v>66</v>
      </c>
      <c r="X1656" t="s">
        <v>67</v>
      </c>
      <c r="Y1656" t="s">
        <v>67</v>
      </c>
      <c r="Z1656" t="s">
        <v>68</v>
      </c>
      <c r="AB1656">
        <v>4</v>
      </c>
      <c r="AC1656" t="s">
        <v>61</v>
      </c>
      <c r="AJ1656" t="s">
        <v>69</v>
      </c>
      <c r="AY1656" t="s">
        <v>286</v>
      </c>
      <c r="AZ1656">
        <v>12448</v>
      </c>
      <c r="BA1656" t="s">
        <v>287</v>
      </c>
      <c r="BB1656" t="s">
        <v>288</v>
      </c>
      <c r="BC1656">
        <v>1984</v>
      </c>
      <c r="BD1656" t="s">
        <v>161</v>
      </c>
    </row>
    <row r="1657" spans="1:56" x14ac:dyDescent="0.35">
      <c r="A1657">
        <v>141435</v>
      </c>
      <c r="B1657" t="s">
        <v>1288</v>
      </c>
      <c r="D1657" t="s">
        <v>57</v>
      </c>
      <c r="E1657" t="s">
        <v>79</v>
      </c>
      <c r="F1657" t="s">
        <v>58</v>
      </c>
      <c r="G1657" t="s">
        <v>59</v>
      </c>
      <c r="H1657" t="s">
        <v>60</v>
      </c>
      <c r="J1657">
        <v>30</v>
      </c>
      <c r="K1657" t="s">
        <v>61</v>
      </c>
      <c r="L1657" t="s">
        <v>74</v>
      </c>
      <c r="M1657" t="s">
        <v>63</v>
      </c>
      <c r="N1657" t="s">
        <v>64</v>
      </c>
      <c r="P1657" t="s">
        <v>65</v>
      </c>
      <c r="R1657">
        <v>2070</v>
      </c>
      <c r="T1657">
        <v>1810</v>
      </c>
      <c r="V1657">
        <v>2370</v>
      </c>
      <c r="W1657" t="s">
        <v>66</v>
      </c>
      <c r="X1657" t="s">
        <v>67</v>
      </c>
      <c r="Y1657" t="s">
        <v>67</v>
      </c>
      <c r="Z1657" t="s">
        <v>68</v>
      </c>
      <c r="AB1657">
        <v>4</v>
      </c>
      <c r="AC1657" t="s">
        <v>61</v>
      </c>
      <c r="AJ1657" t="s">
        <v>69</v>
      </c>
      <c r="AY1657" t="s">
        <v>75</v>
      </c>
      <c r="AZ1657">
        <v>3217</v>
      </c>
      <c r="BA1657" t="s">
        <v>76</v>
      </c>
      <c r="BB1657" t="s">
        <v>77</v>
      </c>
      <c r="BC1657">
        <v>1990</v>
      </c>
      <c r="BD1657" t="s">
        <v>73</v>
      </c>
    </row>
    <row r="1658" spans="1:56" x14ac:dyDescent="0.35">
      <c r="A1658">
        <v>141537</v>
      </c>
      <c r="B1658" t="s">
        <v>1289</v>
      </c>
      <c r="D1658" t="s">
        <v>85</v>
      </c>
      <c r="E1658" t="s">
        <v>86</v>
      </c>
      <c r="F1658" t="s">
        <v>58</v>
      </c>
      <c r="G1658" t="s">
        <v>59</v>
      </c>
      <c r="H1658" t="s">
        <v>60</v>
      </c>
      <c r="J1658" t="s">
        <v>86</v>
      </c>
      <c r="L1658" t="s">
        <v>190</v>
      </c>
      <c r="M1658" t="s">
        <v>63</v>
      </c>
      <c r="N1658" t="s">
        <v>64</v>
      </c>
      <c r="P1658" t="s">
        <v>100</v>
      </c>
      <c r="R1658">
        <v>4130</v>
      </c>
      <c r="T1658">
        <v>3700</v>
      </c>
      <c r="V1658">
        <v>4620</v>
      </c>
      <c r="W1658" t="s">
        <v>66</v>
      </c>
      <c r="X1658" t="s">
        <v>67</v>
      </c>
      <c r="Y1658" t="s">
        <v>67</v>
      </c>
      <c r="Z1658" t="s">
        <v>68</v>
      </c>
      <c r="AB1658">
        <v>4</v>
      </c>
      <c r="AC1658" t="s">
        <v>61</v>
      </c>
      <c r="AJ1658" t="s">
        <v>69</v>
      </c>
      <c r="AY1658" t="s">
        <v>1225</v>
      </c>
      <c r="AZ1658">
        <v>115482</v>
      </c>
      <c r="BA1658" t="s">
        <v>1226</v>
      </c>
      <c r="BB1658" t="s">
        <v>1227</v>
      </c>
      <c r="BC1658">
        <v>2009</v>
      </c>
      <c r="BD1658" t="s">
        <v>90</v>
      </c>
    </row>
    <row r="1659" spans="1:56" x14ac:dyDescent="0.35">
      <c r="A1659">
        <v>141537</v>
      </c>
      <c r="B1659" t="s">
        <v>1289</v>
      </c>
      <c r="D1659" t="s">
        <v>85</v>
      </c>
      <c r="E1659" t="s">
        <v>86</v>
      </c>
      <c r="F1659" t="s">
        <v>58</v>
      </c>
      <c r="G1659" t="s">
        <v>59</v>
      </c>
      <c r="H1659" t="s">
        <v>60</v>
      </c>
      <c r="J1659" t="s">
        <v>86</v>
      </c>
      <c r="L1659" t="s">
        <v>190</v>
      </c>
      <c r="M1659" t="s">
        <v>63</v>
      </c>
      <c r="N1659" t="s">
        <v>64</v>
      </c>
      <c r="P1659" t="s">
        <v>100</v>
      </c>
      <c r="R1659">
        <v>2300</v>
      </c>
      <c r="T1659">
        <v>1980</v>
      </c>
      <c r="V1659">
        <v>2660</v>
      </c>
      <c r="W1659" t="s">
        <v>66</v>
      </c>
      <c r="X1659" t="s">
        <v>67</v>
      </c>
      <c r="Y1659" t="s">
        <v>67</v>
      </c>
      <c r="Z1659" t="s">
        <v>68</v>
      </c>
      <c r="AB1659">
        <v>4</v>
      </c>
      <c r="AC1659" t="s">
        <v>61</v>
      </c>
      <c r="AJ1659" t="s">
        <v>69</v>
      </c>
      <c r="AY1659" t="s">
        <v>1225</v>
      </c>
      <c r="AZ1659">
        <v>115482</v>
      </c>
      <c r="BA1659" t="s">
        <v>1226</v>
      </c>
      <c r="BB1659" t="s">
        <v>1227</v>
      </c>
      <c r="BC1659">
        <v>2009</v>
      </c>
      <c r="BD1659" t="s">
        <v>90</v>
      </c>
    </row>
    <row r="1660" spans="1:56" x14ac:dyDescent="0.35">
      <c r="A1660">
        <v>141786</v>
      </c>
      <c r="B1660" t="s">
        <v>1290</v>
      </c>
      <c r="D1660" t="s">
        <v>57</v>
      </c>
      <c r="E1660" t="s">
        <v>79</v>
      </c>
      <c r="F1660" t="s">
        <v>58</v>
      </c>
      <c r="G1660" t="s">
        <v>59</v>
      </c>
      <c r="H1660" t="s">
        <v>60</v>
      </c>
      <c r="J1660" t="s">
        <v>86</v>
      </c>
      <c r="K1660" t="s">
        <v>61</v>
      </c>
      <c r="L1660" t="s">
        <v>74</v>
      </c>
      <c r="M1660" t="s">
        <v>63</v>
      </c>
      <c r="N1660" t="s">
        <v>64</v>
      </c>
      <c r="P1660" t="s">
        <v>65</v>
      </c>
      <c r="R1660">
        <v>230</v>
      </c>
      <c r="T1660">
        <v>220</v>
      </c>
      <c r="V1660">
        <v>250</v>
      </c>
      <c r="W1660" t="s">
        <v>66</v>
      </c>
      <c r="X1660" t="s">
        <v>67</v>
      </c>
      <c r="Y1660" t="s">
        <v>67</v>
      </c>
      <c r="Z1660" t="s">
        <v>68</v>
      </c>
      <c r="AB1660">
        <v>4</v>
      </c>
      <c r="AC1660" t="s">
        <v>61</v>
      </c>
      <c r="AJ1660" t="s">
        <v>69</v>
      </c>
      <c r="AY1660" t="s">
        <v>286</v>
      </c>
      <c r="AZ1660">
        <v>12448</v>
      </c>
      <c r="BA1660" t="s">
        <v>287</v>
      </c>
      <c r="BB1660" t="s">
        <v>288</v>
      </c>
      <c r="BC1660">
        <v>1984</v>
      </c>
      <c r="BD1660" t="s">
        <v>1035</v>
      </c>
    </row>
    <row r="1661" spans="1:56" x14ac:dyDescent="0.35">
      <c r="A1661">
        <v>141913</v>
      </c>
      <c r="B1661" t="s">
        <v>1291</v>
      </c>
      <c r="D1661" t="s">
        <v>57</v>
      </c>
      <c r="E1661">
        <v>99</v>
      </c>
      <c r="F1661" t="s">
        <v>58</v>
      </c>
      <c r="G1661" t="s">
        <v>59</v>
      </c>
      <c r="H1661" t="s">
        <v>60</v>
      </c>
      <c r="J1661">
        <v>33</v>
      </c>
      <c r="K1661" t="s">
        <v>61</v>
      </c>
      <c r="L1661" t="s">
        <v>74</v>
      </c>
      <c r="M1661" t="s">
        <v>63</v>
      </c>
      <c r="N1661" t="s">
        <v>64</v>
      </c>
      <c r="P1661" t="s">
        <v>65</v>
      </c>
      <c r="R1661">
        <v>387</v>
      </c>
      <c r="T1661">
        <v>371</v>
      </c>
      <c r="V1661">
        <v>405</v>
      </c>
      <c r="W1661" t="s">
        <v>66</v>
      </c>
      <c r="X1661" t="s">
        <v>67</v>
      </c>
      <c r="Y1661" t="s">
        <v>67</v>
      </c>
      <c r="Z1661" t="s">
        <v>68</v>
      </c>
      <c r="AB1661">
        <v>4</v>
      </c>
      <c r="AC1661" t="s">
        <v>61</v>
      </c>
      <c r="AJ1661" t="s">
        <v>69</v>
      </c>
      <c r="AY1661" t="s">
        <v>263</v>
      </c>
      <c r="AZ1661">
        <v>12858</v>
      </c>
      <c r="BA1661" t="s">
        <v>264</v>
      </c>
      <c r="BB1661" t="s">
        <v>265</v>
      </c>
      <c r="BC1661">
        <v>1986</v>
      </c>
      <c r="BD1661" t="s">
        <v>73</v>
      </c>
    </row>
    <row r="1662" spans="1:56" x14ac:dyDescent="0.35">
      <c r="A1662">
        <v>141935</v>
      </c>
      <c r="B1662" t="s">
        <v>1292</v>
      </c>
      <c r="D1662" t="s">
        <v>57</v>
      </c>
      <c r="E1662">
        <v>99</v>
      </c>
      <c r="F1662" t="s">
        <v>58</v>
      </c>
      <c r="G1662" t="s">
        <v>59</v>
      </c>
      <c r="H1662" t="s">
        <v>60</v>
      </c>
      <c r="J1662">
        <v>34</v>
      </c>
      <c r="K1662" t="s">
        <v>61</v>
      </c>
      <c r="L1662" t="s">
        <v>74</v>
      </c>
      <c r="M1662" t="s">
        <v>63</v>
      </c>
      <c r="N1662" t="s">
        <v>64</v>
      </c>
      <c r="P1662" t="s">
        <v>65</v>
      </c>
      <c r="R1662">
        <v>4.1500000000000004</v>
      </c>
      <c r="T1662">
        <v>4.05</v>
      </c>
      <c r="V1662">
        <v>4.25</v>
      </c>
      <c r="W1662" t="s">
        <v>66</v>
      </c>
      <c r="X1662" t="s">
        <v>67</v>
      </c>
      <c r="Y1662" t="s">
        <v>67</v>
      </c>
      <c r="Z1662" t="s">
        <v>68</v>
      </c>
      <c r="AB1662">
        <v>4</v>
      </c>
      <c r="AC1662" t="s">
        <v>61</v>
      </c>
      <c r="AJ1662" t="s">
        <v>69</v>
      </c>
      <c r="AY1662" t="s">
        <v>263</v>
      </c>
      <c r="AZ1662">
        <v>12858</v>
      </c>
      <c r="BA1662" t="s">
        <v>264</v>
      </c>
      <c r="BB1662" t="s">
        <v>265</v>
      </c>
      <c r="BC1662">
        <v>1986</v>
      </c>
      <c r="BD1662" t="s">
        <v>73</v>
      </c>
    </row>
    <row r="1663" spans="1:56" x14ac:dyDescent="0.35">
      <c r="A1663">
        <v>142289</v>
      </c>
      <c r="B1663" t="s">
        <v>1293</v>
      </c>
      <c r="D1663" t="s">
        <v>57</v>
      </c>
      <c r="E1663" t="s">
        <v>86</v>
      </c>
      <c r="F1663" t="s">
        <v>58</v>
      </c>
      <c r="G1663" t="s">
        <v>59</v>
      </c>
      <c r="H1663" t="s">
        <v>60</v>
      </c>
      <c r="J1663" t="s">
        <v>86</v>
      </c>
      <c r="K1663" t="s">
        <v>61</v>
      </c>
      <c r="L1663" t="s">
        <v>74</v>
      </c>
      <c r="M1663" t="s">
        <v>63</v>
      </c>
      <c r="N1663" t="s">
        <v>64</v>
      </c>
      <c r="P1663" t="s">
        <v>65</v>
      </c>
      <c r="R1663">
        <v>131</v>
      </c>
      <c r="T1663">
        <v>124</v>
      </c>
      <c r="V1663">
        <v>137</v>
      </c>
      <c r="W1663" t="s">
        <v>66</v>
      </c>
      <c r="X1663" t="s">
        <v>67</v>
      </c>
      <c r="Y1663" t="s">
        <v>67</v>
      </c>
      <c r="Z1663" t="s">
        <v>68</v>
      </c>
      <c r="AB1663">
        <v>4</v>
      </c>
      <c r="AC1663" t="s">
        <v>61</v>
      </c>
      <c r="AJ1663" t="s">
        <v>69</v>
      </c>
      <c r="AY1663" t="s">
        <v>404</v>
      </c>
      <c r="AZ1663">
        <v>11227</v>
      </c>
      <c r="BA1663" t="s">
        <v>405</v>
      </c>
      <c r="BB1663" t="s">
        <v>406</v>
      </c>
      <c r="BC1663">
        <v>1983</v>
      </c>
      <c r="BD1663" t="s">
        <v>127</v>
      </c>
    </row>
    <row r="1664" spans="1:56" x14ac:dyDescent="0.35">
      <c r="A1664">
        <v>142289</v>
      </c>
      <c r="B1664" t="s">
        <v>1293</v>
      </c>
      <c r="D1664" t="s">
        <v>57</v>
      </c>
      <c r="E1664">
        <v>99</v>
      </c>
      <c r="F1664" t="s">
        <v>58</v>
      </c>
      <c r="G1664" t="s">
        <v>59</v>
      </c>
      <c r="H1664" t="s">
        <v>60</v>
      </c>
      <c r="J1664">
        <v>31</v>
      </c>
      <c r="K1664" t="s">
        <v>61</v>
      </c>
      <c r="L1664" t="s">
        <v>74</v>
      </c>
      <c r="M1664" t="s">
        <v>63</v>
      </c>
      <c r="N1664" t="s">
        <v>64</v>
      </c>
      <c r="O1664">
        <v>6</v>
      </c>
      <c r="P1664" t="s">
        <v>65</v>
      </c>
      <c r="R1664">
        <v>131</v>
      </c>
      <c r="T1664">
        <v>125</v>
      </c>
      <c r="V1664">
        <v>137</v>
      </c>
      <c r="W1664" t="s">
        <v>66</v>
      </c>
      <c r="X1664" t="s">
        <v>67</v>
      </c>
      <c r="Y1664" t="s">
        <v>67</v>
      </c>
      <c r="Z1664" t="s">
        <v>68</v>
      </c>
      <c r="AB1664">
        <v>4</v>
      </c>
      <c r="AC1664" t="s">
        <v>61</v>
      </c>
      <c r="AJ1664" t="s">
        <v>69</v>
      </c>
      <c r="AY1664" t="s">
        <v>141</v>
      </c>
      <c r="AZ1664">
        <v>12447</v>
      </c>
      <c r="BA1664" t="s">
        <v>142</v>
      </c>
      <c r="BB1664" t="s">
        <v>143</v>
      </c>
      <c r="BC1664">
        <v>1985</v>
      </c>
      <c r="BD1664" t="s">
        <v>73</v>
      </c>
    </row>
    <row r="1665" spans="1:56" x14ac:dyDescent="0.35">
      <c r="A1665">
        <v>142289</v>
      </c>
      <c r="B1665" t="s">
        <v>1293</v>
      </c>
      <c r="D1665" t="s">
        <v>57</v>
      </c>
      <c r="E1665">
        <v>99</v>
      </c>
      <c r="F1665" t="s">
        <v>58</v>
      </c>
      <c r="G1665" t="s">
        <v>59</v>
      </c>
      <c r="H1665" t="s">
        <v>60</v>
      </c>
      <c r="J1665">
        <v>28</v>
      </c>
      <c r="K1665" t="s">
        <v>61</v>
      </c>
      <c r="L1665" t="s">
        <v>74</v>
      </c>
      <c r="M1665" t="s">
        <v>63</v>
      </c>
      <c r="N1665" t="s">
        <v>64</v>
      </c>
      <c r="O1665">
        <v>6</v>
      </c>
      <c r="P1665" t="s">
        <v>65</v>
      </c>
      <c r="R1665">
        <v>94.2</v>
      </c>
      <c r="W1665" t="s">
        <v>66</v>
      </c>
      <c r="X1665" t="s">
        <v>67</v>
      </c>
      <c r="Y1665" t="s">
        <v>67</v>
      </c>
      <c r="Z1665" t="s">
        <v>68</v>
      </c>
      <c r="AB1665">
        <v>4</v>
      </c>
      <c r="AC1665" t="s">
        <v>61</v>
      </c>
      <c r="AJ1665" t="s">
        <v>69</v>
      </c>
      <c r="AY1665" t="s">
        <v>286</v>
      </c>
      <c r="AZ1665">
        <v>12448</v>
      </c>
      <c r="BA1665" t="s">
        <v>287</v>
      </c>
      <c r="BB1665" t="s">
        <v>288</v>
      </c>
      <c r="BC1665">
        <v>1984</v>
      </c>
      <c r="BD1665" t="s">
        <v>73</v>
      </c>
    </row>
    <row r="1666" spans="1:56" x14ac:dyDescent="0.35">
      <c r="A1666">
        <v>142621</v>
      </c>
      <c r="B1666" t="s">
        <v>1294</v>
      </c>
      <c r="D1666" t="s">
        <v>57</v>
      </c>
      <c r="E1666">
        <v>99</v>
      </c>
      <c r="F1666" t="s">
        <v>58</v>
      </c>
      <c r="G1666" t="s">
        <v>59</v>
      </c>
      <c r="H1666" t="s">
        <v>60</v>
      </c>
      <c r="J1666">
        <v>35</v>
      </c>
      <c r="K1666" t="s">
        <v>61</v>
      </c>
      <c r="L1666" t="s">
        <v>74</v>
      </c>
      <c r="M1666" t="s">
        <v>63</v>
      </c>
      <c r="N1666" t="s">
        <v>64</v>
      </c>
      <c r="P1666" t="s">
        <v>65</v>
      </c>
      <c r="R1666">
        <v>320</v>
      </c>
      <c r="T1666">
        <v>306</v>
      </c>
      <c r="V1666">
        <v>334</v>
      </c>
      <c r="W1666" t="s">
        <v>66</v>
      </c>
      <c r="X1666" t="s">
        <v>67</v>
      </c>
      <c r="Y1666" t="s">
        <v>67</v>
      </c>
      <c r="Z1666" t="s">
        <v>68</v>
      </c>
      <c r="AB1666">
        <v>4</v>
      </c>
      <c r="AC1666" t="s">
        <v>61</v>
      </c>
      <c r="AJ1666" t="s">
        <v>69</v>
      </c>
      <c r="AY1666" t="s">
        <v>286</v>
      </c>
      <c r="AZ1666">
        <v>12448</v>
      </c>
      <c r="BA1666" t="s">
        <v>287</v>
      </c>
      <c r="BB1666" t="s">
        <v>288</v>
      </c>
      <c r="BC1666">
        <v>1984</v>
      </c>
      <c r="BD1666" t="s">
        <v>73</v>
      </c>
    </row>
    <row r="1667" spans="1:56" x14ac:dyDescent="0.35">
      <c r="A1667">
        <v>142621</v>
      </c>
      <c r="B1667" t="s">
        <v>1294</v>
      </c>
      <c r="D1667" t="s">
        <v>85</v>
      </c>
      <c r="E1667" t="s">
        <v>86</v>
      </c>
      <c r="F1667" t="s">
        <v>58</v>
      </c>
      <c r="G1667" t="s">
        <v>59</v>
      </c>
      <c r="H1667" t="s">
        <v>60</v>
      </c>
      <c r="I1667" t="s">
        <v>129</v>
      </c>
      <c r="J1667" t="s">
        <v>86</v>
      </c>
      <c r="K1667" t="s">
        <v>196</v>
      </c>
      <c r="L1667" t="s">
        <v>62</v>
      </c>
      <c r="M1667" t="s">
        <v>63</v>
      </c>
      <c r="N1667" t="s">
        <v>64</v>
      </c>
      <c r="P1667" t="s">
        <v>100</v>
      </c>
      <c r="R1667">
        <v>88</v>
      </c>
      <c r="W1667" t="s">
        <v>66</v>
      </c>
      <c r="X1667" t="s">
        <v>67</v>
      </c>
      <c r="Y1667" t="s">
        <v>67</v>
      </c>
      <c r="Z1667" t="s">
        <v>68</v>
      </c>
      <c r="AB1667">
        <v>4</v>
      </c>
      <c r="AC1667" t="s">
        <v>61</v>
      </c>
      <c r="AJ1667" t="s">
        <v>69</v>
      </c>
      <c r="AY1667" t="s">
        <v>338</v>
      </c>
      <c r="AZ1667">
        <v>719</v>
      </c>
      <c r="BA1667" t="s">
        <v>339</v>
      </c>
      <c r="BB1667" t="s">
        <v>340</v>
      </c>
      <c r="BC1667">
        <v>1976</v>
      </c>
      <c r="BD1667" t="s">
        <v>341</v>
      </c>
    </row>
    <row r="1668" spans="1:56" x14ac:dyDescent="0.35">
      <c r="A1668">
        <v>142712</v>
      </c>
      <c r="B1668" t="s">
        <v>1295</v>
      </c>
      <c r="D1668" t="s">
        <v>57</v>
      </c>
      <c r="E1668" t="s">
        <v>86</v>
      </c>
      <c r="F1668" t="s">
        <v>58</v>
      </c>
      <c r="G1668" t="s">
        <v>59</v>
      </c>
      <c r="H1668" t="s">
        <v>60</v>
      </c>
      <c r="J1668" t="s">
        <v>86</v>
      </c>
      <c r="L1668" t="s">
        <v>62</v>
      </c>
      <c r="M1668" t="s">
        <v>63</v>
      </c>
      <c r="N1668" t="s">
        <v>64</v>
      </c>
      <c r="P1668" t="s">
        <v>201</v>
      </c>
      <c r="R1668">
        <v>0.39</v>
      </c>
      <c r="T1668">
        <v>0.3</v>
      </c>
      <c r="V1668">
        <v>0.51</v>
      </c>
      <c r="W1668" t="s">
        <v>66</v>
      </c>
      <c r="X1668" t="s">
        <v>67</v>
      </c>
      <c r="Y1668" t="s">
        <v>67</v>
      </c>
      <c r="Z1668" t="s">
        <v>68</v>
      </c>
      <c r="AB1668">
        <v>4</v>
      </c>
      <c r="AC1668" t="s">
        <v>61</v>
      </c>
      <c r="AJ1668" t="s">
        <v>69</v>
      </c>
      <c r="AY1668" t="s">
        <v>818</v>
      </c>
      <c r="AZ1668">
        <v>875</v>
      </c>
      <c r="BA1668" t="s">
        <v>819</v>
      </c>
      <c r="BB1668" t="s">
        <v>820</v>
      </c>
      <c r="BC1668">
        <v>1979</v>
      </c>
      <c r="BD1668" t="s">
        <v>90</v>
      </c>
    </row>
    <row r="1669" spans="1:56" x14ac:dyDescent="0.35">
      <c r="A1669">
        <v>142712</v>
      </c>
      <c r="B1669" t="s">
        <v>1295</v>
      </c>
      <c r="D1669" t="s">
        <v>57</v>
      </c>
      <c r="E1669" t="s">
        <v>86</v>
      </c>
      <c r="F1669" t="s">
        <v>58</v>
      </c>
      <c r="G1669" t="s">
        <v>59</v>
      </c>
      <c r="H1669" t="s">
        <v>60</v>
      </c>
      <c r="J1669" t="s">
        <v>86</v>
      </c>
      <c r="L1669" t="s">
        <v>62</v>
      </c>
      <c r="M1669" t="s">
        <v>63</v>
      </c>
      <c r="N1669" t="s">
        <v>64</v>
      </c>
      <c r="P1669" t="s">
        <v>201</v>
      </c>
      <c r="R1669">
        <v>0.14000000000000001</v>
      </c>
      <c r="T1669">
        <v>0.1</v>
      </c>
      <c r="V1669">
        <v>0.18</v>
      </c>
      <c r="W1669" t="s">
        <v>66</v>
      </c>
      <c r="X1669" t="s">
        <v>67</v>
      </c>
      <c r="Y1669" t="s">
        <v>67</v>
      </c>
      <c r="Z1669" t="s">
        <v>68</v>
      </c>
      <c r="AB1669">
        <v>4</v>
      </c>
      <c r="AC1669" t="s">
        <v>61</v>
      </c>
      <c r="AJ1669" t="s">
        <v>69</v>
      </c>
      <c r="AY1669" t="s">
        <v>818</v>
      </c>
      <c r="AZ1669">
        <v>5735</v>
      </c>
      <c r="BA1669" t="s">
        <v>821</v>
      </c>
      <c r="BB1669" t="s">
        <v>822</v>
      </c>
      <c r="BC1669">
        <v>1978</v>
      </c>
      <c r="BD1669" t="s">
        <v>90</v>
      </c>
    </row>
    <row r="1670" spans="1:56" x14ac:dyDescent="0.35">
      <c r="A1670">
        <v>142712</v>
      </c>
      <c r="B1670" t="s">
        <v>1295</v>
      </c>
      <c r="D1670" t="s">
        <v>57</v>
      </c>
      <c r="E1670" t="s">
        <v>86</v>
      </c>
      <c r="F1670" t="s">
        <v>58</v>
      </c>
      <c r="G1670" t="s">
        <v>59</v>
      </c>
      <c r="H1670" t="s">
        <v>60</v>
      </c>
      <c r="J1670" t="s">
        <v>86</v>
      </c>
      <c r="L1670" t="s">
        <v>62</v>
      </c>
      <c r="M1670" t="s">
        <v>63</v>
      </c>
      <c r="N1670" t="s">
        <v>64</v>
      </c>
      <c r="P1670" t="s">
        <v>201</v>
      </c>
      <c r="R1670">
        <v>0.23</v>
      </c>
      <c r="W1670" t="s">
        <v>66</v>
      </c>
      <c r="X1670" t="s">
        <v>67</v>
      </c>
      <c r="Y1670" t="s">
        <v>67</v>
      </c>
      <c r="Z1670" t="s">
        <v>68</v>
      </c>
      <c r="AB1670">
        <v>4</v>
      </c>
      <c r="AC1670" t="s">
        <v>61</v>
      </c>
      <c r="AJ1670" t="s">
        <v>69</v>
      </c>
      <c r="AY1670" t="s">
        <v>818</v>
      </c>
      <c r="AZ1670">
        <v>5735</v>
      </c>
      <c r="BA1670" t="s">
        <v>821</v>
      </c>
      <c r="BB1670" t="s">
        <v>822</v>
      </c>
      <c r="BC1670">
        <v>1978</v>
      </c>
      <c r="BD1670" t="s">
        <v>90</v>
      </c>
    </row>
    <row r="1671" spans="1:56" x14ac:dyDescent="0.35">
      <c r="A1671">
        <v>142712</v>
      </c>
      <c r="B1671" t="s">
        <v>1295</v>
      </c>
      <c r="D1671" t="s">
        <v>57</v>
      </c>
      <c r="E1671" t="s">
        <v>86</v>
      </c>
      <c r="F1671" t="s">
        <v>58</v>
      </c>
      <c r="G1671" t="s">
        <v>59</v>
      </c>
      <c r="H1671" t="s">
        <v>60</v>
      </c>
      <c r="J1671" t="s">
        <v>86</v>
      </c>
      <c r="L1671" t="s">
        <v>62</v>
      </c>
      <c r="M1671" t="s">
        <v>63</v>
      </c>
      <c r="N1671" t="s">
        <v>64</v>
      </c>
      <c r="O1671" t="s">
        <v>267</v>
      </c>
      <c r="P1671" t="s">
        <v>1296</v>
      </c>
      <c r="R1671">
        <v>0.39</v>
      </c>
      <c r="T1671">
        <v>0.3</v>
      </c>
      <c r="V1671">
        <v>0.51</v>
      </c>
      <c r="W1671" t="s">
        <v>66</v>
      </c>
      <c r="X1671" t="s">
        <v>67</v>
      </c>
      <c r="Y1671" t="s">
        <v>67</v>
      </c>
      <c r="Z1671" t="s">
        <v>68</v>
      </c>
      <c r="AB1671">
        <v>4</v>
      </c>
      <c r="AC1671" t="s">
        <v>61</v>
      </c>
      <c r="AJ1671" t="s">
        <v>69</v>
      </c>
      <c r="AY1671" t="s">
        <v>268</v>
      </c>
      <c r="AZ1671">
        <v>2965</v>
      </c>
      <c r="BA1671" t="s">
        <v>269</v>
      </c>
      <c r="BB1671" t="s">
        <v>270</v>
      </c>
      <c r="BC1671">
        <v>1981</v>
      </c>
      <c r="BD1671" t="s">
        <v>90</v>
      </c>
    </row>
    <row r="1672" spans="1:56" x14ac:dyDescent="0.35">
      <c r="A1672">
        <v>142927</v>
      </c>
      <c r="B1672" t="s">
        <v>1297</v>
      </c>
      <c r="D1672" t="s">
        <v>57</v>
      </c>
      <c r="E1672">
        <v>99</v>
      </c>
      <c r="F1672" t="s">
        <v>58</v>
      </c>
      <c r="G1672" t="s">
        <v>59</v>
      </c>
      <c r="H1672" t="s">
        <v>60</v>
      </c>
      <c r="J1672" t="s">
        <v>86</v>
      </c>
      <c r="K1672" t="s">
        <v>61</v>
      </c>
      <c r="L1672" t="s">
        <v>74</v>
      </c>
      <c r="M1672" t="s">
        <v>63</v>
      </c>
      <c r="N1672" t="s">
        <v>64</v>
      </c>
      <c r="P1672" t="s">
        <v>65</v>
      </c>
      <c r="R1672">
        <v>4</v>
      </c>
      <c r="T1672">
        <v>3.7</v>
      </c>
      <c r="V1672">
        <v>4.4000000000000004</v>
      </c>
      <c r="W1672" t="s">
        <v>66</v>
      </c>
      <c r="X1672" t="s">
        <v>67</v>
      </c>
      <c r="Y1672" t="s">
        <v>67</v>
      </c>
      <c r="Z1672" t="s">
        <v>68</v>
      </c>
      <c r="AB1672">
        <v>4</v>
      </c>
      <c r="AC1672" t="s">
        <v>61</v>
      </c>
      <c r="AJ1672" t="s">
        <v>69</v>
      </c>
      <c r="AY1672" t="s">
        <v>286</v>
      </c>
      <c r="AZ1672">
        <v>12448</v>
      </c>
      <c r="BA1672" t="s">
        <v>287</v>
      </c>
      <c r="BB1672" t="s">
        <v>288</v>
      </c>
      <c r="BC1672">
        <v>1984</v>
      </c>
      <c r="BD1672" t="s">
        <v>161</v>
      </c>
    </row>
    <row r="1673" spans="1:56" x14ac:dyDescent="0.35">
      <c r="A1673">
        <v>142961</v>
      </c>
      <c r="B1673" t="s">
        <v>1298</v>
      </c>
      <c r="D1673" t="s">
        <v>57</v>
      </c>
      <c r="E1673">
        <v>98</v>
      </c>
      <c r="F1673" t="s">
        <v>58</v>
      </c>
      <c r="G1673" t="s">
        <v>59</v>
      </c>
      <c r="H1673" t="s">
        <v>60</v>
      </c>
      <c r="J1673">
        <v>31</v>
      </c>
      <c r="K1673" t="s">
        <v>61</v>
      </c>
      <c r="L1673" t="s">
        <v>74</v>
      </c>
      <c r="M1673" t="s">
        <v>63</v>
      </c>
      <c r="N1673" t="s">
        <v>64</v>
      </c>
      <c r="P1673" t="s">
        <v>65</v>
      </c>
      <c r="R1673">
        <v>32.299999999999997</v>
      </c>
      <c r="T1673">
        <v>30.1</v>
      </c>
      <c r="V1673">
        <v>34.700000000000003</v>
      </c>
      <c r="W1673" t="s">
        <v>66</v>
      </c>
      <c r="X1673" t="s">
        <v>67</v>
      </c>
      <c r="Y1673" t="s">
        <v>67</v>
      </c>
      <c r="Z1673" t="s">
        <v>68</v>
      </c>
      <c r="AB1673">
        <v>4</v>
      </c>
      <c r="AC1673" t="s">
        <v>61</v>
      </c>
      <c r="AJ1673" t="s">
        <v>69</v>
      </c>
      <c r="AY1673" t="s">
        <v>80</v>
      </c>
      <c r="AZ1673">
        <v>12859</v>
      </c>
      <c r="BA1673" t="s">
        <v>81</v>
      </c>
      <c r="BB1673" t="s">
        <v>82</v>
      </c>
      <c r="BC1673">
        <v>1988</v>
      </c>
      <c r="BD1673" t="s">
        <v>73</v>
      </c>
    </row>
    <row r="1674" spans="1:56" x14ac:dyDescent="0.35">
      <c r="A1674">
        <v>143088</v>
      </c>
      <c r="B1674" t="s">
        <v>1299</v>
      </c>
      <c r="D1674" t="s">
        <v>57</v>
      </c>
      <c r="E1674">
        <v>97</v>
      </c>
      <c r="F1674" t="s">
        <v>58</v>
      </c>
      <c r="G1674" t="s">
        <v>59</v>
      </c>
      <c r="H1674" t="s">
        <v>60</v>
      </c>
      <c r="J1674" t="s">
        <v>86</v>
      </c>
      <c r="K1674" t="s">
        <v>61</v>
      </c>
      <c r="L1674" t="s">
        <v>74</v>
      </c>
      <c r="M1674" t="s">
        <v>63</v>
      </c>
      <c r="N1674" t="s">
        <v>64</v>
      </c>
      <c r="P1674" t="s">
        <v>65</v>
      </c>
      <c r="R1674">
        <v>5.7</v>
      </c>
      <c r="T1674">
        <v>5.4</v>
      </c>
      <c r="V1674">
        <v>6</v>
      </c>
      <c r="W1674" t="s">
        <v>66</v>
      </c>
      <c r="X1674" t="s">
        <v>67</v>
      </c>
      <c r="Y1674" t="s">
        <v>67</v>
      </c>
      <c r="Z1674" t="s">
        <v>68</v>
      </c>
      <c r="AB1674">
        <v>4</v>
      </c>
      <c r="AC1674" t="s">
        <v>61</v>
      </c>
      <c r="AJ1674" t="s">
        <v>69</v>
      </c>
      <c r="AY1674" t="s">
        <v>286</v>
      </c>
      <c r="AZ1674">
        <v>12448</v>
      </c>
      <c r="BA1674" t="s">
        <v>287</v>
      </c>
      <c r="BB1674" t="s">
        <v>288</v>
      </c>
      <c r="BC1674">
        <v>1984</v>
      </c>
      <c r="BD1674" t="s">
        <v>161</v>
      </c>
    </row>
    <row r="1675" spans="1:56" x14ac:dyDescent="0.35">
      <c r="A1675">
        <v>143088</v>
      </c>
      <c r="B1675" t="s">
        <v>1299</v>
      </c>
      <c r="E1675" t="s">
        <v>86</v>
      </c>
      <c r="F1675" t="s">
        <v>58</v>
      </c>
      <c r="G1675" t="s">
        <v>59</v>
      </c>
      <c r="H1675" t="s">
        <v>60</v>
      </c>
      <c r="I1675" t="s">
        <v>177</v>
      </c>
      <c r="J1675" t="s">
        <v>289</v>
      </c>
      <c r="K1675" t="s">
        <v>184</v>
      </c>
      <c r="L1675" t="s">
        <v>74</v>
      </c>
      <c r="M1675" t="s">
        <v>63</v>
      </c>
      <c r="N1675" t="s">
        <v>64</v>
      </c>
      <c r="P1675" t="s">
        <v>100</v>
      </c>
      <c r="R1675">
        <v>5.52</v>
      </c>
      <c r="T1675">
        <v>5.41</v>
      </c>
      <c r="V1675">
        <v>5.63</v>
      </c>
      <c r="W1675" t="s">
        <v>66</v>
      </c>
      <c r="X1675" t="s">
        <v>67</v>
      </c>
      <c r="Y1675" t="s">
        <v>67</v>
      </c>
      <c r="Z1675" t="s">
        <v>68</v>
      </c>
      <c r="AB1675">
        <v>4</v>
      </c>
      <c r="AC1675" t="s">
        <v>61</v>
      </c>
      <c r="AJ1675" t="s">
        <v>69</v>
      </c>
      <c r="AY1675" t="s">
        <v>422</v>
      </c>
      <c r="AZ1675">
        <v>14128</v>
      </c>
      <c r="BA1675" t="s">
        <v>423</v>
      </c>
      <c r="BB1675" t="s">
        <v>424</v>
      </c>
      <c r="BC1675">
        <v>1985</v>
      </c>
      <c r="BD1675" t="s">
        <v>185</v>
      </c>
    </row>
    <row r="1676" spans="1:56" x14ac:dyDescent="0.35">
      <c r="A1676">
        <v>143168</v>
      </c>
      <c r="B1676" t="s">
        <v>1300</v>
      </c>
      <c r="D1676" t="s">
        <v>57</v>
      </c>
      <c r="E1676">
        <v>97</v>
      </c>
      <c r="F1676" t="s">
        <v>58</v>
      </c>
      <c r="G1676" t="s">
        <v>59</v>
      </c>
      <c r="H1676" t="s">
        <v>60</v>
      </c>
      <c r="J1676">
        <v>32</v>
      </c>
      <c r="K1676" t="s">
        <v>61</v>
      </c>
      <c r="L1676" t="s">
        <v>74</v>
      </c>
      <c r="M1676" t="s">
        <v>63</v>
      </c>
      <c r="N1676" t="s">
        <v>64</v>
      </c>
      <c r="O1676">
        <v>6</v>
      </c>
      <c r="P1676" t="s">
        <v>65</v>
      </c>
      <c r="R1676">
        <v>0.78</v>
      </c>
      <c r="T1676">
        <v>0.77</v>
      </c>
      <c r="V1676">
        <v>0.79</v>
      </c>
      <c r="W1676" t="s">
        <v>66</v>
      </c>
      <c r="X1676" t="s">
        <v>67</v>
      </c>
      <c r="Y1676" t="s">
        <v>67</v>
      </c>
      <c r="Z1676" t="s">
        <v>68</v>
      </c>
      <c r="AB1676">
        <v>4</v>
      </c>
      <c r="AC1676" t="s">
        <v>61</v>
      </c>
      <c r="AJ1676" t="s">
        <v>69</v>
      </c>
      <c r="AY1676" t="s">
        <v>286</v>
      </c>
      <c r="AZ1676">
        <v>12448</v>
      </c>
      <c r="BA1676" t="s">
        <v>287</v>
      </c>
      <c r="BB1676" t="s">
        <v>288</v>
      </c>
      <c r="BC1676">
        <v>1984</v>
      </c>
      <c r="BD1676" t="s">
        <v>73</v>
      </c>
    </row>
    <row r="1677" spans="1:56" x14ac:dyDescent="0.35">
      <c r="A1677">
        <v>143339</v>
      </c>
      <c r="B1677" t="s">
        <v>1301</v>
      </c>
      <c r="C1677" t="s">
        <v>195</v>
      </c>
      <c r="D1677" t="s">
        <v>57</v>
      </c>
      <c r="E1677" t="s">
        <v>86</v>
      </c>
      <c r="F1677" t="s">
        <v>58</v>
      </c>
      <c r="G1677" t="s">
        <v>59</v>
      </c>
      <c r="H1677" t="s">
        <v>60</v>
      </c>
      <c r="I1677" t="s">
        <v>129</v>
      </c>
      <c r="J1677">
        <v>13</v>
      </c>
      <c r="K1677" t="s">
        <v>196</v>
      </c>
      <c r="L1677" t="s">
        <v>74</v>
      </c>
      <c r="M1677" t="s">
        <v>63</v>
      </c>
      <c r="N1677" t="s">
        <v>64</v>
      </c>
      <c r="O1677">
        <v>5</v>
      </c>
      <c r="P1677" t="s">
        <v>1302</v>
      </c>
      <c r="R1677">
        <v>0.157</v>
      </c>
      <c r="T1677">
        <v>0.14199999999999999</v>
      </c>
      <c r="V1677">
        <v>0.17299999999999999</v>
      </c>
      <c r="W1677" t="s">
        <v>66</v>
      </c>
      <c r="X1677" t="s">
        <v>67</v>
      </c>
      <c r="Y1677" t="s">
        <v>67</v>
      </c>
      <c r="Z1677" t="s">
        <v>68</v>
      </c>
      <c r="AB1677">
        <v>4</v>
      </c>
      <c r="AC1677" t="s">
        <v>61</v>
      </c>
      <c r="AJ1677" t="s">
        <v>69</v>
      </c>
      <c r="AQ1677" t="s">
        <v>69</v>
      </c>
      <c r="AY1677" t="s">
        <v>1303</v>
      </c>
      <c r="AZ1677">
        <v>20219</v>
      </c>
      <c r="BA1677" t="s">
        <v>1304</v>
      </c>
      <c r="BB1677" t="s">
        <v>1305</v>
      </c>
      <c r="BC1677">
        <v>1977</v>
      </c>
      <c r="BD1677" t="s">
        <v>1306</v>
      </c>
    </row>
    <row r="1678" spans="1:56" x14ac:dyDescent="0.35">
      <c r="A1678">
        <v>143339</v>
      </c>
      <c r="B1678" t="s">
        <v>1301</v>
      </c>
      <c r="D1678" t="s">
        <v>85</v>
      </c>
      <c r="E1678" t="s">
        <v>86</v>
      </c>
      <c r="F1678" t="s">
        <v>58</v>
      </c>
      <c r="G1678" t="s">
        <v>59</v>
      </c>
      <c r="H1678" t="s">
        <v>60</v>
      </c>
      <c r="I1678" t="s">
        <v>186</v>
      </c>
      <c r="J1678" t="s">
        <v>86</v>
      </c>
      <c r="L1678" t="s">
        <v>74</v>
      </c>
      <c r="M1678" t="s">
        <v>63</v>
      </c>
      <c r="N1678" t="s">
        <v>64</v>
      </c>
      <c r="P1678" t="s">
        <v>201</v>
      </c>
      <c r="R1678">
        <v>0.20200000000000001</v>
      </c>
      <c r="W1678" t="s">
        <v>66</v>
      </c>
      <c r="X1678" t="s">
        <v>67</v>
      </c>
      <c r="Y1678" t="s">
        <v>67</v>
      </c>
      <c r="Z1678" t="s">
        <v>68</v>
      </c>
      <c r="AB1678">
        <v>4</v>
      </c>
      <c r="AC1678" t="s">
        <v>61</v>
      </c>
      <c r="AJ1678" t="s">
        <v>69</v>
      </c>
      <c r="AY1678" t="s">
        <v>1307</v>
      </c>
      <c r="AZ1678">
        <v>520</v>
      </c>
      <c r="BA1678" t="s">
        <v>1308</v>
      </c>
      <c r="BB1678" t="s">
        <v>1309</v>
      </c>
      <c r="BC1678">
        <v>1978</v>
      </c>
      <c r="BD1678" t="s">
        <v>90</v>
      </c>
    </row>
    <row r="1679" spans="1:56" x14ac:dyDescent="0.35">
      <c r="A1679">
        <v>143339</v>
      </c>
      <c r="B1679" t="s">
        <v>1301</v>
      </c>
      <c r="D1679" t="s">
        <v>57</v>
      </c>
      <c r="E1679" t="s">
        <v>86</v>
      </c>
      <c r="F1679" t="s">
        <v>58</v>
      </c>
      <c r="G1679" t="s">
        <v>59</v>
      </c>
      <c r="H1679" t="s">
        <v>60</v>
      </c>
      <c r="J1679" t="s">
        <v>86</v>
      </c>
      <c r="L1679" t="s">
        <v>62</v>
      </c>
      <c r="M1679" t="s">
        <v>63</v>
      </c>
      <c r="N1679" t="s">
        <v>64</v>
      </c>
      <c r="P1679" t="s">
        <v>201</v>
      </c>
      <c r="R1679">
        <v>0.23</v>
      </c>
      <c r="W1679" t="s">
        <v>66</v>
      </c>
      <c r="X1679" t="s">
        <v>67</v>
      </c>
      <c r="Y1679" t="s">
        <v>67</v>
      </c>
      <c r="Z1679" t="s">
        <v>68</v>
      </c>
      <c r="AB1679">
        <v>4</v>
      </c>
      <c r="AC1679" t="s">
        <v>61</v>
      </c>
      <c r="AJ1679" t="s">
        <v>69</v>
      </c>
      <c r="AY1679" t="s">
        <v>465</v>
      </c>
      <c r="AZ1679">
        <v>923</v>
      </c>
      <c r="BA1679" t="s">
        <v>466</v>
      </c>
      <c r="BB1679" t="s">
        <v>467</v>
      </c>
      <c r="BC1679">
        <v>1961</v>
      </c>
      <c r="BD1679" t="s">
        <v>90</v>
      </c>
    </row>
    <row r="1680" spans="1:56" x14ac:dyDescent="0.35">
      <c r="A1680">
        <v>143339</v>
      </c>
      <c r="B1680" t="s">
        <v>1301</v>
      </c>
      <c r="D1680" t="s">
        <v>85</v>
      </c>
      <c r="E1680" t="s">
        <v>86</v>
      </c>
      <c r="F1680" t="s">
        <v>58</v>
      </c>
      <c r="G1680" t="s">
        <v>59</v>
      </c>
      <c r="H1680" t="s">
        <v>60</v>
      </c>
      <c r="I1680" t="s">
        <v>186</v>
      </c>
      <c r="J1680" t="s">
        <v>86</v>
      </c>
      <c r="L1680" t="s">
        <v>74</v>
      </c>
      <c r="M1680" t="s">
        <v>63</v>
      </c>
      <c r="N1680" t="s">
        <v>64</v>
      </c>
      <c r="P1680" t="s">
        <v>201</v>
      </c>
      <c r="R1680">
        <v>0.19600000000000001</v>
      </c>
      <c r="T1680">
        <v>0.14000000000000001</v>
      </c>
      <c r="V1680">
        <v>0.27400000000000002</v>
      </c>
      <c r="W1680" t="s">
        <v>66</v>
      </c>
      <c r="X1680" t="s">
        <v>67</v>
      </c>
      <c r="Y1680" t="s">
        <v>67</v>
      </c>
      <c r="Z1680" t="s">
        <v>68</v>
      </c>
      <c r="AB1680">
        <v>4</v>
      </c>
      <c r="AC1680" t="s">
        <v>61</v>
      </c>
      <c r="AJ1680" t="s">
        <v>69</v>
      </c>
      <c r="AY1680" t="s">
        <v>1307</v>
      </c>
      <c r="AZ1680">
        <v>520</v>
      </c>
      <c r="BA1680" t="s">
        <v>1308</v>
      </c>
      <c r="BB1680" t="s">
        <v>1309</v>
      </c>
      <c r="BC1680">
        <v>1978</v>
      </c>
      <c r="BD1680" t="s">
        <v>90</v>
      </c>
    </row>
    <row r="1681" spans="1:56" x14ac:dyDescent="0.35">
      <c r="A1681">
        <v>143339</v>
      </c>
      <c r="B1681" t="s">
        <v>1301</v>
      </c>
      <c r="D1681" t="s">
        <v>85</v>
      </c>
      <c r="E1681" t="s">
        <v>86</v>
      </c>
      <c r="F1681" t="s">
        <v>58</v>
      </c>
      <c r="G1681" t="s">
        <v>59</v>
      </c>
      <c r="H1681" t="s">
        <v>60</v>
      </c>
      <c r="I1681" t="s">
        <v>129</v>
      </c>
      <c r="J1681" t="s">
        <v>86</v>
      </c>
      <c r="L1681" t="s">
        <v>74</v>
      </c>
      <c r="M1681" t="s">
        <v>63</v>
      </c>
      <c r="N1681" t="s">
        <v>64</v>
      </c>
      <c r="P1681" t="s">
        <v>201</v>
      </c>
      <c r="R1681">
        <v>0.157</v>
      </c>
      <c r="W1681" t="s">
        <v>66</v>
      </c>
      <c r="X1681" t="s">
        <v>67</v>
      </c>
      <c r="Y1681" t="s">
        <v>67</v>
      </c>
      <c r="Z1681" t="s">
        <v>68</v>
      </c>
      <c r="AB1681">
        <v>4</v>
      </c>
      <c r="AC1681" t="s">
        <v>61</v>
      </c>
      <c r="AJ1681" t="s">
        <v>69</v>
      </c>
      <c r="AY1681" t="s">
        <v>1307</v>
      </c>
      <c r="AZ1681">
        <v>520</v>
      </c>
      <c r="BA1681" t="s">
        <v>1308</v>
      </c>
      <c r="BB1681" t="s">
        <v>1309</v>
      </c>
      <c r="BC1681">
        <v>1978</v>
      </c>
      <c r="BD1681" t="s">
        <v>90</v>
      </c>
    </row>
    <row r="1682" spans="1:56" x14ac:dyDescent="0.35">
      <c r="A1682">
        <v>143339</v>
      </c>
      <c r="B1682" t="s">
        <v>1301</v>
      </c>
      <c r="C1682" t="s">
        <v>195</v>
      </c>
      <c r="D1682" t="s">
        <v>57</v>
      </c>
      <c r="E1682" t="s">
        <v>86</v>
      </c>
      <c r="F1682" t="s">
        <v>58</v>
      </c>
      <c r="G1682" t="s">
        <v>59</v>
      </c>
      <c r="H1682" t="s">
        <v>60</v>
      </c>
      <c r="I1682" t="s">
        <v>129</v>
      </c>
      <c r="J1682">
        <v>13</v>
      </c>
      <c r="K1682" t="s">
        <v>196</v>
      </c>
      <c r="L1682" t="s">
        <v>74</v>
      </c>
      <c r="M1682" t="s">
        <v>63</v>
      </c>
      <c r="N1682" t="s">
        <v>64</v>
      </c>
      <c r="O1682">
        <v>5</v>
      </c>
      <c r="P1682" t="s">
        <v>1302</v>
      </c>
      <c r="R1682">
        <v>0.152</v>
      </c>
      <c r="T1682">
        <v>0.14000000000000001</v>
      </c>
      <c r="V1682">
        <v>0.16500000000000001</v>
      </c>
      <c r="W1682" t="s">
        <v>66</v>
      </c>
      <c r="X1682" t="s">
        <v>67</v>
      </c>
      <c r="Y1682" t="s">
        <v>67</v>
      </c>
      <c r="Z1682" t="s">
        <v>68</v>
      </c>
      <c r="AB1682">
        <v>4</v>
      </c>
      <c r="AC1682" t="s">
        <v>61</v>
      </c>
      <c r="AJ1682" t="s">
        <v>69</v>
      </c>
      <c r="AQ1682" t="s">
        <v>69</v>
      </c>
      <c r="AY1682" t="s">
        <v>1303</v>
      </c>
      <c r="AZ1682">
        <v>20219</v>
      </c>
      <c r="BA1682" t="s">
        <v>1304</v>
      </c>
      <c r="BB1682" t="s">
        <v>1305</v>
      </c>
      <c r="BC1682">
        <v>1977</v>
      </c>
      <c r="BD1682" t="s">
        <v>1310</v>
      </c>
    </row>
    <row r="1683" spans="1:56" x14ac:dyDescent="0.35">
      <c r="A1683">
        <v>143339</v>
      </c>
      <c r="B1683" t="s">
        <v>1301</v>
      </c>
      <c r="C1683" t="s">
        <v>195</v>
      </c>
      <c r="D1683" t="s">
        <v>57</v>
      </c>
      <c r="E1683" t="s">
        <v>86</v>
      </c>
      <c r="F1683" t="s">
        <v>58</v>
      </c>
      <c r="G1683" t="s">
        <v>59</v>
      </c>
      <c r="H1683" t="s">
        <v>60</v>
      </c>
      <c r="I1683" t="s">
        <v>129</v>
      </c>
      <c r="J1683">
        <v>13</v>
      </c>
      <c r="K1683" t="s">
        <v>196</v>
      </c>
      <c r="L1683" t="s">
        <v>74</v>
      </c>
      <c r="M1683" t="s">
        <v>63</v>
      </c>
      <c r="N1683" t="s">
        <v>64</v>
      </c>
      <c r="O1683">
        <v>5</v>
      </c>
      <c r="P1683" t="s">
        <v>1302</v>
      </c>
      <c r="R1683">
        <v>0.124</v>
      </c>
      <c r="T1683">
        <v>0.107</v>
      </c>
      <c r="V1683">
        <v>0.14399999999999999</v>
      </c>
      <c r="W1683" t="s">
        <v>66</v>
      </c>
      <c r="X1683" t="s">
        <v>67</v>
      </c>
      <c r="Y1683" t="s">
        <v>67</v>
      </c>
      <c r="Z1683" t="s">
        <v>68</v>
      </c>
      <c r="AB1683">
        <v>4</v>
      </c>
      <c r="AC1683" t="s">
        <v>61</v>
      </c>
      <c r="AJ1683" t="s">
        <v>69</v>
      </c>
      <c r="AQ1683" t="s">
        <v>69</v>
      </c>
      <c r="AY1683" t="s">
        <v>1303</v>
      </c>
      <c r="AZ1683">
        <v>20219</v>
      </c>
      <c r="BA1683" t="s">
        <v>1304</v>
      </c>
      <c r="BB1683" t="s">
        <v>1305</v>
      </c>
      <c r="BC1683">
        <v>1977</v>
      </c>
      <c r="BD1683" t="s">
        <v>1311</v>
      </c>
    </row>
    <row r="1684" spans="1:56" x14ac:dyDescent="0.35">
      <c r="A1684">
        <v>143339</v>
      </c>
      <c r="B1684" t="s">
        <v>1301</v>
      </c>
      <c r="D1684" t="s">
        <v>85</v>
      </c>
      <c r="E1684" t="s">
        <v>86</v>
      </c>
      <c r="F1684" t="s">
        <v>58</v>
      </c>
      <c r="G1684" t="s">
        <v>59</v>
      </c>
      <c r="H1684" t="s">
        <v>60</v>
      </c>
      <c r="I1684" t="s">
        <v>129</v>
      </c>
      <c r="J1684" t="s">
        <v>86</v>
      </c>
      <c r="L1684" t="s">
        <v>74</v>
      </c>
      <c r="M1684" t="s">
        <v>63</v>
      </c>
      <c r="N1684" t="s">
        <v>64</v>
      </c>
      <c r="P1684" t="s">
        <v>201</v>
      </c>
      <c r="R1684">
        <v>0.191</v>
      </c>
      <c r="T1684">
        <v>0.17799999999999999</v>
      </c>
      <c r="V1684">
        <v>0.20499999999999999</v>
      </c>
      <c r="W1684" t="s">
        <v>66</v>
      </c>
      <c r="X1684" t="s">
        <v>67</v>
      </c>
      <c r="Y1684" t="s">
        <v>67</v>
      </c>
      <c r="Z1684" t="s">
        <v>68</v>
      </c>
      <c r="AB1684">
        <v>4</v>
      </c>
      <c r="AC1684" t="s">
        <v>61</v>
      </c>
      <c r="AJ1684" t="s">
        <v>69</v>
      </c>
      <c r="AY1684" t="s">
        <v>1307</v>
      </c>
      <c r="AZ1684">
        <v>520</v>
      </c>
      <c r="BA1684" t="s">
        <v>1308</v>
      </c>
      <c r="BB1684" t="s">
        <v>1309</v>
      </c>
      <c r="BC1684">
        <v>1978</v>
      </c>
      <c r="BD1684" t="s">
        <v>90</v>
      </c>
    </row>
    <row r="1685" spans="1:56" x14ac:dyDescent="0.35">
      <c r="A1685">
        <v>143339</v>
      </c>
      <c r="B1685" t="s">
        <v>1301</v>
      </c>
      <c r="D1685" t="s">
        <v>85</v>
      </c>
      <c r="E1685" t="s">
        <v>86</v>
      </c>
      <c r="F1685" t="s">
        <v>58</v>
      </c>
      <c r="G1685" t="s">
        <v>59</v>
      </c>
      <c r="H1685" t="s">
        <v>60</v>
      </c>
      <c r="I1685" t="s">
        <v>129</v>
      </c>
      <c r="J1685" t="s">
        <v>86</v>
      </c>
      <c r="L1685" t="s">
        <v>74</v>
      </c>
      <c r="M1685" t="s">
        <v>63</v>
      </c>
      <c r="N1685" t="s">
        <v>64</v>
      </c>
      <c r="P1685" t="s">
        <v>201</v>
      </c>
      <c r="R1685">
        <v>0.16700000000000001</v>
      </c>
      <c r="W1685" t="s">
        <v>66</v>
      </c>
      <c r="X1685" t="s">
        <v>67</v>
      </c>
      <c r="Y1685" t="s">
        <v>67</v>
      </c>
      <c r="Z1685" t="s">
        <v>68</v>
      </c>
      <c r="AB1685">
        <v>4</v>
      </c>
      <c r="AC1685" t="s">
        <v>61</v>
      </c>
      <c r="AJ1685" t="s">
        <v>69</v>
      </c>
      <c r="AY1685" t="s">
        <v>1307</v>
      </c>
      <c r="AZ1685">
        <v>520</v>
      </c>
      <c r="BA1685" t="s">
        <v>1308</v>
      </c>
      <c r="BB1685" t="s">
        <v>1309</v>
      </c>
      <c r="BC1685">
        <v>1978</v>
      </c>
      <c r="BD1685" t="s">
        <v>90</v>
      </c>
    </row>
    <row r="1686" spans="1:56" x14ac:dyDescent="0.35">
      <c r="A1686">
        <v>143339</v>
      </c>
      <c r="B1686" t="s">
        <v>1301</v>
      </c>
      <c r="D1686" t="s">
        <v>85</v>
      </c>
      <c r="E1686" t="s">
        <v>86</v>
      </c>
      <c r="F1686" t="s">
        <v>58</v>
      </c>
      <c r="G1686" t="s">
        <v>59</v>
      </c>
      <c r="H1686" t="s">
        <v>60</v>
      </c>
      <c r="I1686" t="s">
        <v>129</v>
      </c>
      <c r="J1686" t="s">
        <v>86</v>
      </c>
      <c r="L1686" t="s">
        <v>74</v>
      </c>
      <c r="M1686" t="s">
        <v>63</v>
      </c>
      <c r="N1686" t="s">
        <v>64</v>
      </c>
      <c r="P1686" t="s">
        <v>201</v>
      </c>
      <c r="R1686">
        <v>0.11899999999999999</v>
      </c>
      <c r="T1686">
        <v>0.111</v>
      </c>
      <c r="V1686">
        <v>0.129</v>
      </c>
      <c r="W1686" t="s">
        <v>66</v>
      </c>
      <c r="X1686" t="s">
        <v>67</v>
      </c>
      <c r="Y1686" t="s">
        <v>67</v>
      </c>
      <c r="Z1686" t="s">
        <v>68</v>
      </c>
      <c r="AB1686">
        <v>4</v>
      </c>
      <c r="AC1686" t="s">
        <v>61</v>
      </c>
      <c r="AJ1686" t="s">
        <v>69</v>
      </c>
      <c r="AY1686" t="s">
        <v>1307</v>
      </c>
      <c r="AZ1686">
        <v>520</v>
      </c>
      <c r="BA1686" t="s">
        <v>1308</v>
      </c>
      <c r="BB1686" t="s">
        <v>1309</v>
      </c>
      <c r="BC1686">
        <v>1978</v>
      </c>
      <c r="BD1686" t="s">
        <v>90</v>
      </c>
    </row>
    <row r="1687" spans="1:56" x14ac:dyDescent="0.35">
      <c r="A1687">
        <v>143339</v>
      </c>
      <c r="B1687" t="s">
        <v>1301</v>
      </c>
      <c r="D1687" t="s">
        <v>85</v>
      </c>
      <c r="E1687" t="s">
        <v>86</v>
      </c>
      <c r="F1687" t="s">
        <v>58</v>
      </c>
      <c r="G1687" t="s">
        <v>59</v>
      </c>
      <c r="H1687" t="s">
        <v>60</v>
      </c>
      <c r="I1687" t="s">
        <v>129</v>
      </c>
      <c r="J1687" t="s">
        <v>86</v>
      </c>
      <c r="L1687" t="s">
        <v>74</v>
      </c>
      <c r="M1687" t="s">
        <v>63</v>
      </c>
      <c r="N1687" t="s">
        <v>64</v>
      </c>
      <c r="P1687" t="s">
        <v>201</v>
      </c>
      <c r="R1687">
        <v>0.129</v>
      </c>
      <c r="T1687">
        <v>0.124</v>
      </c>
      <c r="V1687">
        <v>0.13300000000000001</v>
      </c>
      <c r="W1687" t="s">
        <v>66</v>
      </c>
      <c r="X1687" t="s">
        <v>67</v>
      </c>
      <c r="Y1687" t="s">
        <v>67</v>
      </c>
      <c r="Z1687" t="s">
        <v>68</v>
      </c>
      <c r="AB1687">
        <v>4</v>
      </c>
      <c r="AC1687" t="s">
        <v>61</v>
      </c>
      <c r="AJ1687" t="s">
        <v>69</v>
      </c>
      <c r="AY1687" t="s">
        <v>1307</v>
      </c>
      <c r="AZ1687">
        <v>520</v>
      </c>
      <c r="BA1687" t="s">
        <v>1308</v>
      </c>
      <c r="BB1687" t="s">
        <v>1309</v>
      </c>
      <c r="BC1687">
        <v>1978</v>
      </c>
      <c r="BD1687" t="s">
        <v>90</v>
      </c>
    </row>
    <row r="1688" spans="1:56" x14ac:dyDescent="0.35">
      <c r="A1688">
        <v>143339</v>
      </c>
      <c r="B1688" t="s">
        <v>1301</v>
      </c>
      <c r="C1688" t="s">
        <v>195</v>
      </c>
      <c r="D1688" t="s">
        <v>57</v>
      </c>
      <c r="E1688" t="s">
        <v>86</v>
      </c>
      <c r="F1688" t="s">
        <v>58</v>
      </c>
      <c r="G1688" t="s">
        <v>59</v>
      </c>
      <c r="H1688" t="s">
        <v>60</v>
      </c>
      <c r="I1688" t="s">
        <v>129</v>
      </c>
      <c r="J1688">
        <v>13</v>
      </c>
      <c r="K1688" t="s">
        <v>196</v>
      </c>
      <c r="L1688" t="s">
        <v>74</v>
      </c>
      <c r="M1688" t="s">
        <v>63</v>
      </c>
      <c r="N1688" t="s">
        <v>64</v>
      </c>
      <c r="O1688">
        <v>5</v>
      </c>
      <c r="P1688" t="s">
        <v>1302</v>
      </c>
      <c r="R1688">
        <v>0.13300000000000001</v>
      </c>
      <c r="T1688">
        <v>0.126</v>
      </c>
      <c r="V1688">
        <v>0.14000000000000001</v>
      </c>
      <c r="W1688" t="s">
        <v>66</v>
      </c>
      <c r="X1688" t="s">
        <v>67</v>
      </c>
      <c r="Y1688" t="s">
        <v>67</v>
      </c>
      <c r="Z1688" t="s">
        <v>68</v>
      </c>
      <c r="AB1688">
        <v>4</v>
      </c>
      <c r="AC1688" t="s">
        <v>61</v>
      </c>
      <c r="AJ1688" t="s">
        <v>69</v>
      </c>
      <c r="AQ1688" t="s">
        <v>69</v>
      </c>
      <c r="AY1688" t="s">
        <v>1303</v>
      </c>
      <c r="AZ1688">
        <v>20219</v>
      </c>
      <c r="BA1688" t="s">
        <v>1304</v>
      </c>
      <c r="BB1688" t="s">
        <v>1305</v>
      </c>
      <c r="BC1688">
        <v>1977</v>
      </c>
      <c r="BD1688" t="s">
        <v>1312</v>
      </c>
    </row>
    <row r="1689" spans="1:56" x14ac:dyDescent="0.35">
      <c r="A1689">
        <v>143339</v>
      </c>
      <c r="B1689" t="s">
        <v>1301</v>
      </c>
      <c r="D1689" t="s">
        <v>85</v>
      </c>
      <c r="E1689" t="s">
        <v>86</v>
      </c>
      <c r="F1689" t="s">
        <v>58</v>
      </c>
      <c r="G1689" t="s">
        <v>59</v>
      </c>
      <c r="H1689" t="s">
        <v>60</v>
      </c>
      <c r="I1689" t="s">
        <v>129</v>
      </c>
      <c r="J1689" t="s">
        <v>86</v>
      </c>
      <c r="L1689" t="s">
        <v>74</v>
      </c>
      <c r="M1689" t="s">
        <v>63</v>
      </c>
      <c r="N1689" t="s">
        <v>64</v>
      </c>
      <c r="P1689" t="s">
        <v>201</v>
      </c>
      <c r="R1689">
        <v>0.16500000000000001</v>
      </c>
      <c r="T1689">
        <v>0.14000000000000001</v>
      </c>
      <c r="V1689">
        <v>0.19400000000000001</v>
      </c>
      <c r="W1689" t="s">
        <v>66</v>
      </c>
      <c r="X1689" t="s">
        <v>67</v>
      </c>
      <c r="Y1689" t="s">
        <v>67</v>
      </c>
      <c r="Z1689" t="s">
        <v>68</v>
      </c>
      <c r="AB1689">
        <v>4</v>
      </c>
      <c r="AC1689" t="s">
        <v>61</v>
      </c>
      <c r="AJ1689" t="s">
        <v>69</v>
      </c>
      <c r="AY1689" t="s">
        <v>1307</v>
      </c>
      <c r="AZ1689">
        <v>520</v>
      </c>
      <c r="BA1689" t="s">
        <v>1308</v>
      </c>
      <c r="BB1689" t="s">
        <v>1309</v>
      </c>
      <c r="BC1689">
        <v>1978</v>
      </c>
      <c r="BD1689" t="s">
        <v>90</v>
      </c>
    </row>
    <row r="1690" spans="1:56" x14ac:dyDescent="0.35">
      <c r="A1690">
        <v>143339</v>
      </c>
      <c r="B1690" t="s">
        <v>1301</v>
      </c>
      <c r="D1690" t="s">
        <v>85</v>
      </c>
      <c r="E1690" t="s">
        <v>86</v>
      </c>
      <c r="F1690" t="s">
        <v>58</v>
      </c>
      <c r="G1690" t="s">
        <v>59</v>
      </c>
      <c r="H1690" t="s">
        <v>60</v>
      </c>
      <c r="J1690" t="s">
        <v>86</v>
      </c>
      <c r="L1690" t="s">
        <v>62</v>
      </c>
      <c r="M1690" t="s">
        <v>63</v>
      </c>
      <c r="N1690" t="s">
        <v>64</v>
      </c>
      <c r="P1690" t="s">
        <v>201</v>
      </c>
      <c r="R1690">
        <v>0.23</v>
      </c>
      <c r="W1690" t="s">
        <v>66</v>
      </c>
      <c r="X1690" t="s">
        <v>67</v>
      </c>
      <c r="Y1690" t="s">
        <v>67</v>
      </c>
      <c r="Z1690" t="s">
        <v>68</v>
      </c>
      <c r="AB1690">
        <v>4</v>
      </c>
      <c r="AC1690" t="s">
        <v>61</v>
      </c>
      <c r="AJ1690" t="s">
        <v>69</v>
      </c>
      <c r="AY1690" t="s">
        <v>1313</v>
      </c>
      <c r="AZ1690">
        <v>2152</v>
      </c>
      <c r="BA1690" t="s">
        <v>1314</v>
      </c>
      <c r="BB1690" t="s">
        <v>1315</v>
      </c>
      <c r="BC1690">
        <v>1956</v>
      </c>
      <c r="BD1690" t="s">
        <v>90</v>
      </c>
    </row>
    <row r="1691" spans="1:56" x14ac:dyDescent="0.35">
      <c r="A1691">
        <v>143339</v>
      </c>
      <c r="B1691" t="s">
        <v>1301</v>
      </c>
      <c r="D1691" t="s">
        <v>85</v>
      </c>
      <c r="E1691" t="s">
        <v>86</v>
      </c>
      <c r="F1691" t="s">
        <v>58</v>
      </c>
      <c r="G1691" t="s">
        <v>59</v>
      </c>
      <c r="H1691" t="s">
        <v>60</v>
      </c>
      <c r="I1691" t="s">
        <v>1316</v>
      </c>
      <c r="J1691" t="s">
        <v>86</v>
      </c>
      <c r="L1691" t="s">
        <v>74</v>
      </c>
      <c r="M1691" t="s">
        <v>63</v>
      </c>
      <c r="N1691" t="s">
        <v>64</v>
      </c>
      <c r="P1691" t="s">
        <v>201</v>
      </c>
      <c r="R1691">
        <v>8.1600000000000006E-2</v>
      </c>
      <c r="T1691">
        <v>7.1199999999999999E-2</v>
      </c>
      <c r="V1691">
        <v>9.3600000000000003E-2</v>
      </c>
      <c r="W1691" t="s">
        <v>66</v>
      </c>
      <c r="X1691" t="s">
        <v>67</v>
      </c>
      <c r="Y1691" t="s">
        <v>67</v>
      </c>
      <c r="Z1691" t="s">
        <v>68</v>
      </c>
      <c r="AB1691">
        <v>4</v>
      </c>
      <c r="AC1691" t="s">
        <v>61</v>
      </c>
      <c r="AJ1691" t="s">
        <v>69</v>
      </c>
      <c r="AY1691" t="s">
        <v>1307</v>
      </c>
      <c r="AZ1691">
        <v>520</v>
      </c>
      <c r="BA1691" t="s">
        <v>1308</v>
      </c>
      <c r="BB1691" t="s">
        <v>1309</v>
      </c>
      <c r="BC1691">
        <v>1978</v>
      </c>
      <c r="BD1691" t="s">
        <v>90</v>
      </c>
    </row>
    <row r="1692" spans="1:56" x14ac:dyDescent="0.35">
      <c r="A1692">
        <v>143339</v>
      </c>
      <c r="B1692" t="s">
        <v>1301</v>
      </c>
      <c r="D1692" t="s">
        <v>85</v>
      </c>
      <c r="E1692" t="s">
        <v>86</v>
      </c>
      <c r="F1692" t="s">
        <v>58</v>
      </c>
      <c r="G1692" t="s">
        <v>59</v>
      </c>
      <c r="H1692" t="s">
        <v>60</v>
      </c>
      <c r="I1692" t="s">
        <v>129</v>
      </c>
      <c r="J1692" t="s">
        <v>86</v>
      </c>
      <c r="L1692" t="s">
        <v>74</v>
      </c>
      <c r="M1692" t="s">
        <v>63</v>
      </c>
      <c r="N1692" t="s">
        <v>64</v>
      </c>
      <c r="P1692" t="s">
        <v>201</v>
      </c>
      <c r="R1692">
        <v>0.12</v>
      </c>
      <c r="T1692">
        <v>0.113</v>
      </c>
      <c r="V1692">
        <v>0.128</v>
      </c>
      <c r="W1692" t="s">
        <v>66</v>
      </c>
      <c r="X1692" t="s">
        <v>67</v>
      </c>
      <c r="Y1692" t="s">
        <v>67</v>
      </c>
      <c r="Z1692" t="s">
        <v>68</v>
      </c>
      <c r="AB1692">
        <v>4</v>
      </c>
      <c r="AC1692" t="s">
        <v>61</v>
      </c>
      <c r="AJ1692" t="s">
        <v>69</v>
      </c>
      <c r="AY1692" t="s">
        <v>1307</v>
      </c>
      <c r="AZ1692">
        <v>520</v>
      </c>
      <c r="BA1692" t="s">
        <v>1308</v>
      </c>
      <c r="BB1692" t="s">
        <v>1309</v>
      </c>
      <c r="BC1692">
        <v>1978</v>
      </c>
      <c r="BD1692" t="s">
        <v>90</v>
      </c>
    </row>
    <row r="1693" spans="1:56" x14ac:dyDescent="0.35">
      <c r="A1693">
        <v>143339</v>
      </c>
      <c r="B1693" t="s">
        <v>1301</v>
      </c>
      <c r="D1693" t="s">
        <v>57</v>
      </c>
      <c r="E1693" t="s">
        <v>86</v>
      </c>
      <c r="F1693" t="s">
        <v>58</v>
      </c>
      <c r="G1693" t="s">
        <v>59</v>
      </c>
      <c r="H1693" t="s">
        <v>60</v>
      </c>
      <c r="I1693" t="s">
        <v>129</v>
      </c>
      <c r="J1693">
        <v>8</v>
      </c>
      <c r="K1693" t="s">
        <v>196</v>
      </c>
      <c r="L1693" t="s">
        <v>74</v>
      </c>
      <c r="M1693" t="s">
        <v>63</v>
      </c>
      <c r="N1693" t="s">
        <v>64</v>
      </c>
      <c r="P1693" t="s">
        <v>201</v>
      </c>
      <c r="R1693">
        <v>0.125</v>
      </c>
      <c r="T1693">
        <v>0.12</v>
      </c>
      <c r="V1693">
        <v>0.13</v>
      </c>
      <c r="W1693" t="s">
        <v>66</v>
      </c>
      <c r="X1693" t="s">
        <v>67</v>
      </c>
      <c r="Y1693" t="s">
        <v>67</v>
      </c>
      <c r="Z1693" t="s">
        <v>68</v>
      </c>
      <c r="AB1693">
        <v>4</v>
      </c>
      <c r="AC1693" t="s">
        <v>61</v>
      </c>
      <c r="AJ1693" t="s">
        <v>69</v>
      </c>
      <c r="AY1693" t="s">
        <v>1303</v>
      </c>
      <c r="AZ1693">
        <v>2125</v>
      </c>
      <c r="BA1693" t="s">
        <v>1317</v>
      </c>
      <c r="BB1693" t="s">
        <v>1318</v>
      </c>
      <c r="BC1693">
        <v>1979</v>
      </c>
      <c r="BD1693" t="s">
        <v>200</v>
      </c>
    </row>
    <row r="1694" spans="1:56" x14ac:dyDescent="0.35">
      <c r="A1694">
        <v>143339</v>
      </c>
      <c r="B1694" t="s">
        <v>1301</v>
      </c>
      <c r="D1694" t="s">
        <v>85</v>
      </c>
      <c r="E1694" t="s">
        <v>86</v>
      </c>
      <c r="F1694" t="s">
        <v>58</v>
      </c>
      <c r="G1694" t="s">
        <v>59</v>
      </c>
      <c r="H1694" t="s">
        <v>60</v>
      </c>
      <c r="I1694" t="s">
        <v>129</v>
      </c>
      <c r="J1694" t="s">
        <v>86</v>
      </c>
      <c r="L1694" t="s">
        <v>74</v>
      </c>
      <c r="M1694" t="s">
        <v>63</v>
      </c>
      <c r="N1694" t="s">
        <v>64</v>
      </c>
      <c r="P1694" t="s">
        <v>201</v>
      </c>
      <c r="R1694">
        <v>0.13700000000000001</v>
      </c>
      <c r="T1694">
        <v>0.122</v>
      </c>
      <c r="V1694">
        <v>0.153</v>
      </c>
      <c r="W1694" t="s">
        <v>66</v>
      </c>
      <c r="X1694" t="s">
        <v>67</v>
      </c>
      <c r="Y1694" t="s">
        <v>67</v>
      </c>
      <c r="Z1694" t="s">
        <v>68</v>
      </c>
      <c r="AB1694">
        <v>4</v>
      </c>
      <c r="AC1694" t="s">
        <v>61</v>
      </c>
      <c r="AJ1694" t="s">
        <v>69</v>
      </c>
      <c r="AY1694" t="s">
        <v>1307</v>
      </c>
      <c r="AZ1694">
        <v>520</v>
      </c>
      <c r="BA1694" t="s">
        <v>1308</v>
      </c>
      <c r="BB1694" t="s">
        <v>1309</v>
      </c>
      <c r="BC1694">
        <v>1978</v>
      </c>
      <c r="BD1694" t="s">
        <v>90</v>
      </c>
    </row>
    <row r="1695" spans="1:56" x14ac:dyDescent="0.35">
      <c r="A1695">
        <v>143339</v>
      </c>
      <c r="B1695" t="s">
        <v>1301</v>
      </c>
      <c r="D1695" t="s">
        <v>85</v>
      </c>
      <c r="E1695" t="s">
        <v>86</v>
      </c>
      <c r="F1695" t="s">
        <v>58</v>
      </c>
      <c r="G1695" t="s">
        <v>59</v>
      </c>
      <c r="H1695" t="s">
        <v>60</v>
      </c>
      <c r="I1695" t="s">
        <v>129</v>
      </c>
      <c r="J1695" t="s">
        <v>86</v>
      </c>
      <c r="L1695" t="s">
        <v>74</v>
      </c>
      <c r="M1695" t="s">
        <v>63</v>
      </c>
      <c r="N1695" t="s">
        <v>64</v>
      </c>
      <c r="P1695" t="s">
        <v>201</v>
      </c>
      <c r="R1695">
        <v>8.2400000000000001E-2</v>
      </c>
      <c r="T1695">
        <v>7.6399999999999996E-2</v>
      </c>
      <c r="V1695">
        <v>8.8900000000000007E-2</v>
      </c>
      <c r="W1695" t="s">
        <v>66</v>
      </c>
      <c r="X1695" t="s">
        <v>67</v>
      </c>
      <c r="Y1695" t="s">
        <v>67</v>
      </c>
      <c r="Z1695" t="s">
        <v>68</v>
      </c>
      <c r="AB1695">
        <v>4</v>
      </c>
      <c r="AC1695" t="s">
        <v>61</v>
      </c>
      <c r="AJ1695" t="s">
        <v>69</v>
      </c>
      <c r="AY1695" t="s">
        <v>1307</v>
      </c>
      <c r="AZ1695">
        <v>520</v>
      </c>
      <c r="BA1695" t="s">
        <v>1308</v>
      </c>
      <c r="BB1695" t="s">
        <v>1309</v>
      </c>
      <c r="BC1695">
        <v>1978</v>
      </c>
      <c r="BD1695" t="s">
        <v>90</v>
      </c>
    </row>
    <row r="1696" spans="1:56" x14ac:dyDescent="0.35">
      <c r="A1696">
        <v>143339</v>
      </c>
      <c r="B1696" t="s">
        <v>1301</v>
      </c>
      <c r="D1696" t="s">
        <v>85</v>
      </c>
      <c r="E1696" t="s">
        <v>86</v>
      </c>
      <c r="F1696" t="s">
        <v>58</v>
      </c>
      <c r="G1696" t="s">
        <v>59</v>
      </c>
      <c r="H1696" t="s">
        <v>60</v>
      </c>
      <c r="I1696" t="s">
        <v>129</v>
      </c>
      <c r="J1696" t="s">
        <v>86</v>
      </c>
      <c r="L1696" t="s">
        <v>74</v>
      </c>
      <c r="M1696" t="s">
        <v>63</v>
      </c>
      <c r="N1696" t="s">
        <v>64</v>
      </c>
      <c r="P1696" t="s">
        <v>201</v>
      </c>
      <c r="R1696">
        <v>0.125</v>
      </c>
      <c r="T1696">
        <v>0.11700000000000001</v>
      </c>
      <c r="V1696">
        <v>0.13300000000000001</v>
      </c>
      <c r="W1696" t="s">
        <v>66</v>
      </c>
      <c r="X1696" t="s">
        <v>67</v>
      </c>
      <c r="Y1696" t="s">
        <v>67</v>
      </c>
      <c r="Z1696" t="s">
        <v>68</v>
      </c>
      <c r="AB1696">
        <v>4</v>
      </c>
      <c r="AC1696" t="s">
        <v>61</v>
      </c>
      <c r="AJ1696" t="s">
        <v>69</v>
      </c>
      <c r="AY1696" t="s">
        <v>1307</v>
      </c>
      <c r="AZ1696">
        <v>520</v>
      </c>
      <c r="BA1696" t="s">
        <v>1308</v>
      </c>
      <c r="BB1696" t="s">
        <v>1309</v>
      </c>
      <c r="BC1696">
        <v>1978</v>
      </c>
      <c r="BD1696" t="s">
        <v>90</v>
      </c>
    </row>
    <row r="1697" spans="1:56" x14ac:dyDescent="0.35">
      <c r="A1697">
        <v>143339</v>
      </c>
      <c r="B1697" t="s">
        <v>1301</v>
      </c>
      <c r="D1697" t="s">
        <v>85</v>
      </c>
      <c r="E1697" t="s">
        <v>86</v>
      </c>
      <c r="F1697" t="s">
        <v>58</v>
      </c>
      <c r="G1697" t="s">
        <v>59</v>
      </c>
      <c r="H1697" t="s">
        <v>60</v>
      </c>
      <c r="I1697" t="s">
        <v>129</v>
      </c>
      <c r="J1697" t="s">
        <v>86</v>
      </c>
      <c r="L1697" t="s">
        <v>74</v>
      </c>
      <c r="M1697" t="s">
        <v>63</v>
      </c>
      <c r="N1697" t="s">
        <v>64</v>
      </c>
      <c r="P1697" t="s">
        <v>201</v>
      </c>
      <c r="R1697">
        <v>0.128</v>
      </c>
      <c r="T1697">
        <v>0.109</v>
      </c>
      <c r="V1697">
        <v>0.14899999999999999</v>
      </c>
      <c r="W1697" t="s">
        <v>66</v>
      </c>
      <c r="X1697" t="s">
        <v>67</v>
      </c>
      <c r="Y1697" t="s">
        <v>67</v>
      </c>
      <c r="Z1697" t="s">
        <v>68</v>
      </c>
      <c r="AB1697">
        <v>4</v>
      </c>
      <c r="AC1697" t="s">
        <v>61</v>
      </c>
      <c r="AJ1697" t="s">
        <v>69</v>
      </c>
      <c r="AY1697" t="s">
        <v>1307</v>
      </c>
      <c r="AZ1697">
        <v>520</v>
      </c>
      <c r="BA1697" t="s">
        <v>1308</v>
      </c>
      <c r="BB1697" t="s">
        <v>1309</v>
      </c>
      <c r="BC1697">
        <v>1978</v>
      </c>
      <c r="BD1697" t="s">
        <v>90</v>
      </c>
    </row>
    <row r="1698" spans="1:56" x14ac:dyDescent="0.35">
      <c r="A1698">
        <v>143339</v>
      </c>
      <c r="B1698" t="s">
        <v>1301</v>
      </c>
      <c r="D1698" t="s">
        <v>85</v>
      </c>
      <c r="E1698" t="s">
        <v>86</v>
      </c>
      <c r="F1698" t="s">
        <v>58</v>
      </c>
      <c r="G1698" t="s">
        <v>59</v>
      </c>
      <c r="H1698" t="s">
        <v>60</v>
      </c>
      <c r="I1698" t="s">
        <v>129</v>
      </c>
      <c r="J1698" t="s">
        <v>86</v>
      </c>
      <c r="L1698" t="s">
        <v>74</v>
      </c>
      <c r="M1698" t="s">
        <v>63</v>
      </c>
      <c r="N1698" t="s">
        <v>64</v>
      </c>
      <c r="P1698" t="s">
        <v>201</v>
      </c>
      <c r="R1698">
        <v>0.13100000000000001</v>
      </c>
      <c r="T1698">
        <v>0.121</v>
      </c>
      <c r="V1698">
        <v>0.13800000000000001</v>
      </c>
      <c r="W1698" t="s">
        <v>66</v>
      </c>
      <c r="X1698" t="s">
        <v>67</v>
      </c>
      <c r="Y1698" t="s">
        <v>67</v>
      </c>
      <c r="Z1698" t="s">
        <v>68</v>
      </c>
      <c r="AB1698">
        <v>4</v>
      </c>
      <c r="AC1698" t="s">
        <v>61</v>
      </c>
      <c r="AJ1698" t="s">
        <v>69</v>
      </c>
      <c r="AY1698" t="s">
        <v>1307</v>
      </c>
      <c r="AZ1698">
        <v>520</v>
      </c>
      <c r="BA1698" t="s">
        <v>1308</v>
      </c>
      <c r="BB1698" t="s">
        <v>1309</v>
      </c>
      <c r="BC1698">
        <v>1978</v>
      </c>
      <c r="BD1698" t="s">
        <v>90</v>
      </c>
    </row>
    <row r="1699" spans="1:56" x14ac:dyDescent="0.35">
      <c r="A1699">
        <v>143339</v>
      </c>
      <c r="B1699" t="s">
        <v>1301</v>
      </c>
      <c r="D1699" t="s">
        <v>85</v>
      </c>
      <c r="E1699" t="s">
        <v>86</v>
      </c>
      <c r="F1699" t="s">
        <v>58</v>
      </c>
      <c r="G1699" t="s">
        <v>59</v>
      </c>
      <c r="H1699" t="s">
        <v>60</v>
      </c>
      <c r="I1699" t="s">
        <v>186</v>
      </c>
      <c r="J1699" t="s">
        <v>86</v>
      </c>
      <c r="L1699" t="s">
        <v>74</v>
      </c>
      <c r="M1699" t="s">
        <v>63</v>
      </c>
      <c r="N1699" t="s">
        <v>64</v>
      </c>
      <c r="P1699" t="s">
        <v>201</v>
      </c>
      <c r="R1699">
        <v>0.121</v>
      </c>
      <c r="T1699">
        <v>7.7299999999999994E-2</v>
      </c>
      <c r="V1699">
        <v>0.19</v>
      </c>
      <c r="W1699" t="s">
        <v>66</v>
      </c>
      <c r="X1699" t="s">
        <v>67</v>
      </c>
      <c r="Y1699" t="s">
        <v>67</v>
      </c>
      <c r="Z1699" t="s">
        <v>68</v>
      </c>
      <c r="AB1699">
        <v>4</v>
      </c>
      <c r="AC1699" t="s">
        <v>61</v>
      </c>
      <c r="AJ1699" t="s">
        <v>69</v>
      </c>
      <c r="AY1699" t="s">
        <v>1307</v>
      </c>
      <c r="AZ1699">
        <v>520</v>
      </c>
      <c r="BA1699" t="s">
        <v>1308</v>
      </c>
      <c r="BB1699" t="s">
        <v>1309</v>
      </c>
      <c r="BC1699">
        <v>1978</v>
      </c>
      <c r="BD1699" t="s">
        <v>90</v>
      </c>
    </row>
    <row r="1700" spans="1:56" x14ac:dyDescent="0.35">
      <c r="A1700">
        <v>143339</v>
      </c>
      <c r="B1700" t="s">
        <v>1301</v>
      </c>
      <c r="D1700" t="s">
        <v>85</v>
      </c>
      <c r="E1700" t="s">
        <v>86</v>
      </c>
      <c r="F1700" t="s">
        <v>58</v>
      </c>
      <c r="G1700" t="s">
        <v>59</v>
      </c>
      <c r="H1700" t="s">
        <v>60</v>
      </c>
      <c r="I1700" t="s">
        <v>186</v>
      </c>
      <c r="J1700" t="s">
        <v>86</v>
      </c>
      <c r="L1700" t="s">
        <v>74</v>
      </c>
      <c r="M1700" t="s">
        <v>63</v>
      </c>
      <c r="N1700" t="s">
        <v>64</v>
      </c>
      <c r="P1700" t="s">
        <v>201</v>
      </c>
      <c r="R1700">
        <v>0.27300000000000002</v>
      </c>
      <c r="T1700">
        <v>0.16200000000000001</v>
      </c>
      <c r="V1700">
        <v>0.46300000000000002</v>
      </c>
      <c r="W1700" t="s">
        <v>66</v>
      </c>
      <c r="X1700" t="s">
        <v>67</v>
      </c>
      <c r="Y1700" t="s">
        <v>67</v>
      </c>
      <c r="Z1700" t="s">
        <v>68</v>
      </c>
      <c r="AB1700">
        <v>4</v>
      </c>
      <c r="AC1700" t="s">
        <v>61</v>
      </c>
      <c r="AJ1700" t="s">
        <v>69</v>
      </c>
      <c r="AY1700" t="s">
        <v>1307</v>
      </c>
      <c r="AZ1700">
        <v>520</v>
      </c>
      <c r="BA1700" t="s">
        <v>1308</v>
      </c>
      <c r="BB1700" t="s">
        <v>1309</v>
      </c>
      <c r="BC1700">
        <v>1978</v>
      </c>
      <c r="BD1700" t="s">
        <v>90</v>
      </c>
    </row>
    <row r="1701" spans="1:56" x14ac:dyDescent="0.35">
      <c r="A1701">
        <v>143339</v>
      </c>
      <c r="B1701" t="s">
        <v>1301</v>
      </c>
      <c r="D1701" t="s">
        <v>57</v>
      </c>
      <c r="E1701" t="s">
        <v>86</v>
      </c>
      <c r="F1701" t="s">
        <v>58</v>
      </c>
      <c r="G1701" t="s">
        <v>59</v>
      </c>
      <c r="H1701" t="s">
        <v>60</v>
      </c>
      <c r="J1701" t="s">
        <v>86</v>
      </c>
      <c r="L1701" t="s">
        <v>62</v>
      </c>
      <c r="M1701" t="s">
        <v>63</v>
      </c>
      <c r="N1701" t="s">
        <v>64</v>
      </c>
      <c r="P1701" t="s">
        <v>201</v>
      </c>
      <c r="R1701">
        <v>0.35</v>
      </c>
      <c r="W1701" t="s">
        <v>66</v>
      </c>
      <c r="X1701" t="s">
        <v>67</v>
      </c>
      <c r="Y1701" t="s">
        <v>67</v>
      </c>
      <c r="Z1701" t="s">
        <v>68</v>
      </c>
      <c r="AB1701">
        <v>4</v>
      </c>
      <c r="AC1701" t="s">
        <v>61</v>
      </c>
      <c r="AJ1701" t="s">
        <v>69</v>
      </c>
      <c r="AY1701" t="s">
        <v>465</v>
      </c>
      <c r="AZ1701">
        <v>923</v>
      </c>
      <c r="BA1701" t="s">
        <v>466</v>
      </c>
      <c r="BB1701" t="s">
        <v>467</v>
      </c>
      <c r="BC1701">
        <v>1961</v>
      </c>
      <c r="BD1701" t="s">
        <v>90</v>
      </c>
    </row>
    <row r="1702" spans="1:56" x14ac:dyDescent="0.35">
      <c r="A1702">
        <v>143339</v>
      </c>
      <c r="B1702" t="s">
        <v>1301</v>
      </c>
      <c r="C1702" t="s">
        <v>195</v>
      </c>
      <c r="D1702" t="s">
        <v>85</v>
      </c>
      <c r="E1702" t="s">
        <v>86</v>
      </c>
      <c r="F1702" t="s">
        <v>58</v>
      </c>
      <c r="G1702" t="s">
        <v>59</v>
      </c>
      <c r="H1702" t="s">
        <v>60</v>
      </c>
      <c r="I1702" t="s">
        <v>129</v>
      </c>
      <c r="J1702" t="s">
        <v>86</v>
      </c>
      <c r="L1702" t="s">
        <v>62</v>
      </c>
      <c r="M1702" t="s">
        <v>63</v>
      </c>
      <c r="N1702" t="s">
        <v>64</v>
      </c>
      <c r="O1702">
        <v>5</v>
      </c>
      <c r="P1702" t="s">
        <v>201</v>
      </c>
      <c r="R1702">
        <v>0.32</v>
      </c>
      <c r="W1702" t="s">
        <v>66</v>
      </c>
      <c r="X1702" t="s">
        <v>67</v>
      </c>
      <c r="Y1702" t="s">
        <v>67</v>
      </c>
      <c r="Z1702" t="s">
        <v>68</v>
      </c>
      <c r="AB1702">
        <v>4</v>
      </c>
      <c r="AC1702" t="s">
        <v>61</v>
      </c>
      <c r="AJ1702" t="s">
        <v>69</v>
      </c>
      <c r="AY1702" t="s">
        <v>298</v>
      </c>
      <c r="AZ1702">
        <v>11951</v>
      </c>
      <c r="BA1702" t="s">
        <v>299</v>
      </c>
      <c r="BB1702" t="s">
        <v>300</v>
      </c>
      <c r="BC1702">
        <v>1986</v>
      </c>
      <c r="BD1702" t="s">
        <v>90</v>
      </c>
    </row>
    <row r="1703" spans="1:56" x14ac:dyDescent="0.35">
      <c r="A1703">
        <v>143339</v>
      </c>
      <c r="B1703" t="s">
        <v>1301</v>
      </c>
      <c r="C1703" t="s">
        <v>195</v>
      </c>
      <c r="D1703" t="s">
        <v>57</v>
      </c>
      <c r="E1703" t="s">
        <v>86</v>
      </c>
      <c r="F1703" t="s">
        <v>58</v>
      </c>
      <c r="G1703" t="s">
        <v>59</v>
      </c>
      <c r="H1703" t="s">
        <v>60</v>
      </c>
      <c r="I1703" t="s">
        <v>129</v>
      </c>
      <c r="J1703">
        <v>13</v>
      </c>
      <c r="K1703" t="s">
        <v>196</v>
      </c>
      <c r="L1703" t="s">
        <v>74</v>
      </c>
      <c r="M1703" t="s">
        <v>63</v>
      </c>
      <c r="N1703" t="s">
        <v>64</v>
      </c>
      <c r="O1703">
        <v>5</v>
      </c>
      <c r="P1703" t="s">
        <v>1302</v>
      </c>
      <c r="R1703">
        <v>0.11700000000000001</v>
      </c>
      <c r="T1703">
        <v>0.10199999999999999</v>
      </c>
      <c r="V1703">
        <v>0.13500000000000001</v>
      </c>
      <c r="W1703" t="s">
        <v>66</v>
      </c>
      <c r="X1703" t="s">
        <v>67</v>
      </c>
      <c r="Y1703" t="s">
        <v>67</v>
      </c>
      <c r="Z1703" t="s">
        <v>68</v>
      </c>
      <c r="AB1703">
        <v>4</v>
      </c>
      <c r="AC1703" t="s">
        <v>61</v>
      </c>
      <c r="AJ1703" t="s">
        <v>69</v>
      </c>
      <c r="AQ1703" t="s">
        <v>69</v>
      </c>
      <c r="AY1703" t="s">
        <v>1303</v>
      </c>
      <c r="AZ1703">
        <v>20219</v>
      </c>
      <c r="BA1703" t="s">
        <v>1304</v>
      </c>
      <c r="BB1703" t="s">
        <v>1305</v>
      </c>
      <c r="BC1703">
        <v>1977</v>
      </c>
      <c r="BD1703" t="s">
        <v>1319</v>
      </c>
    </row>
    <row r="1704" spans="1:56" x14ac:dyDescent="0.35">
      <c r="A1704">
        <v>143339</v>
      </c>
      <c r="B1704" t="s">
        <v>1301</v>
      </c>
      <c r="D1704" t="s">
        <v>85</v>
      </c>
      <c r="E1704" t="s">
        <v>86</v>
      </c>
      <c r="F1704" t="s">
        <v>58</v>
      </c>
      <c r="G1704" t="s">
        <v>59</v>
      </c>
      <c r="H1704" t="s">
        <v>60</v>
      </c>
      <c r="I1704" t="s">
        <v>1316</v>
      </c>
      <c r="J1704" t="s">
        <v>86</v>
      </c>
      <c r="L1704" t="s">
        <v>74</v>
      </c>
      <c r="M1704" t="s">
        <v>63</v>
      </c>
      <c r="N1704" t="s">
        <v>64</v>
      </c>
      <c r="P1704" t="s">
        <v>201</v>
      </c>
      <c r="R1704">
        <v>0.108</v>
      </c>
      <c r="T1704">
        <v>9.0300000000000005E-2</v>
      </c>
      <c r="V1704">
        <v>0.13</v>
      </c>
      <c r="W1704" t="s">
        <v>66</v>
      </c>
      <c r="X1704" t="s">
        <v>67</v>
      </c>
      <c r="Y1704" t="s">
        <v>67</v>
      </c>
      <c r="Z1704" t="s">
        <v>68</v>
      </c>
      <c r="AB1704">
        <v>4</v>
      </c>
      <c r="AC1704" t="s">
        <v>61</v>
      </c>
      <c r="AJ1704" t="s">
        <v>69</v>
      </c>
      <c r="AY1704" t="s">
        <v>1307</v>
      </c>
      <c r="AZ1704">
        <v>520</v>
      </c>
      <c r="BA1704" t="s">
        <v>1308</v>
      </c>
      <c r="BB1704" t="s">
        <v>1309</v>
      </c>
      <c r="BC1704">
        <v>1978</v>
      </c>
      <c r="BD1704" t="s">
        <v>90</v>
      </c>
    </row>
    <row r="1705" spans="1:56" x14ac:dyDescent="0.35">
      <c r="A1705">
        <v>143339</v>
      </c>
      <c r="B1705" t="s">
        <v>1301</v>
      </c>
      <c r="D1705" t="s">
        <v>85</v>
      </c>
      <c r="E1705" t="s">
        <v>86</v>
      </c>
      <c r="F1705" t="s">
        <v>58</v>
      </c>
      <c r="G1705" t="s">
        <v>59</v>
      </c>
      <c r="H1705" t="s">
        <v>60</v>
      </c>
      <c r="I1705" t="s">
        <v>1316</v>
      </c>
      <c r="J1705" t="s">
        <v>86</v>
      </c>
      <c r="L1705" t="s">
        <v>74</v>
      </c>
      <c r="M1705" t="s">
        <v>63</v>
      </c>
      <c r="N1705" t="s">
        <v>64</v>
      </c>
      <c r="P1705" t="s">
        <v>201</v>
      </c>
      <c r="R1705">
        <v>0.113</v>
      </c>
      <c r="T1705">
        <v>9.6500000000000002E-2</v>
      </c>
      <c r="V1705">
        <v>0.13300000000000001</v>
      </c>
      <c r="W1705" t="s">
        <v>66</v>
      </c>
      <c r="X1705" t="s">
        <v>67</v>
      </c>
      <c r="Y1705" t="s">
        <v>67</v>
      </c>
      <c r="Z1705" t="s">
        <v>68</v>
      </c>
      <c r="AB1705">
        <v>4</v>
      </c>
      <c r="AC1705" t="s">
        <v>61</v>
      </c>
      <c r="AJ1705" t="s">
        <v>69</v>
      </c>
      <c r="AY1705" t="s">
        <v>1307</v>
      </c>
      <c r="AZ1705">
        <v>520</v>
      </c>
      <c r="BA1705" t="s">
        <v>1308</v>
      </c>
      <c r="BB1705" t="s">
        <v>1309</v>
      </c>
      <c r="BC1705">
        <v>1978</v>
      </c>
      <c r="BD1705" t="s">
        <v>90</v>
      </c>
    </row>
    <row r="1706" spans="1:56" x14ac:dyDescent="0.35">
      <c r="A1706">
        <v>143339</v>
      </c>
      <c r="B1706" t="s">
        <v>1301</v>
      </c>
      <c r="D1706" t="s">
        <v>85</v>
      </c>
      <c r="E1706" t="s">
        <v>86</v>
      </c>
      <c r="F1706" t="s">
        <v>58</v>
      </c>
      <c r="G1706" t="s">
        <v>59</v>
      </c>
      <c r="H1706" t="s">
        <v>60</v>
      </c>
      <c r="I1706" t="s">
        <v>129</v>
      </c>
      <c r="J1706" t="s">
        <v>86</v>
      </c>
      <c r="L1706" t="s">
        <v>74</v>
      </c>
      <c r="M1706" t="s">
        <v>63</v>
      </c>
      <c r="N1706" t="s">
        <v>64</v>
      </c>
      <c r="P1706" t="s">
        <v>201</v>
      </c>
      <c r="R1706">
        <v>0.106</v>
      </c>
      <c r="T1706">
        <v>8.7900000000000006E-2</v>
      </c>
      <c r="V1706">
        <v>0.129</v>
      </c>
      <c r="W1706" t="s">
        <v>66</v>
      </c>
      <c r="X1706" t="s">
        <v>67</v>
      </c>
      <c r="Y1706" t="s">
        <v>67</v>
      </c>
      <c r="Z1706" t="s">
        <v>68</v>
      </c>
      <c r="AB1706">
        <v>4</v>
      </c>
      <c r="AC1706" t="s">
        <v>61</v>
      </c>
      <c r="AJ1706" t="s">
        <v>69</v>
      </c>
      <c r="AY1706" t="s">
        <v>1307</v>
      </c>
      <c r="AZ1706">
        <v>520</v>
      </c>
      <c r="BA1706" t="s">
        <v>1308</v>
      </c>
      <c r="BB1706" t="s">
        <v>1309</v>
      </c>
      <c r="BC1706">
        <v>1978</v>
      </c>
      <c r="BD1706" t="s">
        <v>90</v>
      </c>
    </row>
    <row r="1707" spans="1:56" x14ac:dyDescent="0.35">
      <c r="A1707">
        <v>143339</v>
      </c>
      <c r="B1707" t="s">
        <v>1301</v>
      </c>
      <c r="D1707" t="s">
        <v>85</v>
      </c>
      <c r="E1707" t="s">
        <v>86</v>
      </c>
      <c r="F1707" t="s">
        <v>58</v>
      </c>
      <c r="G1707" t="s">
        <v>59</v>
      </c>
      <c r="H1707" t="s">
        <v>60</v>
      </c>
      <c r="I1707" t="s">
        <v>129</v>
      </c>
      <c r="J1707" t="s">
        <v>86</v>
      </c>
      <c r="L1707" t="s">
        <v>74</v>
      </c>
      <c r="M1707" t="s">
        <v>63</v>
      </c>
      <c r="N1707" t="s">
        <v>64</v>
      </c>
      <c r="P1707" t="s">
        <v>201</v>
      </c>
      <c r="R1707">
        <v>0.16</v>
      </c>
      <c r="T1707">
        <v>0.14000000000000001</v>
      </c>
      <c r="V1707">
        <v>0.182</v>
      </c>
      <c r="W1707" t="s">
        <v>66</v>
      </c>
      <c r="X1707" t="s">
        <v>67</v>
      </c>
      <c r="Y1707" t="s">
        <v>67</v>
      </c>
      <c r="Z1707" t="s">
        <v>68</v>
      </c>
      <c r="AB1707">
        <v>4</v>
      </c>
      <c r="AC1707" t="s">
        <v>61</v>
      </c>
      <c r="AJ1707" t="s">
        <v>69</v>
      </c>
      <c r="AY1707" t="s">
        <v>1307</v>
      </c>
      <c r="AZ1707">
        <v>520</v>
      </c>
      <c r="BA1707" t="s">
        <v>1308</v>
      </c>
      <c r="BB1707" t="s">
        <v>1309</v>
      </c>
      <c r="BC1707">
        <v>1978</v>
      </c>
      <c r="BD1707" t="s">
        <v>90</v>
      </c>
    </row>
    <row r="1708" spans="1:56" x14ac:dyDescent="0.35">
      <c r="A1708">
        <v>143339</v>
      </c>
      <c r="B1708" t="s">
        <v>1301</v>
      </c>
      <c r="D1708" t="s">
        <v>85</v>
      </c>
      <c r="E1708" t="s">
        <v>86</v>
      </c>
      <c r="F1708" t="s">
        <v>58</v>
      </c>
      <c r="G1708" t="s">
        <v>59</v>
      </c>
      <c r="H1708" t="s">
        <v>60</v>
      </c>
      <c r="I1708" t="s">
        <v>186</v>
      </c>
      <c r="J1708" t="s">
        <v>86</v>
      </c>
      <c r="L1708" t="s">
        <v>74</v>
      </c>
      <c r="M1708" t="s">
        <v>63</v>
      </c>
      <c r="N1708" t="s">
        <v>64</v>
      </c>
      <c r="P1708" t="s">
        <v>201</v>
      </c>
      <c r="R1708">
        <v>0.35199999999999998</v>
      </c>
      <c r="T1708">
        <v>0.27400000000000002</v>
      </c>
      <c r="V1708">
        <v>0.45300000000000001</v>
      </c>
      <c r="W1708" t="s">
        <v>66</v>
      </c>
      <c r="X1708" t="s">
        <v>67</v>
      </c>
      <c r="Y1708" t="s">
        <v>67</v>
      </c>
      <c r="Z1708" t="s">
        <v>68</v>
      </c>
      <c r="AB1708">
        <v>4</v>
      </c>
      <c r="AC1708" t="s">
        <v>61</v>
      </c>
      <c r="AJ1708" t="s">
        <v>69</v>
      </c>
      <c r="AY1708" t="s">
        <v>1307</v>
      </c>
      <c r="AZ1708">
        <v>520</v>
      </c>
      <c r="BA1708" t="s">
        <v>1308</v>
      </c>
      <c r="BB1708" t="s">
        <v>1309</v>
      </c>
      <c r="BC1708">
        <v>1978</v>
      </c>
      <c r="BD1708" t="s">
        <v>90</v>
      </c>
    </row>
    <row r="1709" spans="1:56" x14ac:dyDescent="0.35">
      <c r="A1709">
        <v>143339</v>
      </c>
      <c r="B1709" t="s">
        <v>1301</v>
      </c>
      <c r="C1709" t="s">
        <v>195</v>
      </c>
      <c r="D1709" t="s">
        <v>57</v>
      </c>
      <c r="E1709" t="s">
        <v>86</v>
      </c>
      <c r="F1709" t="s">
        <v>58</v>
      </c>
      <c r="G1709" t="s">
        <v>59</v>
      </c>
      <c r="H1709" t="s">
        <v>60</v>
      </c>
      <c r="I1709" t="s">
        <v>129</v>
      </c>
      <c r="J1709">
        <v>13</v>
      </c>
      <c r="K1709" t="s">
        <v>196</v>
      </c>
      <c r="L1709" t="s">
        <v>74</v>
      </c>
      <c r="M1709" t="s">
        <v>63</v>
      </c>
      <c r="N1709" t="s">
        <v>64</v>
      </c>
      <c r="O1709">
        <v>5</v>
      </c>
      <c r="P1709" t="s">
        <v>1302</v>
      </c>
      <c r="R1709">
        <v>0.13300000000000001</v>
      </c>
      <c r="T1709">
        <v>0.128</v>
      </c>
      <c r="V1709">
        <v>0.13800000000000001</v>
      </c>
      <c r="W1709" t="s">
        <v>66</v>
      </c>
      <c r="X1709" t="s">
        <v>67</v>
      </c>
      <c r="Y1709" t="s">
        <v>67</v>
      </c>
      <c r="Z1709" t="s">
        <v>68</v>
      </c>
      <c r="AB1709">
        <v>4</v>
      </c>
      <c r="AC1709" t="s">
        <v>61</v>
      </c>
      <c r="AJ1709" t="s">
        <v>69</v>
      </c>
      <c r="AQ1709" t="s">
        <v>69</v>
      </c>
      <c r="AY1709" t="s">
        <v>1303</v>
      </c>
      <c r="AZ1709">
        <v>20219</v>
      </c>
      <c r="BA1709" t="s">
        <v>1304</v>
      </c>
      <c r="BB1709" t="s">
        <v>1305</v>
      </c>
      <c r="BC1709">
        <v>1977</v>
      </c>
      <c r="BD1709" t="s">
        <v>1320</v>
      </c>
    </row>
    <row r="1710" spans="1:56" x14ac:dyDescent="0.35">
      <c r="A1710">
        <v>143339</v>
      </c>
      <c r="B1710" t="s">
        <v>1301</v>
      </c>
      <c r="D1710" t="s">
        <v>85</v>
      </c>
      <c r="E1710" t="s">
        <v>86</v>
      </c>
      <c r="F1710" t="s">
        <v>58</v>
      </c>
      <c r="G1710" t="s">
        <v>59</v>
      </c>
      <c r="H1710" t="s">
        <v>60</v>
      </c>
      <c r="I1710" t="s">
        <v>186</v>
      </c>
      <c r="J1710" t="s">
        <v>86</v>
      </c>
      <c r="L1710" t="s">
        <v>74</v>
      </c>
      <c r="M1710" t="s">
        <v>63</v>
      </c>
      <c r="N1710" t="s">
        <v>64</v>
      </c>
      <c r="P1710" t="s">
        <v>201</v>
      </c>
      <c r="R1710">
        <v>0.184</v>
      </c>
      <c r="T1710">
        <v>0.115</v>
      </c>
      <c r="V1710">
        <v>0.29299999999999998</v>
      </c>
      <c r="W1710" t="s">
        <v>66</v>
      </c>
      <c r="X1710" t="s">
        <v>67</v>
      </c>
      <c r="Y1710" t="s">
        <v>67</v>
      </c>
      <c r="Z1710" t="s">
        <v>68</v>
      </c>
      <c r="AB1710">
        <v>4</v>
      </c>
      <c r="AC1710" t="s">
        <v>61</v>
      </c>
      <c r="AJ1710" t="s">
        <v>69</v>
      </c>
      <c r="AY1710" t="s">
        <v>1307</v>
      </c>
      <c r="AZ1710">
        <v>520</v>
      </c>
      <c r="BA1710" t="s">
        <v>1308</v>
      </c>
      <c r="BB1710" t="s">
        <v>1309</v>
      </c>
      <c r="BC1710">
        <v>1978</v>
      </c>
      <c r="BD1710" t="s">
        <v>90</v>
      </c>
    </row>
    <row r="1711" spans="1:56" x14ac:dyDescent="0.35">
      <c r="A1711">
        <v>143339</v>
      </c>
      <c r="B1711" t="s">
        <v>1301</v>
      </c>
      <c r="D1711" t="s">
        <v>85</v>
      </c>
      <c r="E1711" t="s">
        <v>86</v>
      </c>
      <c r="F1711" t="s">
        <v>58</v>
      </c>
      <c r="G1711" t="s">
        <v>59</v>
      </c>
      <c r="H1711" t="s">
        <v>60</v>
      </c>
      <c r="I1711" t="s">
        <v>129</v>
      </c>
      <c r="J1711" t="s">
        <v>86</v>
      </c>
      <c r="L1711" t="s">
        <v>74</v>
      </c>
      <c r="M1711" t="s">
        <v>63</v>
      </c>
      <c r="N1711" t="s">
        <v>64</v>
      </c>
      <c r="P1711" t="s">
        <v>201</v>
      </c>
      <c r="R1711">
        <v>0.121</v>
      </c>
      <c r="T1711">
        <v>0.11600000000000001</v>
      </c>
      <c r="V1711">
        <v>0.125</v>
      </c>
      <c r="W1711" t="s">
        <v>66</v>
      </c>
      <c r="X1711" t="s">
        <v>67</v>
      </c>
      <c r="Y1711" t="s">
        <v>67</v>
      </c>
      <c r="Z1711" t="s">
        <v>68</v>
      </c>
      <c r="AB1711">
        <v>4</v>
      </c>
      <c r="AC1711" t="s">
        <v>61</v>
      </c>
      <c r="AJ1711" t="s">
        <v>69</v>
      </c>
      <c r="AY1711" t="s">
        <v>1307</v>
      </c>
      <c r="AZ1711">
        <v>520</v>
      </c>
      <c r="BA1711" t="s">
        <v>1308</v>
      </c>
      <c r="BB1711" t="s">
        <v>1309</v>
      </c>
      <c r="BC1711">
        <v>1978</v>
      </c>
      <c r="BD1711" t="s">
        <v>90</v>
      </c>
    </row>
    <row r="1712" spans="1:56" x14ac:dyDescent="0.35">
      <c r="A1712">
        <v>143339</v>
      </c>
      <c r="B1712" t="s">
        <v>1301</v>
      </c>
      <c r="D1712" t="s">
        <v>85</v>
      </c>
      <c r="E1712" t="s">
        <v>86</v>
      </c>
      <c r="F1712" t="s">
        <v>58</v>
      </c>
      <c r="G1712" t="s">
        <v>59</v>
      </c>
      <c r="H1712" t="s">
        <v>60</v>
      </c>
      <c r="I1712" t="s">
        <v>186</v>
      </c>
      <c r="J1712" t="s">
        <v>86</v>
      </c>
      <c r="L1712" t="s">
        <v>74</v>
      </c>
      <c r="M1712" t="s">
        <v>63</v>
      </c>
      <c r="N1712" t="s">
        <v>64</v>
      </c>
      <c r="P1712" t="s">
        <v>201</v>
      </c>
      <c r="R1712">
        <v>0.20200000000000001</v>
      </c>
      <c r="T1712">
        <v>0.13</v>
      </c>
      <c r="V1712">
        <v>0.314</v>
      </c>
      <c r="W1712" t="s">
        <v>66</v>
      </c>
      <c r="X1712" t="s">
        <v>67</v>
      </c>
      <c r="Y1712" t="s">
        <v>67</v>
      </c>
      <c r="Z1712" t="s">
        <v>68</v>
      </c>
      <c r="AB1712">
        <v>4</v>
      </c>
      <c r="AC1712" t="s">
        <v>61</v>
      </c>
      <c r="AJ1712" t="s">
        <v>69</v>
      </c>
      <c r="AY1712" t="s">
        <v>1307</v>
      </c>
      <c r="AZ1712">
        <v>520</v>
      </c>
      <c r="BA1712" t="s">
        <v>1308</v>
      </c>
      <c r="BB1712" t="s">
        <v>1309</v>
      </c>
      <c r="BC1712">
        <v>1978</v>
      </c>
      <c r="BD1712" t="s">
        <v>90</v>
      </c>
    </row>
    <row r="1713" spans="1:56" x14ac:dyDescent="0.35">
      <c r="A1713">
        <v>143339</v>
      </c>
      <c r="B1713" t="s">
        <v>1301</v>
      </c>
      <c r="D1713" t="s">
        <v>85</v>
      </c>
      <c r="E1713" t="s">
        <v>86</v>
      </c>
      <c r="F1713" t="s">
        <v>58</v>
      </c>
      <c r="G1713" t="s">
        <v>59</v>
      </c>
      <c r="H1713" t="s">
        <v>60</v>
      </c>
      <c r="I1713" t="s">
        <v>129</v>
      </c>
      <c r="J1713" t="s">
        <v>86</v>
      </c>
      <c r="L1713" t="s">
        <v>74</v>
      </c>
      <c r="M1713" t="s">
        <v>63</v>
      </c>
      <c r="N1713" t="s">
        <v>64</v>
      </c>
      <c r="P1713" t="s">
        <v>201</v>
      </c>
      <c r="R1713">
        <v>0.17399999999999999</v>
      </c>
      <c r="T1713">
        <v>0.158</v>
      </c>
      <c r="V1713">
        <v>0.192</v>
      </c>
      <c r="W1713" t="s">
        <v>66</v>
      </c>
      <c r="X1713" t="s">
        <v>67</v>
      </c>
      <c r="Y1713" t="s">
        <v>67</v>
      </c>
      <c r="Z1713" t="s">
        <v>68</v>
      </c>
      <c r="AB1713">
        <v>4</v>
      </c>
      <c r="AC1713" t="s">
        <v>61</v>
      </c>
      <c r="AJ1713" t="s">
        <v>69</v>
      </c>
      <c r="AY1713" t="s">
        <v>1307</v>
      </c>
      <c r="AZ1713">
        <v>520</v>
      </c>
      <c r="BA1713" t="s">
        <v>1308</v>
      </c>
      <c r="BB1713" t="s">
        <v>1309</v>
      </c>
      <c r="BC1713">
        <v>1978</v>
      </c>
      <c r="BD1713" t="s">
        <v>90</v>
      </c>
    </row>
    <row r="1714" spans="1:56" x14ac:dyDescent="0.35">
      <c r="A1714">
        <v>143500</v>
      </c>
      <c r="B1714" t="s">
        <v>1321</v>
      </c>
      <c r="E1714">
        <v>94</v>
      </c>
      <c r="F1714" t="s">
        <v>58</v>
      </c>
      <c r="G1714" t="s">
        <v>59</v>
      </c>
      <c r="H1714" t="s">
        <v>60</v>
      </c>
      <c r="J1714" t="s">
        <v>86</v>
      </c>
      <c r="L1714" t="s">
        <v>74</v>
      </c>
      <c r="M1714" t="s">
        <v>63</v>
      </c>
      <c r="N1714" t="s">
        <v>64</v>
      </c>
      <c r="P1714" t="s">
        <v>65</v>
      </c>
      <c r="R1714">
        <v>0.34</v>
      </c>
      <c r="T1714">
        <v>0.28899999999999998</v>
      </c>
      <c r="V1714">
        <v>0.4</v>
      </c>
      <c r="W1714" t="s">
        <v>66</v>
      </c>
      <c r="X1714" t="s">
        <v>67</v>
      </c>
      <c r="Y1714" t="s">
        <v>67</v>
      </c>
      <c r="Z1714" t="s">
        <v>68</v>
      </c>
      <c r="AB1714">
        <v>4</v>
      </c>
      <c r="AC1714" t="s">
        <v>61</v>
      </c>
      <c r="AJ1714" t="s">
        <v>69</v>
      </c>
      <c r="AY1714" t="s">
        <v>96</v>
      </c>
      <c r="AZ1714">
        <v>6797</v>
      </c>
      <c r="BA1714" t="s">
        <v>97</v>
      </c>
      <c r="BB1714" t="s">
        <v>98</v>
      </c>
      <c r="BC1714">
        <v>1986</v>
      </c>
      <c r="BD1714" t="s">
        <v>90</v>
      </c>
    </row>
    <row r="1715" spans="1:56" x14ac:dyDescent="0.35">
      <c r="A1715">
        <v>143500</v>
      </c>
      <c r="B1715" t="s">
        <v>1321</v>
      </c>
      <c r="E1715">
        <v>94</v>
      </c>
      <c r="F1715" t="s">
        <v>58</v>
      </c>
      <c r="G1715" t="s">
        <v>59</v>
      </c>
      <c r="H1715" t="s">
        <v>60</v>
      </c>
      <c r="J1715" t="s">
        <v>86</v>
      </c>
      <c r="L1715" t="s">
        <v>62</v>
      </c>
      <c r="M1715" t="s">
        <v>63</v>
      </c>
      <c r="N1715" t="s">
        <v>64</v>
      </c>
      <c r="P1715" t="s">
        <v>65</v>
      </c>
      <c r="R1715">
        <v>0.42</v>
      </c>
      <c r="T1715">
        <v>0.373</v>
      </c>
      <c r="V1715">
        <v>0.47299999999999998</v>
      </c>
      <c r="W1715" t="s">
        <v>66</v>
      </c>
      <c r="X1715" t="s">
        <v>67</v>
      </c>
      <c r="Y1715" t="s">
        <v>67</v>
      </c>
      <c r="Z1715" t="s">
        <v>68</v>
      </c>
      <c r="AB1715">
        <v>4</v>
      </c>
      <c r="AC1715" t="s">
        <v>61</v>
      </c>
      <c r="AJ1715" t="s">
        <v>69</v>
      </c>
      <c r="AY1715" t="s">
        <v>96</v>
      </c>
      <c r="AZ1715">
        <v>6797</v>
      </c>
      <c r="BA1715" t="s">
        <v>97</v>
      </c>
      <c r="BB1715" t="s">
        <v>98</v>
      </c>
      <c r="BC1715">
        <v>1986</v>
      </c>
      <c r="BD1715" t="s">
        <v>90</v>
      </c>
    </row>
    <row r="1716" spans="1:56" x14ac:dyDescent="0.35">
      <c r="A1716">
        <v>143500</v>
      </c>
      <c r="B1716" t="s">
        <v>1321</v>
      </c>
      <c r="C1716" t="s">
        <v>91</v>
      </c>
      <c r="D1716" t="s">
        <v>57</v>
      </c>
      <c r="E1716">
        <v>94.1</v>
      </c>
      <c r="F1716" t="s">
        <v>58</v>
      </c>
      <c r="G1716" t="s">
        <v>59</v>
      </c>
      <c r="H1716" t="s">
        <v>60</v>
      </c>
      <c r="I1716" t="s">
        <v>211</v>
      </c>
      <c r="J1716">
        <v>120</v>
      </c>
      <c r="K1716" t="s">
        <v>61</v>
      </c>
      <c r="L1716" t="s">
        <v>74</v>
      </c>
      <c r="M1716" t="s">
        <v>63</v>
      </c>
      <c r="N1716" t="s">
        <v>64</v>
      </c>
      <c r="P1716" t="s">
        <v>65</v>
      </c>
      <c r="R1716">
        <v>0.34</v>
      </c>
      <c r="T1716">
        <v>0.28899999999999998</v>
      </c>
      <c r="V1716">
        <v>0.4</v>
      </c>
      <c r="W1716" t="s">
        <v>66</v>
      </c>
      <c r="X1716" t="s">
        <v>67</v>
      </c>
      <c r="Y1716" t="s">
        <v>67</v>
      </c>
      <c r="Z1716" t="s">
        <v>68</v>
      </c>
      <c r="AB1716">
        <v>4</v>
      </c>
      <c r="AC1716" t="s">
        <v>61</v>
      </c>
      <c r="AJ1716" t="s">
        <v>69</v>
      </c>
      <c r="AY1716" t="s">
        <v>1322</v>
      </c>
      <c r="AZ1716">
        <v>2186</v>
      </c>
      <c r="BA1716" t="s">
        <v>1323</v>
      </c>
      <c r="BB1716" t="s">
        <v>1324</v>
      </c>
      <c r="BC1716">
        <v>1981</v>
      </c>
      <c r="BD1716" t="s">
        <v>73</v>
      </c>
    </row>
    <row r="1717" spans="1:56" x14ac:dyDescent="0.35">
      <c r="A1717">
        <v>143500</v>
      </c>
      <c r="B1717" t="s">
        <v>1321</v>
      </c>
      <c r="C1717" t="s">
        <v>91</v>
      </c>
      <c r="D1717" t="s">
        <v>57</v>
      </c>
      <c r="E1717">
        <v>94.1</v>
      </c>
      <c r="F1717" t="s">
        <v>58</v>
      </c>
      <c r="G1717" t="s">
        <v>59</v>
      </c>
      <c r="H1717" t="s">
        <v>60</v>
      </c>
      <c r="I1717" t="s">
        <v>177</v>
      </c>
      <c r="J1717">
        <v>30</v>
      </c>
      <c r="K1717" t="s">
        <v>61</v>
      </c>
      <c r="L1717" t="s">
        <v>62</v>
      </c>
      <c r="M1717" t="s">
        <v>63</v>
      </c>
      <c r="N1717" t="s">
        <v>64</v>
      </c>
      <c r="P1717" t="s">
        <v>65</v>
      </c>
      <c r="R1717">
        <v>0.42</v>
      </c>
      <c r="T1717">
        <v>0.373</v>
      </c>
      <c r="V1717">
        <v>0.47299999999999998</v>
      </c>
      <c r="W1717" t="s">
        <v>66</v>
      </c>
      <c r="X1717" t="s">
        <v>67</v>
      </c>
      <c r="Y1717" t="s">
        <v>67</v>
      </c>
      <c r="Z1717" t="s">
        <v>68</v>
      </c>
      <c r="AB1717">
        <v>4</v>
      </c>
      <c r="AC1717" t="s">
        <v>61</v>
      </c>
      <c r="AJ1717" t="s">
        <v>69</v>
      </c>
      <c r="AY1717" t="s">
        <v>1322</v>
      </c>
      <c r="AZ1717">
        <v>2186</v>
      </c>
      <c r="BA1717" t="s">
        <v>1323</v>
      </c>
      <c r="BB1717" t="s">
        <v>1324</v>
      </c>
      <c r="BC1717">
        <v>1981</v>
      </c>
      <c r="BD1717" t="s">
        <v>73</v>
      </c>
    </row>
    <row r="1718" spans="1:56" x14ac:dyDescent="0.35">
      <c r="A1718">
        <v>145733</v>
      </c>
      <c r="B1718" t="s">
        <v>1325</v>
      </c>
      <c r="D1718" t="s">
        <v>85</v>
      </c>
      <c r="E1718">
        <v>19.2</v>
      </c>
      <c r="F1718" t="s">
        <v>58</v>
      </c>
      <c r="G1718" t="s">
        <v>59</v>
      </c>
      <c r="H1718" t="s">
        <v>60</v>
      </c>
      <c r="J1718" t="s">
        <v>86</v>
      </c>
      <c r="L1718" t="s">
        <v>62</v>
      </c>
      <c r="M1718" t="s">
        <v>63</v>
      </c>
      <c r="N1718" t="s">
        <v>64</v>
      </c>
      <c r="P1718" t="s">
        <v>65</v>
      </c>
      <c r="R1718">
        <v>320</v>
      </c>
      <c r="W1718" t="s">
        <v>66</v>
      </c>
      <c r="X1718" t="s">
        <v>67</v>
      </c>
      <c r="Y1718" t="s">
        <v>67</v>
      </c>
      <c r="Z1718" t="s">
        <v>68</v>
      </c>
      <c r="AB1718">
        <v>4</v>
      </c>
      <c r="AC1718" t="s">
        <v>61</v>
      </c>
      <c r="AJ1718" t="s">
        <v>69</v>
      </c>
      <c r="AY1718" t="s">
        <v>648</v>
      </c>
      <c r="AZ1718">
        <v>892</v>
      </c>
      <c r="BA1718" t="s">
        <v>649</v>
      </c>
      <c r="BB1718" t="s">
        <v>650</v>
      </c>
      <c r="BC1718">
        <v>1962</v>
      </c>
      <c r="BD1718" t="s">
        <v>90</v>
      </c>
    </row>
    <row r="1719" spans="1:56" x14ac:dyDescent="0.35">
      <c r="A1719">
        <v>145733</v>
      </c>
      <c r="B1719" t="s">
        <v>1325</v>
      </c>
      <c r="D1719" t="s">
        <v>85</v>
      </c>
      <c r="E1719" t="s">
        <v>86</v>
      </c>
      <c r="F1719" t="s">
        <v>58</v>
      </c>
      <c r="G1719" t="s">
        <v>59</v>
      </c>
      <c r="H1719" t="s">
        <v>60</v>
      </c>
      <c r="J1719" t="s">
        <v>86</v>
      </c>
      <c r="M1719" t="s">
        <v>63</v>
      </c>
      <c r="N1719" t="s">
        <v>64</v>
      </c>
      <c r="P1719" t="s">
        <v>100</v>
      </c>
      <c r="R1719">
        <v>320</v>
      </c>
      <c r="W1719" t="s">
        <v>66</v>
      </c>
      <c r="X1719" t="s">
        <v>67</v>
      </c>
      <c r="Y1719" t="s">
        <v>67</v>
      </c>
      <c r="Z1719" t="s">
        <v>68</v>
      </c>
      <c r="AB1719">
        <v>4</v>
      </c>
      <c r="AC1719" t="s">
        <v>61</v>
      </c>
      <c r="AJ1719" t="s">
        <v>69</v>
      </c>
      <c r="AY1719" t="s">
        <v>101</v>
      </c>
      <c r="AZ1719">
        <v>70421</v>
      </c>
      <c r="BA1719" t="s">
        <v>102</v>
      </c>
      <c r="BB1719" t="s">
        <v>103</v>
      </c>
      <c r="BC1719">
        <v>1974</v>
      </c>
      <c r="BD1719" t="s">
        <v>90</v>
      </c>
    </row>
    <row r="1720" spans="1:56" x14ac:dyDescent="0.35">
      <c r="A1720">
        <v>145733</v>
      </c>
      <c r="B1720" t="s">
        <v>1325</v>
      </c>
      <c r="D1720" t="s">
        <v>85</v>
      </c>
      <c r="E1720">
        <v>19.2</v>
      </c>
      <c r="F1720" t="s">
        <v>58</v>
      </c>
      <c r="G1720" t="s">
        <v>59</v>
      </c>
      <c r="H1720" t="s">
        <v>60</v>
      </c>
      <c r="J1720" t="s">
        <v>86</v>
      </c>
      <c r="L1720" t="s">
        <v>62</v>
      </c>
      <c r="M1720" t="s">
        <v>63</v>
      </c>
      <c r="N1720" t="s">
        <v>64</v>
      </c>
      <c r="P1720" t="s">
        <v>65</v>
      </c>
      <c r="R1720">
        <v>610</v>
      </c>
      <c r="W1720" t="s">
        <v>66</v>
      </c>
      <c r="X1720" t="s">
        <v>67</v>
      </c>
      <c r="Y1720" t="s">
        <v>67</v>
      </c>
      <c r="Z1720" t="s">
        <v>68</v>
      </c>
      <c r="AB1720">
        <v>4</v>
      </c>
      <c r="AC1720" t="s">
        <v>61</v>
      </c>
      <c r="AJ1720" t="s">
        <v>69</v>
      </c>
      <c r="AY1720" t="s">
        <v>648</v>
      </c>
      <c r="AZ1720">
        <v>892</v>
      </c>
      <c r="BA1720" t="s">
        <v>649</v>
      </c>
      <c r="BB1720" t="s">
        <v>650</v>
      </c>
      <c r="BC1720">
        <v>1962</v>
      </c>
      <c r="BD1720" t="s">
        <v>90</v>
      </c>
    </row>
    <row r="1721" spans="1:56" x14ac:dyDescent="0.35">
      <c r="A1721">
        <v>148538</v>
      </c>
      <c r="B1721" t="s">
        <v>1326</v>
      </c>
      <c r="D1721" t="s">
        <v>57</v>
      </c>
      <c r="E1721" t="s">
        <v>79</v>
      </c>
      <c r="F1721" t="s">
        <v>58</v>
      </c>
      <c r="G1721" t="s">
        <v>59</v>
      </c>
      <c r="H1721" t="s">
        <v>60</v>
      </c>
      <c r="J1721">
        <v>31</v>
      </c>
      <c r="K1721" t="s">
        <v>61</v>
      </c>
      <c r="L1721" t="s">
        <v>74</v>
      </c>
      <c r="M1721" t="s">
        <v>63</v>
      </c>
      <c r="N1721" t="s">
        <v>64</v>
      </c>
      <c r="P1721" t="s">
        <v>65</v>
      </c>
      <c r="R1721">
        <v>2.2000000000000002</v>
      </c>
      <c r="T1721">
        <v>1.9</v>
      </c>
      <c r="V1721">
        <v>2.5</v>
      </c>
      <c r="W1721" t="s">
        <v>66</v>
      </c>
      <c r="X1721" t="s">
        <v>67</v>
      </c>
      <c r="Y1721" t="s">
        <v>67</v>
      </c>
      <c r="Z1721" t="s">
        <v>68</v>
      </c>
      <c r="AB1721">
        <v>4</v>
      </c>
      <c r="AC1721" t="s">
        <v>61</v>
      </c>
      <c r="AJ1721" t="s">
        <v>69</v>
      </c>
      <c r="AY1721" t="s">
        <v>286</v>
      </c>
      <c r="AZ1721">
        <v>12448</v>
      </c>
      <c r="BA1721" t="s">
        <v>287</v>
      </c>
      <c r="BB1721" t="s">
        <v>288</v>
      </c>
      <c r="BC1721">
        <v>1984</v>
      </c>
      <c r="BD1721" t="s">
        <v>73</v>
      </c>
    </row>
    <row r="1722" spans="1:56" x14ac:dyDescent="0.35">
      <c r="A1722">
        <v>148538</v>
      </c>
      <c r="B1722" t="s">
        <v>1326</v>
      </c>
      <c r="D1722" t="s">
        <v>57</v>
      </c>
      <c r="E1722" t="s">
        <v>128</v>
      </c>
      <c r="F1722" t="s">
        <v>58</v>
      </c>
      <c r="G1722" t="s">
        <v>59</v>
      </c>
      <c r="H1722" t="s">
        <v>60</v>
      </c>
      <c r="I1722" t="s">
        <v>129</v>
      </c>
      <c r="J1722" t="s">
        <v>86</v>
      </c>
      <c r="K1722" t="s">
        <v>61</v>
      </c>
      <c r="L1722" t="s">
        <v>74</v>
      </c>
      <c r="M1722" t="s">
        <v>63</v>
      </c>
      <c r="N1722" t="s">
        <v>64</v>
      </c>
      <c r="P1722" t="s">
        <v>65</v>
      </c>
      <c r="R1722">
        <v>5.48</v>
      </c>
      <c r="W1722" t="s">
        <v>66</v>
      </c>
      <c r="X1722" t="s">
        <v>67</v>
      </c>
      <c r="Y1722" t="s">
        <v>67</v>
      </c>
      <c r="Z1722" t="s">
        <v>68</v>
      </c>
      <c r="AB1722">
        <v>4</v>
      </c>
      <c r="AC1722" t="s">
        <v>61</v>
      </c>
      <c r="AJ1722" t="s">
        <v>69</v>
      </c>
      <c r="AY1722" t="s">
        <v>134</v>
      </c>
      <c r="AZ1722">
        <v>15031</v>
      </c>
      <c r="BA1722" t="s">
        <v>135</v>
      </c>
      <c r="BB1722" t="s">
        <v>136</v>
      </c>
      <c r="BC1722">
        <v>1995</v>
      </c>
      <c r="BD1722" t="s">
        <v>133</v>
      </c>
    </row>
    <row r="1723" spans="1:56" x14ac:dyDescent="0.35">
      <c r="A1723">
        <v>148538</v>
      </c>
      <c r="B1723" t="s">
        <v>1326</v>
      </c>
      <c r="D1723" t="s">
        <v>57</v>
      </c>
      <c r="E1723" t="s">
        <v>810</v>
      </c>
      <c r="F1723" t="s">
        <v>58</v>
      </c>
      <c r="G1723" t="s">
        <v>59</v>
      </c>
      <c r="H1723" t="s">
        <v>60</v>
      </c>
      <c r="J1723">
        <v>31</v>
      </c>
      <c r="K1723" t="s">
        <v>61</v>
      </c>
      <c r="L1723" t="s">
        <v>74</v>
      </c>
      <c r="M1723" t="s">
        <v>63</v>
      </c>
      <c r="N1723" t="s">
        <v>64</v>
      </c>
      <c r="P1723" t="s">
        <v>65</v>
      </c>
      <c r="R1723">
        <v>2.6</v>
      </c>
      <c r="T1723">
        <v>2.4</v>
      </c>
      <c r="V1723">
        <v>3</v>
      </c>
      <c r="W1723" t="s">
        <v>66</v>
      </c>
      <c r="X1723" t="s">
        <v>67</v>
      </c>
      <c r="Y1723" t="s">
        <v>67</v>
      </c>
      <c r="Z1723" t="s">
        <v>68</v>
      </c>
      <c r="AB1723">
        <v>4</v>
      </c>
      <c r="AC1723" t="s">
        <v>61</v>
      </c>
      <c r="AJ1723" t="s">
        <v>69</v>
      </c>
      <c r="AY1723" t="s">
        <v>286</v>
      </c>
      <c r="AZ1723">
        <v>12448</v>
      </c>
      <c r="BA1723" t="s">
        <v>287</v>
      </c>
      <c r="BB1723" t="s">
        <v>288</v>
      </c>
      <c r="BC1723">
        <v>1984</v>
      </c>
      <c r="BD1723" t="s">
        <v>73</v>
      </c>
    </row>
    <row r="1724" spans="1:56" x14ac:dyDescent="0.35">
      <c r="A1724">
        <v>149304</v>
      </c>
      <c r="B1724" t="s">
        <v>1327</v>
      </c>
      <c r="D1724" t="s">
        <v>85</v>
      </c>
      <c r="E1724" t="s">
        <v>79</v>
      </c>
      <c r="F1724" t="s">
        <v>58</v>
      </c>
      <c r="G1724" t="s">
        <v>59</v>
      </c>
      <c r="H1724" t="s">
        <v>60</v>
      </c>
      <c r="J1724" t="s">
        <v>86</v>
      </c>
      <c r="L1724" t="s">
        <v>62</v>
      </c>
      <c r="M1724" t="s">
        <v>63</v>
      </c>
      <c r="N1724" t="s">
        <v>64</v>
      </c>
      <c r="O1724">
        <v>7</v>
      </c>
      <c r="P1724" t="s">
        <v>65</v>
      </c>
      <c r="R1724">
        <v>11</v>
      </c>
      <c r="T1724">
        <v>8.3000000000000007</v>
      </c>
      <c r="V1724">
        <v>15</v>
      </c>
      <c r="W1724" t="s">
        <v>66</v>
      </c>
      <c r="X1724" t="s">
        <v>67</v>
      </c>
      <c r="Y1724" t="s">
        <v>67</v>
      </c>
      <c r="Z1724" t="s">
        <v>68</v>
      </c>
      <c r="AB1724">
        <v>4</v>
      </c>
      <c r="AC1724" t="s">
        <v>61</v>
      </c>
      <c r="AJ1724" t="s">
        <v>69</v>
      </c>
      <c r="AY1724" t="s">
        <v>834</v>
      </c>
      <c r="AZ1724">
        <v>112108</v>
      </c>
      <c r="BA1724" t="s">
        <v>1328</v>
      </c>
      <c r="BB1724" t="s">
        <v>1329</v>
      </c>
      <c r="BC1724">
        <v>1985</v>
      </c>
      <c r="BD1724" t="s">
        <v>90</v>
      </c>
    </row>
    <row r="1725" spans="1:56" x14ac:dyDescent="0.35">
      <c r="A1725">
        <v>149304</v>
      </c>
      <c r="B1725" t="s">
        <v>1327</v>
      </c>
      <c r="D1725" t="s">
        <v>85</v>
      </c>
      <c r="E1725" t="s">
        <v>86</v>
      </c>
      <c r="F1725" t="s">
        <v>58</v>
      </c>
      <c r="G1725" t="s">
        <v>59</v>
      </c>
      <c r="H1725" t="s">
        <v>60</v>
      </c>
      <c r="I1725" t="s">
        <v>177</v>
      </c>
      <c r="J1725" t="s">
        <v>86</v>
      </c>
      <c r="K1725" t="s">
        <v>61</v>
      </c>
      <c r="L1725" t="s">
        <v>190</v>
      </c>
      <c r="M1725" t="s">
        <v>63</v>
      </c>
      <c r="N1725" t="s">
        <v>64</v>
      </c>
      <c r="O1725">
        <v>8</v>
      </c>
      <c r="P1725" t="s">
        <v>100</v>
      </c>
      <c r="R1725">
        <v>19.600000000000001</v>
      </c>
      <c r="W1725" t="s">
        <v>1330</v>
      </c>
      <c r="X1725" t="s">
        <v>67</v>
      </c>
      <c r="Y1725" t="s">
        <v>67</v>
      </c>
      <c r="Z1725" t="s">
        <v>68</v>
      </c>
      <c r="AB1725">
        <v>4</v>
      </c>
      <c r="AC1725" t="s">
        <v>61</v>
      </c>
      <c r="AJ1725" t="s">
        <v>69</v>
      </c>
      <c r="AY1725" t="s">
        <v>834</v>
      </c>
      <c r="AZ1725">
        <v>111868</v>
      </c>
      <c r="BA1725" t="s">
        <v>1331</v>
      </c>
      <c r="BB1725" t="s">
        <v>1332</v>
      </c>
      <c r="BC1725">
        <v>1994</v>
      </c>
      <c r="BD1725" t="s">
        <v>1333</v>
      </c>
    </row>
    <row r="1726" spans="1:56" x14ac:dyDescent="0.35">
      <c r="A1726">
        <v>149315</v>
      </c>
      <c r="B1726" t="s">
        <v>1334</v>
      </c>
      <c r="D1726" t="s">
        <v>57</v>
      </c>
      <c r="E1726" t="s">
        <v>86</v>
      </c>
      <c r="F1726" t="s">
        <v>58</v>
      </c>
      <c r="G1726" t="s">
        <v>59</v>
      </c>
      <c r="H1726" t="s">
        <v>60</v>
      </c>
      <c r="J1726" t="s">
        <v>86</v>
      </c>
      <c r="L1726" t="s">
        <v>74</v>
      </c>
      <c r="M1726" t="s">
        <v>63</v>
      </c>
      <c r="N1726" t="s">
        <v>64</v>
      </c>
      <c r="P1726" t="s">
        <v>65</v>
      </c>
      <c r="R1726">
        <v>8690</v>
      </c>
      <c r="T1726">
        <v>6400</v>
      </c>
      <c r="V1726">
        <v>11800</v>
      </c>
      <c r="W1726" t="s">
        <v>66</v>
      </c>
      <c r="X1726" t="s">
        <v>67</v>
      </c>
      <c r="Y1726" t="s">
        <v>67</v>
      </c>
      <c r="Z1726" t="s">
        <v>68</v>
      </c>
      <c r="AB1726">
        <v>4</v>
      </c>
      <c r="AC1726" t="s">
        <v>61</v>
      </c>
      <c r="AJ1726" t="s">
        <v>69</v>
      </c>
      <c r="AY1726" t="s">
        <v>401</v>
      </c>
      <c r="AZ1726">
        <v>12004</v>
      </c>
      <c r="BA1726" t="s">
        <v>402</v>
      </c>
      <c r="BB1726" t="s">
        <v>403</v>
      </c>
      <c r="BC1726">
        <v>1985</v>
      </c>
      <c r="BD1726" t="s">
        <v>90</v>
      </c>
    </row>
    <row r="1727" spans="1:56" x14ac:dyDescent="0.35">
      <c r="A1727">
        <v>150196</v>
      </c>
      <c r="B1727" t="s">
        <v>1335</v>
      </c>
      <c r="D1727" t="s">
        <v>57</v>
      </c>
      <c r="E1727" t="s">
        <v>86</v>
      </c>
      <c r="F1727" t="s">
        <v>58</v>
      </c>
      <c r="G1727" t="s">
        <v>59</v>
      </c>
      <c r="H1727" t="s">
        <v>60</v>
      </c>
      <c r="J1727" t="s">
        <v>86</v>
      </c>
      <c r="K1727" t="s">
        <v>61</v>
      </c>
      <c r="L1727" t="s">
        <v>74</v>
      </c>
      <c r="M1727" t="s">
        <v>63</v>
      </c>
      <c r="N1727" t="s">
        <v>64</v>
      </c>
      <c r="P1727" t="s">
        <v>65</v>
      </c>
      <c r="R1727">
        <v>75</v>
      </c>
      <c r="T1727">
        <v>70</v>
      </c>
      <c r="V1727">
        <v>81</v>
      </c>
      <c r="W1727" t="s">
        <v>66</v>
      </c>
      <c r="X1727" t="s">
        <v>67</v>
      </c>
      <c r="Y1727" t="s">
        <v>67</v>
      </c>
      <c r="Z1727" t="s">
        <v>68</v>
      </c>
      <c r="AB1727">
        <v>4</v>
      </c>
      <c r="AC1727" t="s">
        <v>61</v>
      </c>
      <c r="AJ1727" t="s">
        <v>69</v>
      </c>
      <c r="AY1727" t="s">
        <v>124</v>
      </c>
      <c r="AZ1727">
        <v>2189</v>
      </c>
      <c r="BA1727" t="s">
        <v>125</v>
      </c>
      <c r="BB1727" t="s">
        <v>126</v>
      </c>
      <c r="BC1727">
        <v>1981</v>
      </c>
      <c r="BD1727" t="s">
        <v>127</v>
      </c>
    </row>
    <row r="1728" spans="1:56" x14ac:dyDescent="0.35">
      <c r="A1728">
        <v>150196</v>
      </c>
      <c r="B1728" t="s">
        <v>1335</v>
      </c>
      <c r="D1728" t="s">
        <v>57</v>
      </c>
      <c r="E1728">
        <v>99</v>
      </c>
      <c r="F1728" t="s">
        <v>58</v>
      </c>
      <c r="G1728" t="s">
        <v>59</v>
      </c>
      <c r="H1728" t="s">
        <v>60</v>
      </c>
      <c r="J1728">
        <v>32</v>
      </c>
      <c r="K1728" t="s">
        <v>61</v>
      </c>
      <c r="L1728" t="s">
        <v>74</v>
      </c>
      <c r="M1728" t="s">
        <v>63</v>
      </c>
      <c r="N1728" t="s">
        <v>64</v>
      </c>
      <c r="P1728" t="s">
        <v>65</v>
      </c>
      <c r="R1728">
        <v>74</v>
      </c>
      <c r="T1728">
        <v>70.3</v>
      </c>
      <c r="V1728">
        <v>77.8</v>
      </c>
      <c r="W1728" t="s">
        <v>66</v>
      </c>
      <c r="X1728" t="s">
        <v>67</v>
      </c>
      <c r="Y1728" t="s">
        <v>67</v>
      </c>
      <c r="Z1728" t="s">
        <v>68</v>
      </c>
      <c r="AB1728">
        <v>4</v>
      </c>
      <c r="AC1728" t="s">
        <v>61</v>
      </c>
      <c r="AJ1728" t="s">
        <v>69</v>
      </c>
      <c r="AY1728" t="s">
        <v>141</v>
      </c>
      <c r="AZ1728">
        <v>12447</v>
      </c>
      <c r="BA1728" t="s">
        <v>142</v>
      </c>
      <c r="BB1728" t="s">
        <v>143</v>
      </c>
      <c r="BC1728">
        <v>1985</v>
      </c>
      <c r="BD1728" t="s">
        <v>73</v>
      </c>
    </row>
    <row r="1729" spans="1:56" x14ac:dyDescent="0.35">
      <c r="A1729">
        <v>150196</v>
      </c>
      <c r="B1729" t="s">
        <v>1335</v>
      </c>
      <c r="D1729" t="s">
        <v>57</v>
      </c>
      <c r="E1729" t="s">
        <v>86</v>
      </c>
      <c r="F1729" t="s">
        <v>58</v>
      </c>
      <c r="G1729" t="s">
        <v>59</v>
      </c>
      <c r="H1729" t="s">
        <v>60</v>
      </c>
      <c r="J1729" t="s">
        <v>86</v>
      </c>
      <c r="K1729" t="s">
        <v>61</v>
      </c>
      <c r="L1729" t="s">
        <v>74</v>
      </c>
      <c r="M1729" t="s">
        <v>63</v>
      </c>
      <c r="N1729" t="s">
        <v>64</v>
      </c>
      <c r="P1729" t="s">
        <v>65</v>
      </c>
      <c r="R1729">
        <v>77</v>
      </c>
      <c r="T1729">
        <v>70</v>
      </c>
      <c r="V1729">
        <v>85</v>
      </c>
      <c r="W1729" t="s">
        <v>66</v>
      </c>
      <c r="X1729" t="s">
        <v>67</v>
      </c>
      <c r="Y1729" t="s">
        <v>67</v>
      </c>
      <c r="Z1729" t="s">
        <v>68</v>
      </c>
      <c r="AB1729">
        <v>4</v>
      </c>
      <c r="AC1729" t="s">
        <v>61</v>
      </c>
      <c r="AJ1729" t="s">
        <v>69</v>
      </c>
      <c r="AY1729" t="s">
        <v>124</v>
      </c>
      <c r="AZ1729">
        <v>2189</v>
      </c>
      <c r="BA1729" t="s">
        <v>125</v>
      </c>
      <c r="BB1729" t="s">
        <v>126</v>
      </c>
      <c r="BC1729">
        <v>1981</v>
      </c>
      <c r="BD1729" t="s">
        <v>127</v>
      </c>
    </row>
    <row r="1730" spans="1:56" x14ac:dyDescent="0.35">
      <c r="A1730">
        <v>150196</v>
      </c>
      <c r="B1730" t="s">
        <v>1335</v>
      </c>
      <c r="D1730" t="s">
        <v>57</v>
      </c>
      <c r="E1730" t="s">
        <v>128</v>
      </c>
      <c r="F1730" t="s">
        <v>58</v>
      </c>
      <c r="G1730" t="s">
        <v>59</v>
      </c>
      <c r="H1730" t="s">
        <v>60</v>
      </c>
      <c r="I1730" t="s">
        <v>129</v>
      </c>
      <c r="J1730" t="s">
        <v>86</v>
      </c>
      <c r="K1730" t="s">
        <v>61</v>
      </c>
      <c r="L1730" t="s">
        <v>74</v>
      </c>
      <c r="M1730" t="s">
        <v>63</v>
      </c>
      <c r="N1730" t="s">
        <v>64</v>
      </c>
      <c r="P1730" t="s">
        <v>65</v>
      </c>
      <c r="R1730">
        <v>74</v>
      </c>
      <c r="W1730" t="s">
        <v>66</v>
      </c>
      <c r="X1730" t="s">
        <v>67</v>
      </c>
      <c r="Y1730" t="s">
        <v>67</v>
      </c>
      <c r="Z1730" t="s">
        <v>68</v>
      </c>
      <c r="AB1730">
        <v>4</v>
      </c>
      <c r="AC1730" t="s">
        <v>61</v>
      </c>
      <c r="AJ1730" t="s">
        <v>69</v>
      </c>
      <c r="AY1730" t="s">
        <v>134</v>
      </c>
      <c r="AZ1730">
        <v>15031</v>
      </c>
      <c r="BA1730" t="s">
        <v>135</v>
      </c>
      <c r="BB1730" t="s">
        <v>136</v>
      </c>
      <c r="BC1730">
        <v>1995</v>
      </c>
      <c r="BD1730" t="s">
        <v>133</v>
      </c>
    </row>
    <row r="1731" spans="1:56" x14ac:dyDescent="0.35">
      <c r="A1731">
        <v>150389</v>
      </c>
      <c r="B1731" t="s">
        <v>1336</v>
      </c>
      <c r="D1731" t="s">
        <v>85</v>
      </c>
      <c r="E1731" t="s">
        <v>86</v>
      </c>
      <c r="F1731" t="s">
        <v>58</v>
      </c>
      <c r="G1731" t="s">
        <v>59</v>
      </c>
      <c r="H1731" t="s">
        <v>60</v>
      </c>
      <c r="J1731" t="s">
        <v>86</v>
      </c>
      <c r="L1731" t="s">
        <v>62</v>
      </c>
      <c r="M1731" t="s">
        <v>63</v>
      </c>
      <c r="N1731" t="s">
        <v>64</v>
      </c>
      <c r="O1731">
        <v>5</v>
      </c>
      <c r="P1731" t="s">
        <v>100</v>
      </c>
      <c r="Q1731" t="s">
        <v>153</v>
      </c>
      <c r="R1731">
        <v>300</v>
      </c>
      <c r="W1731" t="s">
        <v>66</v>
      </c>
      <c r="X1731" t="s">
        <v>67</v>
      </c>
      <c r="Y1731" t="s">
        <v>67</v>
      </c>
      <c r="Z1731" t="s">
        <v>68</v>
      </c>
      <c r="AB1731">
        <v>4</v>
      </c>
      <c r="AC1731" t="s">
        <v>61</v>
      </c>
      <c r="AJ1731" t="s">
        <v>69</v>
      </c>
      <c r="AY1731" t="s">
        <v>173</v>
      </c>
      <c r="AZ1731">
        <v>167113</v>
      </c>
      <c r="BA1731" t="s">
        <v>174</v>
      </c>
      <c r="BB1731" t="s">
        <v>175</v>
      </c>
      <c r="BC1731">
        <v>1974</v>
      </c>
      <c r="BD1731" t="s">
        <v>90</v>
      </c>
    </row>
    <row r="1732" spans="1:56" x14ac:dyDescent="0.35">
      <c r="A1732">
        <v>150765</v>
      </c>
      <c r="B1732" t="s">
        <v>1337</v>
      </c>
      <c r="D1732" t="s">
        <v>57</v>
      </c>
      <c r="E1732" t="s">
        <v>128</v>
      </c>
      <c r="F1732" t="s">
        <v>58</v>
      </c>
      <c r="G1732" t="s">
        <v>59</v>
      </c>
      <c r="H1732" t="s">
        <v>60</v>
      </c>
      <c r="I1732" t="s">
        <v>129</v>
      </c>
      <c r="J1732" t="s">
        <v>86</v>
      </c>
      <c r="K1732" t="s">
        <v>61</v>
      </c>
      <c r="L1732" t="s">
        <v>74</v>
      </c>
      <c r="M1732" t="s">
        <v>63</v>
      </c>
      <c r="N1732" t="s">
        <v>64</v>
      </c>
      <c r="P1732" t="s">
        <v>65</v>
      </c>
      <c r="R1732">
        <v>84.3</v>
      </c>
      <c r="W1732" t="s">
        <v>66</v>
      </c>
      <c r="X1732" t="s">
        <v>67</v>
      </c>
      <c r="Y1732" t="s">
        <v>67</v>
      </c>
      <c r="Z1732" t="s">
        <v>68</v>
      </c>
      <c r="AB1732">
        <v>4</v>
      </c>
      <c r="AC1732" t="s">
        <v>61</v>
      </c>
      <c r="AJ1732" t="s">
        <v>69</v>
      </c>
      <c r="AY1732" t="s">
        <v>134</v>
      </c>
      <c r="AZ1732">
        <v>15031</v>
      </c>
      <c r="BA1732" t="s">
        <v>135</v>
      </c>
      <c r="BB1732" t="s">
        <v>136</v>
      </c>
      <c r="BC1732">
        <v>1995</v>
      </c>
      <c r="BD1732" t="s">
        <v>133</v>
      </c>
    </row>
    <row r="1733" spans="1:56" x14ac:dyDescent="0.35">
      <c r="A1733">
        <v>150765</v>
      </c>
      <c r="B1733" t="s">
        <v>1337</v>
      </c>
      <c r="D1733" t="s">
        <v>57</v>
      </c>
      <c r="E1733">
        <v>98</v>
      </c>
      <c r="F1733" t="s">
        <v>58</v>
      </c>
      <c r="G1733" t="s">
        <v>59</v>
      </c>
      <c r="H1733" t="s">
        <v>60</v>
      </c>
      <c r="J1733">
        <v>32</v>
      </c>
      <c r="K1733" t="s">
        <v>61</v>
      </c>
      <c r="L1733" t="s">
        <v>74</v>
      </c>
      <c r="M1733" t="s">
        <v>63</v>
      </c>
      <c r="N1733" t="s">
        <v>64</v>
      </c>
      <c r="P1733" t="s">
        <v>65</v>
      </c>
      <c r="R1733">
        <v>110</v>
      </c>
      <c r="T1733">
        <v>99.7</v>
      </c>
      <c r="V1733">
        <v>121</v>
      </c>
      <c r="W1733" t="s">
        <v>66</v>
      </c>
      <c r="X1733" t="s">
        <v>67</v>
      </c>
      <c r="Y1733" t="s">
        <v>67</v>
      </c>
      <c r="Z1733" t="s">
        <v>68</v>
      </c>
      <c r="AB1733">
        <v>4</v>
      </c>
      <c r="AC1733" t="s">
        <v>61</v>
      </c>
      <c r="AJ1733" t="s">
        <v>69</v>
      </c>
      <c r="AY1733" t="s">
        <v>141</v>
      </c>
      <c r="AZ1733">
        <v>12447</v>
      </c>
      <c r="BA1733" t="s">
        <v>142</v>
      </c>
      <c r="BB1733" t="s">
        <v>143</v>
      </c>
      <c r="BC1733">
        <v>1985</v>
      </c>
      <c r="BD1733" t="s">
        <v>73</v>
      </c>
    </row>
    <row r="1734" spans="1:56" x14ac:dyDescent="0.35">
      <c r="A1734">
        <v>151213</v>
      </c>
      <c r="B1734" t="s">
        <v>1338</v>
      </c>
      <c r="C1734" t="s">
        <v>104</v>
      </c>
      <c r="D1734" t="s">
        <v>57</v>
      </c>
      <c r="E1734">
        <v>99.9</v>
      </c>
      <c r="F1734" t="s">
        <v>58</v>
      </c>
      <c r="G1734" t="s">
        <v>59</v>
      </c>
      <c r="H1734" t="s">
        <v>60</v>
      </c>
      <c r="I1734" t="s">
        <v>129</v>
      </c>
      <c r="J1734">
        <v>12</v>
      </c>
      <c r="K1734" t="s">
        <v>196</v>
      </c>
      <c r="L1734" t="s">
        <v>62</v>
      </c>
      <c r="M1734" t="s">
        <v>63</v>
      </c>
      <c r="N1734" t="s">
        <v>64</v>
      </c>
      <c r="P1734" t="s">
        <v>65</v>
      </c>
      <c r="R1734">
        <v>17</v>
      </c>
      <c r="T1734">
        <v>15</v>
      </c>
      <c r="V1734">
        <v>18.899999999999999</v>
      </c>
      <c r="W1734" t="s">
        <v>66</v>
      </c>
      <c r="X1734" t="s">
        <v>67</v>
      </c>
      <c r="Y1734" t="s">
        <v>67</v>
      </c>
      <c r="Z1734" t="s">
        <v>68</v>
      </c>
      <c r="AB1734">
        <v>4</v>
      </c>
      <c r="AC1734" t="s">
        <v>61</v>
      </c>
      <c r="AJ1734" t="s">
        <v>69</v>
      </c>
      <c r="AY1734" t="s">
        <v>1339</v>
      </c>
      <c r="AZ1734">
        <v>17931</v>
      </c>
      <c r="BA1734" t="s">
        <v>1340</v>
      </c>
      <c r="BB1734" t="s">
        <v>1341</v>
      </c>
      <c r="BC1734">
        <v>1982</v>
      </c>
      <c r="BD1734" t="s">
        <v>200</v>
      </c>
    </row>
    <row r="1735" spans="1:56" x14ac:dyDescent="0.35">
      <c r="A1735">
        <v>151213</v>
      </c>
      <c r="B1735" t="s">
        <v>1338</v>
      </c>
      <c r="C1735" t="s">
        <v>104</v>
      </c>
      <c r="D1735" t="s">
        <v>57</v>
      </c>
      <c r="E1735">
        <v>99.9</v>
      </c>
      <c r="F1735" t="s">
        <v>58</v>
      </c>
      <c r="G1735" t="s">
        <v>59</v>
      </c>
      <c r="H1735" t="s">
        <v>60</v>
      </c>
      <c r="I1735" t="s">
        <v>211</v>
      </c>
      <c r="J1735">
        <v>20</v>
      </c>
      <c r="K1735" t="s">
        <v>196</v>
      </c>
      <c r="L1735" t="s">
        <v>62</v>
      </c>
      <c r="M1735" t="s">
        <v>63</v>
      </c>
      <c r="N1735" t="s">
        <v>64</v>
      </c>
      <c r="P1735" t="s">
        <v>65</v>
      </c>
      <c r="R1735">
        <v>22.5</v>
      </c>
      <c r="T1735">
        <v>22.1</v>
      </c>
      <c r="V1735">
        <v>22.8</v>
      </c>
      <c r="W1735" t="s">
        <v>66</v>
      </c>
      <c r="X1735" t="s">
        <v>67</v>
      </c>
      <c r="Y1735" t="s">
        <v>67</v>
      </c>
      <c r="Z1735" t="s">
        <v>68</v>
      </c>
      <c r="AB1735">
        <v>4</v>
      </c>
      <c r="AC1735" t="s">
        <v>61</v>
      </c>
      <c r="AJ1735" t="s">
        <v>69</v>
      </c>
      <c r="AY1735" t="s">
        <v>1339</v>
      </c>
      <c r="AZ1735">
        <v>17931</v>
      </c>
      <c r="BA1735" t="s">
        <v>1340</v>
      </c>
      <c r="BB1735" t="s">
        <v>1341</v>
      </c>
      <c r="BC1735">
        <v>1982</v>
      </c>
      <c r="BD1735" t="s">
        <v>200</v>
      </c>
    </row>
    <row r="1736" spans="1:56" x14ac:dyDescent="0.35">
      <c r="A1736">
        <v>151213</v>
      </c>
      <c r="B1736" t="s">
        <v>1338</v>
      </c>
      <c r="C1736" t="s">
        <v>104</v>
      </c>
      <c r="D1736" t="s">
        <v>57</v>
      </c>
      <c r="E1736">
        <v>99.9</v>
      </c>
      <c r="F1736" t="s">
        <v>58</v>
      </c>
      <c r="G1736" t="s">
        <v>59</v>
      </c>
      <c r="H1736" t="s">
        <v>60</v>
      </c>
      <c r="I1736" t="s">
        <v>177</v>
      </c>
      <c r="J1736">
        <v>3</v>
      </c>
      <c r="K1736" t="s">
        <v>196</v>
      </c>
      <c r="L1736" t="s">
        <v>62</v>
      </c>
      <c r="M1736" t="s">
        <v>63</v>
      </c>
      <c r="N1736" t="s">
        <v>64</v>
      </c>
      <c r="P1736" t="s">
        <v>65</v>
      </c>
      <c r="R1736">
        <v>10.199999999999999</v>
      </c>
      <c r="T1736">
        <v>8</v>
      </c>
      <c r="V1736">
        <v>12.5</v>
      </c>
      <c r="W1736" t="s">
        <v>66</v>
      </c>
      <c r="X1736" t="s">
        <v>67</v>
      </c>
      <c r="Y1736" t="s">
        <v>67</v>
      </c>
      <c r="Z1736" t="s">
        <v>68</v>
      </c>
      <c r="AB1736">
        <v>4</v>
      </c>
      <c r="AC1736" t="s">
        <v>61</v>
      </c>
      <c r="AJ1736" t="s">
        <v>69</v>
      </c>
      <c r="AY1736" t="s">
        <v>1339</v>
      </c>
      <c r="AZ1736">
        <v>17931</v>
      </c>
      <c r="BA1736" t="s">
        <v>1340</v>
      </c>
      <c r="BB1736" t="s">
        <v>1341</v>
      </c>
      <c r="BC1736">
        <v>1982</v>
      </c>
      <c r="BD1736" t="s">
        <v>200</v>
      </c>
    </row>
    <row r="1737" spans="1:56" x14ac:dyDescent="0.35">
      <c r="A1737">
        <v>151213</v>
      </c>
      <c r="B1737" t="s">
        <v>1338</v>
      </c>
      <c r="D1737" t="s">
        <v>85</v>
      </c>
      <c r="E1737" t="s">
        <v>86</v>
      </c>
      <c r="F1737" t="s">
        <v>58</v>
      </c>
      <c r="G1737" t="s">
        <v>59</v>
      </c>
      <c r="H1737" t="s">
        <v>60</v>
      </c>
      <c r="J1737" t="s">
        <v>86</v>
      </c>
      <c r="L1737" t="s">
        <v>62</v>
      </c>
      <c r="M1737" t="s">
        <v>63</v>
      </c>
      <c r="N1737" t="s">
        <v>64</v>
      </c>
      <c r="P1737" t="s">
        <v>100</v>
      </c>
      <c r="R1737">
        <v>6.9</v>
      </c>
      <c r="T1737">
        <v>5.3</v>
      </c>
      <c r="V1737">
        <v>9</v>
      </c>
      <c r="W1737" t="s">
        <v>66</v>
      </c>
      <c r="X1737" t="s">
        <v>67</v>
      </c>
      <c r="Y1737" t="s">
        <v>67</v>
      </c>
      <c r="Z1737" t="s">
        <v>68</v>
      </c>
      <c r="AB1737">
        <v>4</v>
      </c>
      <c r="AC1737" t="s">
        <v>61</v>
      </c>
      <c r="AJ1737" t="s">
        <v>69</v>
      </c>
      <c r="AY1737" t="s">
        <v>481</v>
      </c>
      <c r="AZ1737">
        <v>10117</v>
      </c>
      <c r="BA1737" t="s">
        <v>482</v>
      </c>
      <c r="BB1737" t="s">
        <v>483</v>
      </c>
      <c r="BC1737">
        <v>1983</v>
      </c>
      <c r="BD1737" t="s">
        <v>90</v>
      </c>
    </row>
    <row r="1738" spans="1:56" x14ac:dyDescent="0.35">
      <c r="A1738">
        <v>151213</v>
      </c>
      <c r="B1738" t="s">
        <v>1338</v>
      </c>
      <c r="D1738" t="s">
        <v>85</v>
      </c>
      <c r="E1738" t="s">
        <v>86</v>
      </c>
      <c r="F1738" t="s">
        <v>58</v>
      </c>
      <c r="G1738" t="s">
        <v>59</v>
      </c>
      <c r="H1738" t="s">
        <v>60</v>
      </c>
      <c r="J1738" t="s">
        <v>86</v>
      </c>
      <c r="L1738" t="s">
        <v>62</v>
      </c>
      <c r="M1738" t="s">
        <v>63</v>
      </c>
      <c r="N1738" t="s">
        <v>64</v>
      </c>
      <c r="P1738" t="s">
        <v>100</v>
      </c>
      <c r="R1738">
        <v>4.2</v>
      </c>
      <c r="W1738" t="s">
        <v>66</v>
      </c>
      <c r="X1738" t="s">
        <v>67</v>
      </c>
      <c r="Y1738" t="s">
        <v>67</v>
      </c>
      <c r="Z1738" t="s">
        <v>68</v>
      </c>
      <c r="AB1738">
        <v>4</v>
      </c>
      <c r="AC1738" t="s">
        <v>61</v>
      </c>
      <c r="AJ1738" t="s">
        <v>69</v>
      </c>
      <c r="AY1738" t="s">
        <v>1134</v>
      </c>
      <c r="AZ1738">
        <v>179719</v>
      </c>
      <c r="BA1738" t="s">
        <v>1135</v>
      </c>
      <c r="BB1738" t="s">
        <v>1136</v>
      </c>
      <c r="BC1738">
        <v>2000</v>
      </c>
      <c r="BD1738" t="s">
        <v>90</v>
      </c>
    </row>
    <row r="1739" spans="1:56" x14ac:dyDescent="0.35">
      <c r="A1739">
        <v>151213</v>
      </c>
      <c r="B1739" t="s">
        <v>1338</v>
      </c>
      <c r="D1739" t="s">
        <v>85</v>
      </c>
      <c r="E1739" t="s">
        <v>86</v>
      </c>
      <c r="F1739" t="s">
        <v>58</v>
      </c>
      <c r="G1739" t="s">
        <v>59</v>
      </c>
      <c r="H1739" t="s">
        <v>60</v>
      </c>
      <c r="J1739" t="s">
        <v>86</v>
      </c>
      <c r="L1739" t="s">
        <v>62</v>
      </c>
      <c r="M1739" t="s">
        <v>63</v>
      </c>
      <c r="N1739" t="s">
        <v>64</v>
      </c>
      <c r="P1739" t="s">
        <v>100</v>
      </c>
      <c r="R1739">
        <v>6.6</v>
      </c>
      <c r="T1739">
        <v>5.8</v>
      </c>
      <c r="V1739">
        <v>7.5</v>
      </c>
      <c r="W1739" t="s">
        <v>66</v>
      </c>
      <c r="X1739" t="s">
        <v>67</v>
      </c>
      <c r="Y1739" t="s">
        <v>67</v>
      </c>
      <c r="Z1739" t="s">
        <v>68</v>
      </c>
      <c r="AB1739">
        <v>4</v>
      </c>
      <c r="AC1739" t="s">
        <v>61</v>
      </c>
      <c r="AJ1739" t="s">
        <v>69</v>
      </c>
      <c r="AY1739" t="s">
        <v>481</v>
      </c>
      <c r="AZ1739">
        <v>10117</v>
      </c>
      <c r="BA1739" t="s">
        <v>482</v>
      </c>
      <c r="BB1739" t="s">
        <v>483</v>
      </c>
      <c r="BC1739">
        <v>1983</v>
      </c>
      <c r="BD1739" t="s">
        <v>90</v>
      </c>
    </row>
    <row r="1740" spans="1:56" x14ac:dyDescent="0.35">
      <c r="A1740">
        <v>151508</v>
      </c>
      <c r="B1740" t="s">
        <v>1342</v>
      </c>
      <c r="D1740" t="s">
        <v>57</v>
      </c>
      <c r="E1740" t="s">
        <v>86</v>
      </c>
      <c r="F1740" t="s">
        <v>58</v>
      </c>
      <c r="G1740" t="s">
        <v>59</v>
      </c>
      <c r="H1740" t="s">
        <v>60</v>
      </c>
      <c r="J1740" t="s">
        <v>86</v>
      </c>
      <c r="L1740" t="s">
        <v>62</v>
      </c>
      <c r="M1740" t="s">
        <v>63</v>
      </c>
      <c r="N1740" t="s">
        <v>64</v>
      </c>
      <c r="P1740" t="s">
        <v>201</v>
      </c>
      <c r="T1740">
        <v>0.31</v>
      </c>
      <c r="V1740">
        <v>0.37</v>
      </c>
      <c r="W1740" t="s">
        <v>66</v>
      </c>
      <c r="X1740" t="s">
        <v>67</v>
      </c>
      <c r="Y1740" t="s">
        <v>67</v>
      </c>
      <c r="Z1740" t="s">
        <v>68</v>
      </c>
      <c r="AB1740">
        <v>4</v>
      </c>
      <c r="AC1740" t="s">
        <v>61</v>
      </c>
      <c r="AJ1740" t="s">
        <v>69</v>
      </c>
      <c r="AY1740" t="s">
        <v>1343</v>
      </c>
      <c r="AZ1740">
        <v>8353</v>
      </c>
      <c r="BA1740" t="s">
        <v>1344</v>
      </c>
      <c r="BB1740" t="s">
        <v>1345</v>
      </c>
      <c r="BC1740">
        <v>1976</v>
      </c>
      <c r="BD1740" t="s">
        <v>90</v>
      </c>
    </row>
    <row r="1741" spans="1:56" x14ac:dyDescent="0.35">
      <c r="A1741">
        <v>152169</v>
      </c>
      <c r="B1741" t="s">
        <v>1346</v>
      </c>
      <c r="C1741" t="s">
        <v>91</v>
      </c>
      <c r="D1741" t="s">
        <v>85</v>
      </c>
      <c r="E1741">
        <v>90</v>
      </c>
      <c r="F1741" t="s">
        <v>58</v>
      </c>
      <c r="G1741" t="s">
        <v>59</v>
      </c>
      <c r="H1741" t="s">
        <v>60</v>
      </c>
      <c r="J1741" t="s">
        <v>86</v>
      </c>
      <c r="L1741" t="s">
        <v>62</v>
      </c>
      <c r="M1741" t="s">
        <v>63</v>
      </c>
      <c r="N1741" t="s">
        <v>64</v>
      </c>
      <c r="P1741" t="s">
        <v>65</v>
      </c>
      <c r="R1741">
        <v>88</v>
      </c>
      <c r="W1741" t="s">
        <v>66</v>
      </c>
      <c r="X1741" t="s">
        <v>67</v>
      </c>
      <c r="Y1741" t="s">
        <v>67</v>
      </c>
      <c r="Z1741" t="s">
        <v>68</v>
      </c>
      <c r="AB1741">
        <v>4</v>
      </c>
      <c r="AC1741" t="s">
        <v>61</v>
      </c>
      <c r="AJ1741" t="s">
        <v>69</v>
      </c>
      <c r="AY1741" t="s">
        <v>157</v>
      </c>
      <c r="AZ1741">
        <v>2893</v>
      </c>
      <c r="BA1741" t="s">
        <v>158</v>
      </c>
      <c r="BB1741" t="s">
        <v>159</v>
      </c>
      <c r="BC1741">
        <v>1962</v>
      </c>
      <c r="BD1741" t="s">
        <v>90</v>
      </c>
    </row>
    <row r="1742" spans="1:56" x14ac:dyDescent="0.35">
      <c r="A1742">
        <v>152169</v>
      </c>
      <c r="B1742" t="s">
        <v>1346</v>
      </c>
      <c r="C1742" t="s">
        <v>91</v>
      </c>
      <c r="D1742" t="s">
        <v>85</v>
      </c>
      <c r="E1742">
        <v>70</v>
      </c>
      <c r="F1742" t="s">
        <v>58</v>
      </c>
      <c r="G1742" t="s">
        <v>59</v>
      </c>
      <c r="H1742" t="s">
        <v>60</v>
      </c>
      <c r="J1742" t="s">
        <v>86</v>
      </c>
      <c r="L1742" t="s">
        <v>62</v>
      </c>
      <c r="M1742" t="s">
        <v>63</v>
      </c>
      <c r="N1742" t="s">
        <v>64</v>
      </c>
      <c r="P1742" t="s">
        <v>65</v>
      </c>
      <c r="R1742">
        <v>135</v>
      </c>
      <c r="W1742" t="s">
        <v>66</v>
      </c>
      <c r="X1742" t="s">
        <v>67</v>
      </c>
      <c r="Y1742" t="s">
        <v>67</v>
      </c>
      <c r="Z1742" t="s">
        <v>68</v>
      </c>
      <c r="AB1742">
        <v>4</v>
      </c>
      <c r="AC1742" t="s">
        <v>61</v>
      </c>
      <c r="AJ1742" t="s">
        <v>69</v>
      </c>
      <c r="AY1742" t="s">
        <v>150</v>
      </c>
      <c r="AZ1742">
        <v>2155</v>
      </c>
      <c r="BA1742" t="s">
        <v>151</v>
      </c>
      <c r="BB1742" t="s">
        <v>152</v>
      </c>
      <c r="BC1742">
        <v>1958</v>
      </c>
      <c r="BD1742" t="s">
        <v>90</v>
      </c>
    </row>
    <row r="1743" spans="1:56" x14ac:dyDescent="0.35">
      <c r="A1743">
        <v>152169</v>
      </c>
      <c r="B1743" t="s">
        <v>1346</v>
      </c>
      <c r="C1743" t="s">
        <v>91</v>
      </c>
      <c r="D1743" t="s">
        <v>85</v>
      </c>
      <c r="E1743">
        <v>70</v>
      </c>
      <c r="F1743" t="s">
        <v>58</v>
      </c>
      <c r="G1743" t="s">
        <v>59</v>
      </c>
      <c r="H1743" t="s">
        <v>60</v>
      </c>
      <c r="J1743" t="s">
        <v>86</v>
      </c>
      <c r="L1743" t="s">
        <v>62</v>
      </c>
      <c r="M1743" t="s">
        <v>63</v>
      </c>
      <c r="N1743" t="s">
        <v>64</v>
      </c>
      <c r="P1743" t="s">
        <v>65</v>
      </c>
      <c r="R1743">
        <v>121</v>
      </c>
      <c r="W1743" t="s">
        <v>66</v>
      </c>
      <c r="X1743" t="s">
        <v>67</v>
      </c>
      <c r="Y1743" t="s">
        <v>67</v>
      </c>
      <c r="Z1743" t="s">
        <v>68</v>
      </c>
      <c r="AB1743">
        <v>4</v>
      </c>
      <c r="AC1743" t="s">
        <v>61</v>
      </c>
      <c r="AJ1743" t="s">
        <v>69</v>
      </c>
      <c r="AY1743" t="s">
        <v>150</v>
      </c>
      <c r="AZ1743">
        <v>2155</v>
      </c>
      <c r="BA1743" t="s">
        <v>151</v>
      </c>
      <c r="BB1743" t="s">
        <v>152</v>
      </c>
      <c r="BC1743">
        <v>1958</v>
      </c>
      <c r="BD1743" t="s">
        <v>90</v>
      </c>
    </row>
    <row r="1744" spans="1:56" x14ac:dyDescent="0.35">
      <c r="A1744">
        <v>206440</v>
      </c>
      <c r="B1744" t="s">
        <v>1347</v>
      </c>
      <c r="D1744" t="s">
        <v>57</v>
      </c>
      <c r="E1744" t="s">
        <v>86</v>
      </c>
      <c r="F1744" t="s">
        <v>58</v>
      </c>
      <c r="G1744" t="s">
        <v>59</v>
      </c>
      <c r="H1744" t="s">
        <v>60</v>
      </c>
      <c r="J1744" t="s">
        <v>86</v>
      </c>
      <c r="L1744" t="s">
        <v>62</v>
      </c>
      <c r="M1744" t="s">
        <v>63</v>
      </c>
      <c r="N1744" t="s">
        <v>64</v>
      </c>
      <c r="P1744" t="s">
        <v>65</v>
      </c>
      <c r="R1744">
        <v>9.5000000000000001E-2</v>
      </c>
      <c r="T1744">
        <v>7.3999999999999996E-2</v>
      </c>
      <c r="V1744">
        <v>0.113</v>
      </c>
      <c r="W1744" t="s">
        <v>66</v>
      </c>
      <c r="X1744" t="s">
        <v>67</v>
      </c>
      <c r="Y1744" t="s">
        <v>67</v>
      </c>
      <c r="Z1744" t="s">
        <v>68</v>
      </c>
      <c r="AB1744">
        <v>4</v>
      </c>
      <c r="AC1744" t="s">
        <v>61</v>
      </c>
      <c r="AJ1744" t="s">
        <v>69</v>
      </c>
      <c r="AY1744" t="s">
        <v>1348</v>
      </c>
      <c r="AZ1744">
        <v>14396</v>
      </c>
      <c r="BA1744" t="s">
        <v>1349</v>
      </c>
      <c r="BB1744" t="s">
        <v>1350</v>
      </c>
      <c r="BC1744">
        <v>1983</v>
      </c>
      <c r="BD1744" t="s">
        <v>90</v>
      </c>
    </row>
    <row r="1745" spans="1:56" x14ac:dyDescent="0.35">
      <c r="A1745">
        <v>206440</v>
      </c>
      <c r="B1745" t="s">
        <v>1347</v>
      </c>
      <c r="D1745" t="s">
        <v>85</v>
      </c>
      <c r="E1745" t="s">
        <v>86</v>
      </c>
      <c r="F1745" t="s">
        <v>58</v>
      </c>
      <c r="G1745" t="s">
        <v>59</v>
      </c>
      <c r="H1745" t="s">
        <v>60</v>
      </c>
      <c r="J1745" t="s">
        <v>86</v>
      </c>
      <c r="L1745" t="s">
        <v>62</v>
      </c>
      <c r="M1745" t="s">
        <v>63</v>
      </c>
      <c r="N1745" t="s">
        <v>64</v>
      </c>
      <c r="P1745" t="s">
        <v>100</v>
      </c>
      <c r="R1745">
        <v>9.5000000000000001E-2</v>
      </c>
      <c r="W1745" t="s">
        <v>66</v>
      </c>
      <c r="X1745" t="s">
        <v>67</v>
      </c>
      <c r="Y1745" t="s">
        <v>67</v>
      </c>
      <c r="Z1745" t="s">
        <v>68</v>
      </c>
      <c r="AB1745">
        <v>4</v>
      </c>
      <c r="AC1745" t="s">
        <v>61</v>
      </c>
      <c r="AJ1745" t="s">
        <v>69</v>
      </c>
      <c r="AY1745" t="s">
        <v>1348</v>
      </c>
      <c r="AZ1745">
        <v>14396</v>
      </c>
      <c r="BA1745" t="s">
        <v>1349</v>
      </c>
      <c r="BB1745" t="s">
        <v>1350</v>
      </c>
      <c r="BC1745">
        <v>1983</v>
      </c>
      <c r="BD1745" t="s">
        <v>90</v>
      </c>
    </row>
    <row r="1746" spans="1:56" x14ac:dyDescent="0.35">
      <c r="A1746">
        <v>206440</v>
      </c>
      <c r="B1746" t="s">
        <v>1347</v>
      </c>
      <c r="D1746" t="s">
        <v>57</v>
      </c>
      <c r="E1746" t="s">
        <v>86</v>
      </c>
      <c r="F1746" t="s">
        <v>58</v>
      </c>
      <c r="G1746" t="s">
        <v>59</v>
      </c>
      <c r="H1746" t="s">
        <v>60</v>
      </c>
      <c r="J1746" t="s">
        <v>86</v>
      </c>
      <c r="K1746" t="s">
        <v>184</v>
      </c>
      <c r="L1746" t="s">
        <v>74</v>
      </c>
      <c r="M1746" t="s">
        <v>63</v>
      </c>
      <c r="N1746" t="s">
        <v>64</v>
      </c>
      <c r="P1746" t="s">
        <v>65</v>
      </c>
      <c r="R1746">
        <v>6.8300000000000001E-3</v>
      </c>
      <c r="T1746">
        <v>5.4400000000000004E-3</v>
      </c>
      <c r="V1746">
        <v>8.4899999999999993E-3</v>
      </c>
      <c r="W1746" t="s">
        <v>66</v>
      </c>
      <c r="X1746" t="s">
        <v>67</v>
      </c>
      <c r="Y1746" t="s">
        <v>67</v>
      </c>
      <c r="Z1746" t="s">
        <v>68</v>
      </c>
      <c r="AB1746">
        <v>4</v>
      </c>
      <c r="AC1746" t="s">
        <v>61</v>
      </c>
      <c r="AJ1746" t="s">
        <v>69</v>
      </c>
      <c r="AY1746" t="s">
        <v>1351</v>
      </c>
      <c r="AZ1746">
        <v>19043</v>
      </c>
      <c r="BA1746" t="s">
        <v>1352</v>
      </c>
      <c r="BB1746" t="s">
        <v>1353</v>
      </c>
      <c r="BC1746">
        <v>1995</v>
      </c>
      <c r="BD1746" t="s">
        <v>1354</v>
      </c>
    </row>
    <row r="1747" spans="1:56" x14ac:dyDescent="0.35">
      <c r="A1747">
        <v>206440</v>
      </c>
      <c r="B1747" t="s">
        <v>1347</v>
      </c>
      <c r="D1747" t="s">
        <v>57</v>
      </c>
      <c r="E1747">
        <v>98</v>
      </c>
      <c r="F1747" t="s">
        <v>58</v>
      </c>
      <c r="G1747" t="s">
        <v>59</v>
      </c>
      <c r="H1747" t="s">
        <v>60</v>
      </c>
      <c r="J1747">
        <v>30</v>
      </c>
      <c r="K1747" t="s">
        <v>61</v>
      </c>
      <c r="L1747" t="s">
        <v>74</v>
      </c>
      <c r="M1747" t="s">
        <v>63</v>
      </c>
      <c r="N1747" t="s">
        <v>64</v>
      </c>
      <c r="O1747">
        <v>6</v>
      </c>
      <c r="P1747" t="s">
        <v>65</v>
      </c>
      <c r="Q1747" t="s">
        <v>153</v>
      </c>
      <c r="R1747">
        <v>0.21199999999999999</v>
      </c>
      <c r="W1747" t="s">
        <v>66</v>
      </c>
      <c r="X1747" t="s">
        <v>67</v>
      </c>
      <c r="Y1747" t="s">
        <v>67</v>
      </c>
      <c r="Z1747" t="s">
        <v>68</v>
      </c>
      <c r="AB1747">
        <v>4</v>
      </c>
      <c r="AC1747" t="s">
        <v>61</v>
      </c>
      <c r="AJ1747" t="s">
        <v>69</v>
      </c>
      <c r="AY1747" t="s">
        <v>309</v>
      </c>
      <c r="AZ1747">
        <v>151475</v>
      </c>
      <c r="BA1747" t="s">
        <v>1355</v>
      </c>
      <c r="BB1747" t="s">
        <v>1356</v>
      </c>
      <c r="BC1747">
        <v>1993</v>
      </c>
      <c r="BD1747" t="s">
        <v>73</v>
      </c>
    </row>
    <row r="1748" spans="1:56" ht="15.5" customHeight="1" x14ac:dyDescent="0.35">
      <c r="A1748">
        <v>206440</v>
      </c>
      <c r="B1748" t="s">
        <v>1347</v>
      </c>
      <c r="C1748" t="s">
        <v>104</v>
      </c>
      <c r="D1748" t="s">
        <v>57</v>
      </c>
      <c r="E1748">
        <v>99</v>
      </c>
      <c r="F1748" t="s">
        <v>58</v>
      </c>
      <c r="G1748" t="s">
        <v>59</v>
      </c>
      <c r="H1748" t="s">
        <v>60</v>
      </c>
      <c r="J1748" t="s">
        <v>86</v>
      </c>
      <c r="K1748" t="s">
        <v>61</v>
      </c>
      <c r="L1748" t="s">
        <v>74</v>
      </c>
      <c r="M1748" t="s">
        <v>63</v>
      </c>
      <c r="N1748" t="s">
        <v>64</v>
      </c>
      <c r="P1748" t="s">
        <v>65</v>
      </c>
      <c r="R1748">
        <v>1.2200000000000001E-2</v>
      </c>
      <c r="T1748">
        <v>1.1299999999999999E-2</v>
      </c>
      <c r="V1748">
        <v>1.32E-2</v>
      </c>
      <c r="W1748" t="s">
        <v>66</v>
      </c>
      <c r="X1748" t="s">
        <v>67</v>
      </c>
      <c r="Y1748" t="s">
        <v>67</v>
      </c>
      <c r="Z1748" t="s">
        <v>68</v>
      </c>
      <c r="AB1748">
        <v>4</v>
      </c>
      <c r="AC1748" t="s">
        <v>61</v>
      </c>
      <c r="AJ1748" t="s">
        <v>69</v>
      </c>
      <c r="AY1748" t="s">
        <v>1357</v>
      </c>
      <c r="AZ1748">
        <v>20588</v>
      </c>
      <c r="BA1748" t="s">
        <v>1358</v>
      </c>
      <c r="BB1748" t="s">
        <v>1359</v>
      </c>
      <c r="BC1748">
        <v>1999</v>
      </c>
      <c r="BD1748" t="s">
        <v>1360</v>
      </c>
    </row>
    <row r="1749" spans="1:56" x14ac:dyDescent="0.35">
      <c r="A1749">
        <v>206440</v>
      </c>
      <c r="B1749" t="s">
        <v>1347</v>
      </c>
      <c r="D1749" t="s">
        <v>57</v>
      </c>
      <c r="E1749">
        <v>98</v>
      </c>
      <c r="F1749" t="s">
        <v>58</v>
      </c>
      <c r="G1749" t="s">
        <v>59</v>
      </c>
      <c r="H1749" t="s">
        <v>60</v>
      </c>
      <c r="J1749" t="s">
        <v>86</v>
      </c>
      <c r="L1749" t="s">
        <v>74</v>
      </c>
      <c r="M1749" t="s">
        <v>63</v>
      </c>
      <c r="N1749" t="s">
        <v>64</v>
      </c>
      <c r="O1749">
        <v>6</v>
      </c>
      <c r="P1749" t="s">
        <v>65</v>
      </c>
      <c r="Q1749" t="s">
        <v>153</v>
      </c>
      <c r="R1749">
        <v>6.6000000000000003E-2</v>
      </c>
      <c r="W1749" t="s">
        <v>66</v>
      </c>
      <c r="X1749" t="s">
        <v>67</v>
      </c>
      <c r="Y1749" t="s">
        <v>67</v>
      </c>
      <c r="Z1749" t="s">
        <v>68</v>
      </c>
      <c r="AB1749">
        <v>4</v>
      </c>
      <c r="AC1749" t="s">
        <v>61</v>
      </c>
      <c r="AJ1749" t="s">
        <v>69</v>
      </c>
      <c r="AY1749" t="s">
        <v>351</v>
      </c>
      <c r="AZ1749">
        <v>9994</v>
      </c>
      <c r="BA1749" t="s">
        <v>352</v>
      </c>
      <c r="BB1749" t="s">
        <v>353</v>
      </c>
      <c r="BC1749">
        <v>1982</v>
      </c>
      <c r="BD1749" t="s">
        <v>90</v>
      </c>
    </row>
    <row r="1750" spans="1:56" x14ac:dyDescent="0.35">
      <c r="A1750">
        <v>206440</v>
      </c>
      <c r="B1750" t="s">
        <v>1347</v>
      </c>
      <c r="D1750" t="s">
        <v>57</v>
      </c>
      <c r="E1750">
        <v>98</v>
      </c>
      <c r="F1750" t="s">
        <v>58</v>
      </c>
      <c r="G1750" t="s">
        <v>59</v>
      </c>
      <c r="H1750" t="s">
        <v>60</v>
      </c>
      <c r="J1750" t="s">
        <v>86</v>
      </c>
      <c r="L1750" t="s">
        <v>62</v>
      </c>
      <c r="M1750" t="s">
        <v>63</v>
      </c>
      <c r="N1750" t="s">
        <v>64</v>
      </c>
      <c r="O1750">
        <v>6</v>
      </c>
      <c r="P1750" t="s">
        <v>65</v>
      </c>
      <c r="Q1750" t="s">
        <v>153</v>
      </c>
      <c r="R1750">
        <v>4.2</v>
      </c>
      <c r="W1750" t="s">
        <v>66</v>
      </c>
      <c r="X1750" t="s">
        <v>67</v>
      </c>
      <c r="Y1750" t="s">
        <v>67</v>
      </c>
      <c r="Z1750" t="s">
        <v>68</v>
      </c>
      <c r="AB1750">
        <v>4</v>
      </c>
      <c r="AC1750" t="s">
        <v>61</v>
      </c>
      <c r="AJ1750" t="s">
        <v>69</v>
      </c>
      <c r="AY1750" t="s">
        <v>351</v>
      </c>
      <c r="AZ1750">
        <v>9994</v>
      </c>
      <c r="BA1750" t="s">
        <v>352</v>
      </c>
      <c r="BB1750" t="s">
        <v>353</v>
      </c>
      <c r="BC1750">
        <v>1982</v>
      </c>
      <c r="BD1750" t="s">
        <v>90</v>
      </c>
    </row>
    <row r="1751" spans="1:56" x14ac:dyDescent="0.35">
      <c r="A1751">
        <v>206440</v>
      </c>
      <c r="B1751" t="s">
        <v>1347</v>
      </c>
      <c r="C1751" t="s">
        <v>104</v>
      </c>
      <c r="D1751" t="s">
        <v>57</v>
      </c>
      <c r="E1751">
        <v>99</v>
      </c>
      <c r="F1751" t="s">
        <v>58</v>
      </c>
      <c r="G1751" t="s">
        <v>59</v>
      </c>
      <c r="H1751" t="s">
        <v>60</v>
      </c>
      <c r="J1751" t="s">
        <v>86</v>
      </c>
      <c r="K1751" t="s">
        <v>61</v>
      </c>
      <c r="L1751" t="s">
        <v>74</v>
      </c>
      <c r="M1751" t="s">
        <v>63</v>
      </c>
      <c r="N1751" t="s">
        <v>64</v>
      </c>
      <c r="P1751" t="s">
        <v>65</v>
      </c>
      <c r="Q1751" t="s">
        <v>153</v>
      </c>
      <c r="R1751">
        <v>0.21199999999999999</v>
      </c>
      <c r="W1751" t="s">
        <v>66</v>
      </c>
      <c r="X1751" t="s">
        <v>67</v>
      </c>
      <c r="Y1751" t="s">
        <v>67</v>
      </c>
      <c r="Z1751" t="s">
        <v>68</v>
      </c>
      <c r="AB1751">
        <v>4</v>
      </c>
      <c r="AC1751" t="s">
        <v>61</v>
      </c>
      <c r="AJ1751" t="s">
        <v>69</v>
      </c>
      <c r="AY1751" t="s">
        <v>1357</v>
      </c>
      <c r="AZ1751">
        <v>20588</v>
      </c>
      <c r="BA1751" t="s">
        <v>1358</v>
      </c>
      <c r="BB1751" t="s">
        <v>1359</v>
      </c>
      <c r="BC1751">
        <v>1999</v>
      </c>
      <c r="BD1751" t="s">
        <v>1360</v>
      </c>
    </row>
    <row r="1752" spans="1:56" x14ac:dyDescent="0.35">
      <c r="A1752">
        <v>206440</v>
      </c>
      <c r="B1752" t="s">
        <v>1347</v>
      </c>
      <c r="D1752" t="s">
        <v>57</v>
      </c>
      <c r="E1752">
        <v>98</v>
      </c>
      <c r="F1752" t="s">
        <v>58</v>
      </c>
      <c r="G1752" t="s">
        <v>59</v>
      </c>
      <c r="H1752" t="s">
        <v>60</v>
      </c>
      <c r="J1752" t="s">
        <v>86</v>
      </c>
      <c r="L1752" t="s">
        <v>74</v>
      </c>
      <c r="M1752" t="s">
        <v>63</v>
      </c>
      <c r="N1752" t="s">
        <v>64</v>
      </c>
      <c r="O1752">
        <v>6</v>
      </c>
      <c r="P1752" t="s">
        <v>65</v>
      </c>
      <c r="Q1752" t="s">
        <v>153</v>
      </c>
      <c r="R1752">
        <v>5.5</v>
      </c>
      <c r="W1752" t="s">
        <v>66</v>
      </c>
      <c r="X1752" t="s">
        <v>67</v>
      </c>
      <c r="Y1752" t="s">
        <v>67</v>
      </c>
      <c r="Z1752" t="s">
        <v>68</v>
      </c>
      <c r="AB1752">
        <v>4</v>
      </c>
      <c r="AC1752" t="s">
        <v>61</v>
      </c>
      <c r="AJ1752" t="s">
        <v>69</v>
      </c>
      <c r="AY1752" t="s">
        <v>351</v>
      </c>
      <c r="AZ1752">
        <v>9994</v>
      </c>
      <c r="BA1752" t="s">
        <v>352</v>
      </c>
      <c r="BB1752" t="s">
        <v>353</v>
      </c>
      <c r="BC1752">
        <v>1982</v>
      </c>
      <c r="BD1752" t="s">
        <v>90</v>
      </c>
    </row>
    <row r="1753" spans="1:56" x14ac:dyDescent="0.35">
      <c r="A1753">
        <v>206440</v>
      </c>
      <c r="B1753" t="s">
        <v>1347</v>
      </c>
      <c r="D1753" t="s">
        <v>57</v>
      </c>
      <c r="E1753">
        <v>98</v>
      </c>
      <c r="F1753" t="s">
        <v>58</v>
      </c>
      <c r="G1753" t="s">
        <v>59</v>
      </c>
      <c r="H1753" t="s">
        <v>60</v>
      </c>
      <c r="J1753" t="s">
        <v>86</v>
      </c>
      <c r="L1753" t="s">
        <v>62</v>
      </c>
      <c r="M1753" t="s">
        <v>63</v>
      </c>
      <c r="N1753" t="s">
        <v>64</v>
      </c>
      <c r="O1753">
        <v>6</v>
      </c>
      <c r="P1753" t="s">
        <v>65</v>
      </c>
      <c r="Q1753" t="s">
        <v>153</v>
      </c>
      <c r="R1753">
        <v>9.8000000000000004E-2</v>
      </c>
      <c r="W1753" t="s">
        <v>66</v>
      </c>
      <c r="X1753" t="s">
        <v>67</v>
      </c>
      <c r="Y1753" t="s">
        <v>67</v>
      </c>
      <c r="Z1753" t="s">
        <v>68</v>
      </c>
      <c r="AB1753">
        <v>4</v>
      </c>
      <c r="AC1753" t="s">
        <v>61</v>
      </c>
      <c r="AJ1753" t="s">
        <v>69</v>
      </c>
      <c r="AY1753" t="s">
        <v>351</v>
      </c>
      <c r="AZ1753">
        <v>9994</v>
      </c>
      <c r="BA1753" t="s">
        <v>352</v>
      </c>
      <c r="BB1753" t="s">
        <v>353</v>
      </c>
      <c r="BC1753">
        <v>1982</v>
      </c>
      <c r="BD1753" t="s">
        <v>90</v>
      </c>
    </row>
    <row r="1754" spans="1:56" x14ac:dyDescent="0.35">
      <c r="A1754">
        <v>206440</v>
      </c>
      <c r="B1754" t="s">
        <v>1347</v>
      </c>
      <c r="C1754" t="s">
        <v>104</v>
      </c>
      <c r="D1754" t="s">
        <v>57</v>
      </c>
      <c r="E1754">
        <v>98</v>
      </c>
      <c r="F1754" t="s">
        <v>58</v>
      </c>
      <c r="G1754" t="s">
        <v>59</v>
      </c>
      <c r="H1754" t="s">
        <v>60</v>
      </c>
      <c r="J1754" t="s">
        <v>86</v>
      </c>
      <c r="K1754" t="s">
        <v>61</v>
      </c>
      <c r="L1754" t="s">
        <v>74</v>
      </c>
      <c r="M1754" t="s">
        <v>63</v>
      </c>
      <c r="N1754" t="s">
        <v>64</v>
      </c>
      <c r="P1754" t="s">
        <v>65</v>
      </c>
      <c r="Q1754" t="s">
        <v>153</v>
      </c>
      <c r="R1754">
        <v>1.7000000000000001E-2</v>
      </c>
      <c r="W1754" t="s">
        <v>66</v>
      </c>
      <c r="X1754" t="s">
        <v>67</v>
      </c>
      <c r="Y1754" t="s">
        <v>67</v>
      </c>
      <c r="Z1754" t="s">
        <v>68</v>
      </c>
      <c r="AB1754">
        <v>4</v>
      </c>
      <c r="AC1754" t="s">
        <v>61</v>
      </c>
      <c r="AJ1754" t="s">
        <v>69</v>
      </c>
      <c r="AY1754" t="s">
        <v>1357</v>
      </c>
      <c r="AZ1754">
        <v>20588</v>
      </c>
      <c r="BA1754" t="s">
        <v>1358</v>
      </c>
      <c r="BB1754" t="s">
        <v>1359</v>
      </c>
      <c r="BC1754">
        <v>1999</v>
      </c>
      <c r="BD1754" t="s">
        <v>1360</v>
      </c>
    </row>
    <row r="1755" spans="1:56" x14ac:dyDescent="0.35">
      <c r="A1755">
        <v>253521</v>
      </c>
      <c r="B1755" t="s">
        <v>1361</v>
      </c>
      <c r="D1755" t="s">
        <v>85</v>
      </c>
      <c r="E1755" t="s">
        <v>86</v>
      </c>
      <c r="F1755" t="s">
        <v>58</v>
      </c>
      <c r="G1755" t="s">
        <v>59</v>
      </c>
      <c r="H1755" t="s">
        <v>60</v>
      </c>
      <c r="J1755" t="s">
        <v>86</v>
      </c>
      <c r="M1755" t="s">
        <v>63</v>
      </c>
      <c r="N1755" t="s">
        <v>64</v>
      </c>
      <c r="P1755" t="s">
        <v>100</v>
      </c>
      <c r="R1755">
        <v>100</v>
      </c>
      <c r="T1755">
        <v>85</v>
      </c>
      <c r="V1755">
        <v>140</v>
      </c>
      <c r="W1755" t="s">
        <v>66</v>
      </c>
      <c r="X1755" t="s">
        <v>67</v>
      </c>
      <c r="Y1755" t="s">
        <v>67</v>
      </c>
      <c r="Z1755" t="s">
        <v>68</v>
      </c>
      <c r="AB1755">
        <v>4</v>
      </c>
      <c r="AC1755" t="s">
        <v>61</v>
      </c>
      <c r="AJ1755" t="s">
        <v>69</v>
      </c>
      <c r="AY1755" t="s">
        <v>1362</v>
      </c>
      <c r="AZ1755">
        <v>12578</v>
      </c>
      <c r="BA1755" t="s">
        <v>1363</v>
      </c>
      <c r="BB1755" t="s">
        <v>1364</v>
      </c>
      <c r="BC1755">
        <v>1987</v>
      </c>
      <c r="BD1755" t="s">
        <v>90</v>
      </c>
    </row>
    <row r="1756" spans="1:56" x14ac:dyDescent="0.35">
      <c r="A1756">
        <v>260946</v>
      </c>
      <c r="B1756" t="s">
        <v>1365</v>
      </c>
      <c r="D1756" t="s">
        <v>57</v>
      </c>
      <c r="E1756" t="s">
        <v>86</v>
      </c>
      <c r="F1756" t="s">
        <v>58</v>
      </c>
      <c r="G1756" t="s">
        <v>59</v>
      </c>
      <c r="H1756" t="s">
        <v>60</v>
      </c>
      <c r="J1756" t="s">
        <v>86</v>
      </c>
      <c r="L1756" t="s">
        <v>62</v>
      </c>
      <c r="M1756" t="s">
        <v>63</v>
      </c>
      <c r="N1756" t="s">
        <v>64</v>
      </c>
      <c r="P1756" t="s">
        <v>65</v>
      </c>
      <c r="R1756">
        <v>2.2999999999999998</v>
      </c>
      <c r="T1756">
        <v>1.7</v>
      </c>
      <c r="V1756">
        <v>2.8</v>
      </c>
      <c r="W1756" t="s">
        <v>66</v>
      </c>
      <c r="X1756" t="s">
        <v>67</v>
      </c>
      <c r="Y1756" t="s">
        <v>67</v>
      </c>
      <c r="Z1756" t="s">
        <v>68</v>
      </c>
      <c r="AB1756">
        <v>4</v>
      </c>
      <c r="AC1756" t="s">
        <v>61</v>
      </c>
      <c r="AJ1756" t="s">
        <v>69</v>
      </c>
      <c r="AY1756" t="s">
        <v>1366</v>
      </c>
      <c r="AZ1756">
        <v>10553</v>
      </c>
      <c r="BA1756" t="s">
        <v>1367</v>
      </c>
      <c r="BB1756" t="s">
        <v>1368</v>
      </c>
      <c r="BC1756">
        <v>1985</v>
      </c>
      <c r="BD1756" t="s">
        <v>90</v>
      </c>
    </row>
    <row r="1757" spans="1:56" x14ac:dyDescent="0.35">
      <c r="A1757">
        <v>260946</v>
      </c>
      <c r="B1757" t="s">
        <v>1365</v>
      </c>
      <c r="D1757" t="s">
        <v>57</v>
      </c>
      <c r="E1757" t="s">
        <v>86</v>
      </c>
      <c r="F1757" t="s">
        <v>58</v>
      </c>
      <c r="G1757" t="s">
        <v>59</v>
      </c>
      <c r="H1757" t="s">
        <v>60</v>
      </c>
      <c r="I1757" t="s">
        <v>129</v>
      </c>
      <c r="J1757" t="s">
        <v>86</v>
      </c>
      <c r="K1757" t="s">
        <v>320</v>
      </c>
      <c r="L1757" t="s">
        <v>62</v>
      </c>
      <c r="M1757" t="s">
        <v>63</v>
      </c>
      <c r="N1757" t="s">
        <v>64</v>
      </c>
      <c r="P1757" t="s">
        <v>65</v>
      </c>
      <c r="R1757">
        <v>2.2400000000000002</v>
      </c>
      <c r="T1757">
        <v>1.74</v>
      </c>
      <c r="V1757">
        <v>2.77</v>
      </c>
      <c r="W1757" t="s">
        <v>66</v>
      </c>
      <c r="X1757" t="s">
        <v>67</v>
      </c>
      <c r="Y1757" t="s">
        <v>67</v>
      </c>
      <c r="Z1757" t="s">
        <v>68</v>
      </c>
      <c r="AB1757">
        <v>4</v>
      </c>
      <c r="AC1757" t="s">
        <v>61</v>
      </c>
      <c r="AJ1757" t="s">
        <v>69</v>
      </c>
      <c r="AY1757" t="s">
        <v>748</v>
      </c>
      <c r="AZ1757">
        <v>11725</v>
      </c>
      <c r="BA1757" t="s">
        <v>749</v>
      </c>
      <c r="BB1757" t="s">
        <v>750</v>
      </c>
      <c r="BC1757">
        <v>1984</v>
      </c>
      <c r="BD1757" t="s">
        <v>751</v>
      </c>
    </row>
    <row r="1758" spans="1:56" x14ac:dyDescent="0.35">
      <c r="A1758">
        <v>260946</v>
      </c>
      <c r="B1758" t="s">
        <v>1365</v>
      </c>
      <c r="D1758" t="s">
        <v>57</v>
      </c>
      <c r="E1758" t="s">
        <v>86</v>
      </c>
      <c r="F1758" t="s">
        <v>58</v>
      </c>
      <c r="G1758" t="s">
        <v>59</v>
      </c>
      <c r="H1758" t="s">
        <v>60</v>
      </c>
      <c r="J1758" t="s">
        <v>86</v>
      </c>
      <c r="L1758" t="s">
        <v>74</v>
      </c>
      <c r="M1758" t="s">
        <v>63</v>
      </c>
      <c r="N1758" t="s">
        <v>64</v>
      </c>
      <c r="P1758" t="s">
        <v>65</v>
      </c>
      <c r="R1758">
        <v>2.9</v>
      </c>
      <c r="T1758">
        <v>2.5</v>
      </c>
      <c r="V1758">
        <v>4.2</v>
      </c>
      <c r="W1758" t="s">
        <v>66</v>
      </c>
      <c r="X1758" t="s">
        <v>67</v>
      </c>
      <c r="Y1758" t="s">
        <v>67</v>
      </c>
      <c r="Z1758" t="s">
        <v>68</v>
      </c>
      <c r="AB1758">
        <v>4</v>
      </c>
      <c r="AC1758" t="s">
        <v>61</v>
      </c>
      <c r="AJ1758" t="s">
        <v>69</v>
      </c>
      <c r="AY1758" t="s">
        <v>1366</v>
      </c>
      <c r="AZ1758">
        <v>10553</v>
      </c>
      <c r="BA1758" t="s">
        <v>1367</v>
      </c>
      <c r="BB1758" t="s">
        <v>1368</v>
      </c>
      <c r="BC1758">
        <v>1985</v>
      </c>
      <c r="BD1758" t="s">
        <v>90</v>
      </c>
    </row>
    <row r="1759" spans="1:56" x14ac:dyDescent="0.35">
      <c r="A1759">
        <v>271896</v>
      </c>
      <c r="B1759" t="s">
        <v>1369</v>
      </c>
      <c r="D1759" t="s">
        <v>57</v>
      </c>
      <c r="E1759">
        <v>99.5</v>
      </c>
      <c r="F1759" t="s">
        <v>58</v>
      </c>
      <c r="G1759" t="s">
        <v>59</v>
      </c>
      <c r="H1759" t="s">
        <v>60</v>
      </c>
      <c r="J1759">
        <v>31</v>
      </c>
      <c r="K1759" t="s">
        <v>61</v>
      </c>
      <c r="L1759" t="s">
        <v>74</v>
      </c>
      <c r="M1759" t="s">
        <v>63</v>
      </c>
      <c r="N1759" t="s">
        <v>64</v>
      </c>
      <c r="P1759" t="s">
        <v>65</v>
      </c>
      <c r="R1759">
        <v>14</v>
      </c>
      <c r="T1759">
        <v>11.2</v>
      </c>
      <c r="V1759">
        <v>17.5</v>
      </c>
      <c r="W1759" t="s">
        <v>66</v>
      </c>
      <c r="X1759" t="s">
        <v>67</v>
      </c>
      <c r="Y1759" t="s">
        <v>67</v>
      </c>
      <c r="Z1759" t="s">
        <v>68</v>
      </c>
      <c r="AB1759">
        <v>4</v>
      </c>
      <c r="AC1759" t="s">
        <v>61</v>
      </c>
      <c r="AJ1759" t="s">
        <v>69</v>
      </c>
      <c r="AY1759" t="s">
        <v>80</v>
      </c>
      <c r="AZ1759">
        <v>12859</v>
      </c>
      <c r="BA1759" t="s">
        <v>81</v>
      </c>
      <c r="BB1759" t="s">
        <v>82</v>
      </c>
      <c r="BC1759">
        <v>1988</v>
      </c>
      <c r="BD1759" t="s">
        <v>73</v>
      </c>
    </row>
    <row r="1760" spans="1:56" x14ac:dyDescent="0.35">
      <c r="A1760">
        <v>275514</v>
      </c>
      <c r="B1760" t="s">
        <v>1370</v>
      </c>
      <c r="D1760" t="s">
        <v>85</v>
      </c>
      <c r="E1760">
        <v>99</v>
      </c>
      <c r="F1760" t="s">
        <v>58</v>
      </c>
      <c r="G1760" t="s">
        <v>59</v>
      </c>
      <c r="H1760" t="s">
        <v>60</v>
      </c>
      <c r="J1760" t="s">
        <v>86</v>
      </c>
      <c r="L1760" t="s">
        <v>190</v>
      </c>
      <c r="M1760" t="s">
        <v>63</v>
      </c>
      <c r="N1760" t="s">
        <v>64</v>
      </c>
      <c r="P1760" t="s">
        <v>65</v>
      </c>
      <c r="R1760">
        <v>9</v>
      </c>
      <c r="W1760" t="s">
        <v>66</v>
      </c>
      <c r="X1760" t="s">
        <v>67</v>
      </c>
      <c r="Y1760" t="s">
        <v>67</v>
      </c>
      <c r="Z1760" t="s">
        <v>68</v>
      </c>
      <c r="AB1760">
        <v>4</v>
      </c>
      <c r="AC1760" t="s">
        <v>61</v>
      </c>
      <c r="AJ1760" t="s">
        <v>69</v>
      </c>
      <c r="AY1760" t="s">
        <v>1371</v>
      </c>
      <c r="AZ1760">
        <v>17881</v>
      </c>
      <c r="BA1760" t="s">
        <v>1372</v>
      </c>
      <c r="BB1760" t="s">
        <v>1373</v>
      </c>
      <c r="BC1760">
        <v>1997</v>
      </c>
      <c r="BD1760" t="s">
        <v>90</v>
      </c>
    </row>
    <row r="1761" spans="1:56" x14ac:dyDescent="0.35">
      <c r="A1761">
        <v>280579</v>
      </c>
      <c r="B1761" t="s">
        <v>1374</v>
      </c>
      <c r="D1761" t="s">
        <v>57</v>
      </c>
      <c r="E1761">
        <v>99</v>
      </c>
      <c r="F1761" t="s">
        <v>58</v>
      </c>
      <c r="G1761" t="s">
        <v>59</v>
      </c>
      <c r="H1761" t="s">
        <v>60</v>
      </c>
      <c r="J1761">
        <v>33</v>
      </c>
      <c r="K1761" t="s">
        <v>61</v>
      </c>
      <c r="L1761" t="s">
        <v>74</v>
      </c>
      <c r="M1761" t="s">
        <v>63</v>
      </c>
      <c r="N1761" t="s">
        <v>64</v>
      </c>
      <c r="P1761" t="s">
        <v>65</v>
      </c>
      <c r="R1761">
        <v>1730</v>
      </c>
      <c r="T1761">
        <v>1510</v>
      </c>
      <c r="V1761">
        <v>1980</v>
      </c>
      <c r="W1761" t="s">
        <v>66</v>
      </c>
      <c r="X1761" t="s">
        <v>67</v>
      </c>
      <c r="Y1761" t="s">
        <v>67</v>
      </c>
      <c r="Z1761" t="s">
        <v>68</v>
      </c>
      <c r="AB1761">
        <v>4</v>
      </c>
      <c r="AC1761" t="s">
        <v>61</v>
      </c>
      <c r="AJ1761" t="s">
        <v>69</v>
      </c>
      <c r="AY1761" t="s">
        <v>80</v>
      </c>
      <c r="AZ1761">
        <v>12859</v>
      </c>
      <c r="BA1761" t="s">
        <v>81</v>
      </c>
      <c r="BB1761" t="s">
        <v>82</v>
      </c>
      <c r="BC1761">
        <v>1988</v>
      </c>
      <c r="BD1761" t="s">
        <v>73</v>
      </c>
    </row>
    <row r="1762" spans="1:56" x14ac:dyDescent="0.35">
      <c r="A1762">
        <v>281232</v>
      </c>
      <c r="B1762" t="s">
        <v>1375</v>
      </c>
      <c r="D1762" t="s">
        <v>57</v>
      </c>
      <c r="E1762" t="s">
        <v>79</v>
      </c>
      <c r="F1762" t="s">
        <v>58</v>
      </c>
      <c r="G1762" t="s">
        <v>59</v>
      </c>
      <c r="H1762" t="s">
        <v>60</v>
      </c>
      <c r="J1762">
        <v>31</v>
      </c>
      <c r="K1762" t="s">
        <v>61</v>
      </c>
      <c r="L1762" t="s">
        <v>74</v>
      </c>
      <c r="M1762" t="s">
        <v>63</v>
      </c>
      <c r="N1762" t="s">
        <v>64</v>
      </c>
      <c r="P1762" t="s">
        <v>65</v>
      </c>
      <c r="R1762">
        <v>0.28499999999999998</v>
      </c>
      <c r="T1762">
        <v>0.26100000000000001</v>
      </c>
      <c r="V1762">
        <v>0.312</v>
      </c>
      <c r="W1762" t="s">
        <v>66</v>
      </c>
      <c r="X1762" t="s">
        <v>67</v>
      </c>
      <c r="Y1762" t="s">
        <v>67</v>
      </c>
      <c r="Z1762" t="s">
        <v>68</v>
      </c>
      <c r="AB1762">
        <v>4</v>
      </c>
      <c r="AC1762" t="s">
        <v>61</v>
      </c>
      <c r="AJ1762" t="s">
        <v>69</v>
      </c>
      <c r="AY1762" t="s">
        <v>263</v>
      </c>
      <c r="AZ1762">
        <v>12858</v>
      </c>
      <c r="BA1762" t="s">
        <v>264</v>
      </c>
      <c r="BB1762" t="s">
        <v>265</v>
      </c>
      <c r="BC1762">
        <v>1986</v>
      </c>
      <c r="BD1762" t="s">
        <v>73</v>
      </c>
    </row>
    <row r="1763" spans="1:56" x14ac:dyDescent="0.35">
      <c r="A1763">
        <v>298000</v>
      </c>
      <c r="B1763" t="s">
        <v>1376</v>
      </c>
      <c r="E1763">
        <v>77</v>
      </c>
      <c r="F1763" t="s">
        <v>58</v>
      </c>
      <c r="G1763" t="s">
        <v>59</v>
      </c>
      <c r="H1763" t="s">
        <v>60</v>
      </c>
      <c r="J1763" t="s">
        <v>86</v>
      </c>
      <c r="L1763" t="s">
        <v>62</v>
      </c>
      <c r="M1763" t="s">
        <v>63</v>
      </c>
      <c r="N1763" t="s">
        <v>64</v>
      </c>
      <c r="P1763" t="s">
        <v>65</v>
      </c>
      <c r="R1763">
        <v>7.2</v>
      </c>
      <c r="T1763">
        <v>5.7</v>
      </c>
      <c r="V1763">
        <v>9.1</v>
      </c>
      <c r="W1763" t="s">
        <v>66</v>
      </c>
      <c r="X1763" t="s">
        <v>67</v>
      </c>
      <c r="Y1763" t="s">
        <v>67</v>
      </c>
      <c r="Z1763" t="s">
        <v>68</v>
      </c>
      <c r="AB1763">
        <v>4</v>
      </c>
      <c r="AC1763" t="s">
        <v>61</v>
      </c>
      <c r="AJ1763" t="s">
        <v>69</v>
      </c>
      <c r="AY1763" t="s">
        <v>96</v>
      </c>
      <c r="AZ1763">
        <v>6797</v>
      </c>
      <c r="BA1763" t="s">
        <v>97</v>
      </c>
      <c r="BB1763" t="s">
        <v>98</v>
      </c>
      <c r="BC1763">
        <v>1986</v>
      </c>
      <c r="BD1763" t="s">
        <v>90</v>
      </c>
    </row>
    <row r="1764" spans="1:56" x14ac:dyDescent="0.35">
      <c r="A1764">
        <v>298000</v>
      </c>
      <c r="B1764" t="s">
        <v>1376</v>
      </c>
      <c r="E1764">
        <v>90</v>
      </c>
      <c r="F1764" t="s">
        <v>58</v>
      </c>
      <c r="G1764" t="s">
        <v>59</v>
      </c>
      <c r="H1764" t="s">
        <v>60</v>
      </c>
      <c r="J1764" t="s">
        <v>86</v>
      </c>
      <c r="L1764" t="s">
        <v>62</v>
      </c>
      <c r="M1764" t="s">
        <v>63</v>
      </c>
      <c r="N1764" t="s">
        <v>64</v>
      </c>
      <c r="P1764" t="s">
        <v>65</v>
      </c>
      <c r="R1764">
        <v>9.9600000000000009</v>
      </c>
      <c r="T1764">
        <v>8.6300000000000008</v>
      </c>
      <c r="V1764">
        <v>11.5</v>
      </c>
      <c r="W1764" t="s">
        <v>66</v>
      </c>
      <c r="X1764" t="s">
        <v>67</v>
      </c>
      <c r="Y1764" t="s">
        <v>67</v>
      </c>
      <c r="Z1764" t="s">
        <v>68</v>
      </c>
      <c r="AB1764">
        <v>4</v>
      </c>
      <c r="AC1764" t="s">
        <v>61</v>
      </c>
      <c r="AJ1764" t="s">
        <v>69</v>
      </c>
      <c r="AY1764" t="s">
        <v>96</v>
      </c>
      <c r="AZ1764">
        <v>6797</v>
      </c>
      <c r="BA1764" t="s">
        <v>97</v>
      </c>
      <c r="BB1764" t="s">
        <v>98</v>
      </c>
      <c r="BC1764">
        <v>1986</v>
      </c>
      <c r="BD1764" t="s">
        <v>90</v>
      </c>
    </row>
    <row r="1765" spans="1:56" x14ac:dyDescent="0.35">
      <c r="A1765">
        <v>298000</v>
      </c>
      <c r="B1765" t="s">
        <v>1376</v>
      </c>
      <c r="D1765" t="s">
        <v>57</v>
      </c>
      <c r="E1765" t="s">
        <v>86</v>
      </c>
      <c r="F1765" t="s">
        <v>58</v>
      </c>
      <c r="G1765" t="s">
        <v>59</v>
      </c>
      <c r="H1765" t="s">
        <v>60</v>
      </c>
      <c r="I1765" t="s">
        <v>188</v>
      </c>
      <c r="J1765" t="s">
        <v>86</v>
      </c>
      <c r="L1765" t="s">
        <v>74</v>
      </c>
      <c r="M1765" t="s">
        <v>63</v>
      </c>
      <c r="N1765" t="s">
        <v>64</v>
      </c>
      <c r="P1765" t="s">
        <v>65</v>
      </c>
      <c r="R1765">
        <v>6.91</v>
      </c>
      <c r="T1765">
        <v>6.05</v>
      </c>
      <c r="V1765">
        <v>8.11</v>
      </c>
      <c r="W1765" t="s">
        <v>66</v>
      </c>
      <c r="X1765" t="s">
        <v>67</v>
      </c>
      <c r="Y1765" t="s">
        <v>67</v>
      </c>
      <c r="Z1765" t="s">
        <v>68</v>
      </c>
      <c r="AB1765">
        <v>4</v>
      </c>
      <c r="AC1765" t="s">
        <v>61</v>
      </c>
      <c r="AJ1765" t="s">
        <v>69</v>
      </c>
      <c r="AY1765" t="s">
        <v>1377</v>
      </c>
      <c r="AZ1765">
        <v>15462</v>
      </c>
      <c r="BA1765" t="s">
        <v>1378</v>
      </c>
      <c r="BB1765" t="s">
        <v>1379</v>
      </c>
      <c r="BC1765">
        <v>1982</v>
      </c>
      <c r="BD1765" t="s">
        <v>90</v>
      </c>
    </row>
    <row r="1766" spans="1:56" x14ac:dyDescent="0.35">
      <c r="A1766">
        <v>298000</v>
      </c>
      <c r="B1766" t="s">
        <v>1376</v>
      </c>
      <c r="D1766" t="s">
        <v>85</v>
      </c>
      <c r="E1766" t="s">
        <v>86</v>
      </c>
      <c r="F1766" t="s">
        <v>58</v>
      </c>
      <c r="G1766" t="s">
        <v>59</v>
      </c>
      <c r="H1766" t="s">
        <v>60</v>
      </c>
      <c r="J1766" t="s">
        <v>86</v>
      </c>
      <c r="L1766" t="s">
        <v>62</v>
      </c>
      <c r="M1766" t="s">
        <v>63</v>
      </c>
      <c r="N1766" t="s">
        <v>64</v>
      </c>
      <c r="P1766" t="s">
        <v>100</v>
      </c>
      <c r="R1766">
        <v>8.3000000000000007</v>
      </c>
      <c r="W1766" t="s">
        <v>66</v>
      </c>
      <c r="X1766" t="s">
        <v>67</v>
      </c>
      <c r="Y1766" t="s">
        <v>67</v>
      </c>
      <c r="Z1766" t="s">
        <v>68</v>
      </c>
      <c r="AB1766">
        <v>4</v>
      </c>
      <c r="AC1766" t="s">
        <v>61</v>
      </c>
      <c r="AJ1766" t="s">
        <v>69</v>
      </c>
      <c r="AY1766" t="s">
        <v>150</v>
      </c>
      <c r="AZ1766">
        <v>2155</v>
      </c>
      <c r="BA1766" t="s">
        <v>151</v>
      </c>
      <c r="BB1766" t="s">
        <v>152</v>
      </c>
      <c r="BC1766">
        <v>1958</v>
      </c>
      <c r="BD1766" t="s">
        <v>90</v>
      </c>
    </row>
    <row r="1767" spans="1:56" x14ac:dyDescent="0.35">
      <c r="A1767">
        <v>298000</v>
      </c>
      <c r="B1767" t="s">
        <v>1376</v>
      </c>
      <c r="E1767">
        <v>90</v>
      </c>
      <c r="F1767" t="s">
        <v>58</v>
      </c>
      <c r="G1767" t="s">
        <v>59</v>
      </c>
      <c r="H1767" t="s">
        <v>60</v>
      </c>
      <c r="J1767" t="s">
        <v>86</v>
      </c>
      <c r="L1767" t="s">
        <v>62</v>
      </c>
      <c r="M1767" t="s">
        <v>63</v>
      </c>
      <c r="N1767" t="s">
        <v>64</v>
      </c>
      <c r="P1767" t="s">
        <v>65</v>
      </c>
      <c r="R1767">
        <v>8.9</v>
      </c>
      <c r="T1767">
        <v>7.78</v>
      </c>
      <c r="V1767">
        <v>10.199999999999999</v>
      </c>
      <c r="W1767" t="s">
        <v>66</v>
      </c>
      <c r="X1767" t="s">
        <v>67</v>
      </c>
      <c r="Y1767" t="s">
        <v>67</v>
      </c>
      <c r="Z1767" t="s">
        <v>68</v>
      </c>
      <c r="AB1767">
        <v>4</v>
      </c>
      <c r="AC1767" t="s">
        <v>61</v>
      </c>
      <c r="AJ1767" t="s">
        <v>69</v>
      </c>
      <c r="AY1767" t="s">
        <v>96</v>
      </c>
      <c r="AZ1767">
        <v>6797</v>
      </c>
      <c r="BA1767" t="s">
        <v>97</v>
      </c>
      <c r="BB1767" t="s">
        <v>98</v>
      </c>
      <c r="BC1767">
        <v>1986</v>
      </c>
      <c r="BD1767" t="s">
        <v>90</v>
      </c>
    </row>
    <row r="1768" spans="1:56" x14ac:dyDescent="0.35">
      <c r="A1768">
        <v>298000</v>
      </c>
      <c r="B1768" t="s">
        <v>1376</v>
      </c>
      <c r="D1768" t="s">
        <v>85</v>
      </c>
      <c r="E1768" t="s">
        <v>86</v>
      </c>
      <c r="F1768" t="s">
        <v>58</v>
      </c>
      <c r="G1768" t="s">
        <v>59</v>
      </c>
      <c r="H1768" t="s">
        <v>60</v>
      </c>
      <c r="J1768" t="s">
        <v>86</v>
      </c>
      <c r="L1768" t="s">
        <v>62</v>
      </c>
      <c r="M1768" t="s">
        <v>63</v>
      </c>
      <c r="N1768" t="s">
        <v>64</v>
      </c>
      <c r="P1768" t="s">
        <v>100</v>
      </c>
      <c r="R1768">
        <v>7.5</v>
      </c>
      <c r="W1768" t="s">
        <v>66</v>
      </c>
      <c r="X1768" t="s">
        <v>67</v>
      </c>
      <c r="Y1768" t="s">
        <v>67</v>
      </c>
      <c r="Z1768" t="s">
        <v>68</v>
      </c>
      <c r="AB1768">
        <v>4</v>
      </c>
      <c r="AC1768" t="s">
        <v>61</v>
      </c>
      <c r="AJ1768" t="s">
        <v>69</v>
      </c>
      <c r="AY1768" t="s">
        <v>150</v>
      </c>
      <c r="AZ1768">
        <v>2155</v>
      </c>
      <c r="BA1768" t="s">
        <v>151</v>
      </c>
      <c r="BB1768" t="s">
        <v>152</v>
      </c>
      <c r="BC1768">
        <v>1958</v>
      </c>
      <c r="BD1768" t="s">
        <v>90</v>
      </c>
    </row>
    <row r="1769" spans="1:56" x14ac:dyDescent="0.35">
      <c r="A1769">
        <v>298000</v>
      </c>
      <c r="B1769" t="s">
        <v>1376</v>
      </c>
      <c r="C1769" t="s">
        <v>91</v>
      </c>
      <c r="D1769" t="s">
        <v>85</v>
      </c>
      <c r="E1769">
        <v>80</v>
      </c>
      <c r="F1769" t="s">
        <v>58</v>
      </c>
      <c r="G1769" t="s">
        <v>59</v>
      </c>
      <c r="H1769" t="s">
        <v>60</v>
      </c>
      <c r="J1769" t="s">
        <v>86</v>
      </c>
      <c r="L1769" t="s">
        <v>62</v>
      </c>
      <c r="M1769" t="s">
        <v>63</v>
      </c>
      <c r="N1769" t="s">
        <v>64</v>
      </c>
      <c r="P1769" t="s">
        <v>65</v>
      </c>
      <c r="R1769">
        <v>9.5</v>
      </c>
      <c r="W1769" t="s">
        <v>66</v>
      </c>
      <c r="X1769" t="s">
        <v>67</v>
      </c>
      <c r="Y1769" t="s">
        <v>67</v>
      </c>
      <c r="Z1769" t="s">
        <v>68</v>
      </c>
      <c r="AB1769">
        <v>4</v>
      </c>
      <c r="AC1769" t="s">
        <v>61</v>
      </c>
      <c r="AJ1769" t="s">
        <v>69</v>
      </c>
      <c r="AY1769" t="s">
        <v>157</v>
      </c>
      <c r="AZ1769">
        <v>2893</v>
      </c>
      <c r="BA1769" t="s">
        <v>158</v>
      </c>
      <c r="BB1769" t="s">
        <v>159</v>
      </c>
      <c r="BC1769">
        <v>1962</v>
      </c>
      <c r="BD1769" t="s">
        <v>90</v>
      </c>
    </row>
    <row r="1770" spans="1:56" x14ac:dyDescent="0.35">
      <c r="A1770">
        <v>298000</v>
      </c>
      <c r="B1770" t="s">
        <v>1376</v>
      </c>
      <c r="D1770" t="s">
        <v>57</v>
      </c>
      <c r="E1770">
        <v>98.5</v>
      </c>
      <c r="F1770" t="s">
        <v>58</v>
      </c>
      <c r="G1770" t="s">
        <v>59</v>
      </c>
      <c r="H1770" t="s">
        <v>60</v>
      </c>
      <c r="J1770" t="s">
        <v>86</v>
      </c>
      <c r="L1770" t="s">
        <v>74</v>
      </c>
      <c r="M1770" t="s">
        <v>63</v>
      </c>
      <c r="N1770" t="s">
        <v>64</v>
      </c>
      <c r="P1770" t="s">
        <v>65</v>
      </c>
      <c r="R1770">
        <v>7.85</v>
      </c>
      <c r="W1770" t="s">
        <v>66</v>
      </c>
      <c r="X1770" t="s">
        <v>67</v>
      </c>
      <c r="Y1770" t="s">
        <v>67</v>
      </c>
      <c r="Z1770" t="s">
        <v>68</v>
      </c>
      <c r="AB1770">
        <v>4</v>
      </c>
      <c r="AC1770" t="s">
        <v>61</v>
      </c>
      <c r="AJ1770" t="s">
        <v>69</v>
      </c>
      <c r="AY1770" t="s">
        <v>208</v>
      </c>
      <c r="AZ1770">
        <v>605</v>
      </c>
      <c r="BA1770" t="s">
        <v>209</v>
      </c>
      <c r="BB1770" t="s">
        <v>210</v>
      </c>
      <c r="BC1770">
        <v>1970</v>
      </c>
      <c r="BD1770" t="s">
        <v>90</v>
      </c>
    </row>
    <row r="1771" spans="1:56" x14ac:dyDescent="0.35">
      <c r="A1771">
        <v>298000</v>
      </c>
      <c r="B1771" t="s">
        <v>1376</v>
      </c>
      <c r="C1771" t="s">
        <v>91</v>
      </c>
      <c r="D1771" t="s">
        <v>57</v>
      </c>
      <c r="E1771">
        <v>80</v>
      </c>
      <c r="F1771" t="s">
        <v>58</v>
      </c>
      <c r="G1771" t="s">
        <v>59</v>
      </c>
      <c r="H1771" t="s">
        <v>60</v>
      </c>
      <c r="I1771" t="s">
        <v>188</v>
      </c>
      <c r="J1771" t="s">
        <v>86</v>
      </c>
      <c r="L1771" t="s">
        <v>62</v>
      </c>
      <c r="M1771" t="s">
        <v>63</v>
      </c>
      <c r="N1771" t="s">
        <v>64</v>
      </c>
      <c r="P1771" t="s">
        <v>65</v>
      </c>
      <c r="R1771">
        <v>4.46</v>
      </c>
      <c r="T1771">
        <v>3.27</v>
      </c>
      <c r="V1771">
        <v>8.1999999999999993</v>
      </c>
      <c r="W1771" t="s">
        <v>66</v>
      </c>
      <c r="X1771" t="s">
        <v>67</v>
      </c>
      <c r="Y1771" t="s">
        <v>67</v>
      </c>
      <c r="Z1771" t="s">
        <v>68</v>
      </c>
      <c r="AB1771">
        <v>4</v>
      </c>
      <c r="AC1771" t="s">
        <v>61</v>
      </c>
      <c r="AJ1771" t="s">
        <v>69</v>
      </c>
      <c r="AY1771" t="s">
        <v>1377</v>
      </c>
      <c r="AZ1771">
        <v>15462</v>
      </c>
      <c r="BA1771" t="s">
        <v>1378</v>
      </c>
      <c r="BB1771" t="s">
        <v>1379</v>
      </c>
      <c r="BC1771">
        <v>1982</v>
      </c>
      <c r="BD1771" t="s">
        <v>90</v>
      </c>
    </row>
    <row r="1772" spans="1:56" x14ac:dyDescent="0.35">
      <c r="A1772">
        <v>298000</v>
      </c>
      <c r="B1772" t="s">
        <v>1376</v>
      </c>
      <c r="C1772" t="s">
        <v>91</v>
      </c>
      <c r="D1772" t="s">
        <v>57</v>
      </c>
      <c r="E1772">
        <v>80</v>
      </c>
      <c r="F1772" t="s">
        <v>58</v>
      </c>
      <c r="G1772" t="s">
        <v>59</v>
      </c>
      <c r="H1772" t="s">
        <v>60</v>
      </c>
      <c r="I1772" t="s">
        <v>188</v>
      </c>
      <c r="J1772" t="s">
        <v>86</v>
      </c>
      <c r="L1772" t="s">
        <v>74</v>
      </c>
      <c r="M1772" t="s">
        <v>63</v>
      </c>
      <c r="N1772" t="s">
        <v>64</v>
      </c>
      <c r="P1772" t="s">
        <v>65</v>
      </c>
      <c r="R1772">
        <v>5.36</v>
      </c>
      <c r="T1772">
        <v>4.93</v>
      </c>
      <c r="V1772">
        <v>5.82</v>
      </c>
      <c r="W1772" t="s">
        <v>66</v>
      </c>
      <c r="X1772" t="s">
        <v>67</v>
      </c>
      <c r="Y1772" t="s">
        <v>67</v>
      </c>
      <c r="Z1772" t="s">
        <v>68</v>
      </c>
      <c r="AB1772">
        <v>4</v>
      </c>
      <c r="AC1772" t="s">
        <v>61</v>
      </c>
      <c r="AJ1772" t="s">
        <v>69</v>
      </c>
      <c r="AY1772" t="s">
        <v>1377</v>
      </c>
      <c r="AZ1772">
        <v>15462</v>
      </c>
      <c r="BA1772" t="s">
        <v>1378</v>
      </c>
      <c r="BB1772" t="s">
        <v>1379</v>
      </c>
      <c r="BC1772">
        <v>1982</v>
      </c>
      <c r="BD1772" t="s">
        <v>90</v>
      </c>
    </row>
    <row r="1773" spans="1:56" x14ac:dyDescent="0.35">
      <c r="A1773">
        <v>298000</v>
      </c>
      <c r="B1773" t="s">
        <v>1376</v>
      </c>
      <c r="D1773" t="s">
        <v>57</v>
      </c>
      <c r="E1773" t="s">
        <v>86</v>
      </c>
      <c r="F1773" t="s">
        <v>58</v>
      </c>
      <c r="G1773" t="s">
        <v>59</v>
      </c>
      <c r="H1773" t="s">
        <v>60</v>
      </c>
      <c r="I1773" t="s">
        <v>188</v>
      </c>
      <c r="J1773" t="s">
        <v>86</v>
      </c>
      <c r="L1773" t="s">
        <v>62</v>
      </c>
      <c r="M1773" t="s">
        <v>63</v>
      </c>
      <c r="N1773" t="s">
        <v>64</v>
      </c>
      <c r="P1773" t="s">
        <v>65</v>
      </c>
      <c r="R1773">
        <v>8.17</v>
      </c>
      <c r="T1773">
        <v>7.48</v>
      </c>
      <c r="V1773">
        <v>8.93</v>
      </c>
      <c r="W1773" t="s">
        <v>66</v>
      </c>
      <c r="X1773" t="s">
        <v>67</v>
      </c>
      <c r="Y1773" t="s">
        <v>67</v>
      </c>
      <c r="Z1773" t="s">
        <v>68</v>
      </c>
      <c r="AB1773">
        <v>4</v>
      </c>
      <c r="AC1773" t="s">
        <v>61</v>
      </c>
      <c r="AJ1773" t="s">
        <v>69</v>
      </c>
      <c r="AY1773" t="s">
        <v>1377</v>
      </c>
      <c r="AZ1773">
        <v>15462</v>
      </c>
      <c r="BA1773" t="s">
        <v>1378</v>
      </c>
      <c r="BB1773" t="s">
        <v>1379</v>
      </c>
      <c r="BC1773">
        <v>1982</v>
      </c>
      <c r="BD1773" t="s">
        <v>90</v>
      </c>
    </row>
    <row r="1774" spans="1:56" x14ac:dyDescent="0.35">
      <c r="A1774">
        <v>298022</v>
      </c>
      <c r="B1774" t="s">
        <v>1380</v>
      </c>
      <c r="C1774" t="s">
        <v>91</v>
      </c>
      <c r="D1774" t="s">
        <v>85</v>
      </c>
      <c r="E1774">
        <v>95</v>
      </c>
      <c r="F1774" t="s">
        <v>58</v>
      </c>
      <c r="G1774" t="s">
        <v>59</v>
      </c>
      <c r="H1774" t="s">
        <v>60</v>
      </c>
      <c r="J1774" t="s">
        <v>86</v>
      </c>
      <c r="L1774" t="s">
        <v>62</v>
      </c>
      <c r="M1774" t="s">
        <v>63</v>
      </c>
      <c r="N1774" t="s">
        <v>64</v>
      </c>
      <c r="P1774" t="s">
        <v>65</v>
      </c>
      <c r="R1774">
        <v>0.25</v>
      </c>
      <c r="W1774" t="s">
        <v>66</v>
      </c>
      <c r="X1774" t="s">
        <v>67</v>
      </c>
      <c r="Y1774" t="s">
        <v>67</v>
      </c>
      <c r="Z1774" t="s">
        <v>68</v>
      </c>
      <c r="AB1774">
        <v>4</v>
      </c>
      <c r="AC1774" t="s">
        <v>61</v>
      </c>
      <c r="AJ1774" t="s">
        <v>69</v>
      </c>
      <c r="AY1774" t="s">
        <v>168</v>
      </c>
      <c r="AZ1774">
        <v>8096</v>
      </c>
      <c r="BA1774" t="s">
        <v>169</v>
      </c>
      <c r="BB1774" t="s">
        <v>170</v>
      </c>
      <c r="BC1774">
        <v>1966</v>
      </c>
      <c r="BD1774" t="s">
        <v>90</v>
      </c>
    </row>
    <row r="1775" spans="1:56" x14ac:dyDescent="0.35">
      <c r="A1775">
        <v>298044</v>
      </c>
      <c r="B1775" t="s">
        <v>1381</v>
      </c>
      <c r="C1775" t="s">
        <v>91</v>
      </c>
      <c r="D1775" t="s">
        <v>85</v>
      </c>
      <c r="E1775">
        <v>90</v>
      </c>
      <c r="F1775" t="s">
        <v>58</v>
      </c>
      <c r="G1775" t="s">
        <v>59</v>
      </c>
      <c r="H1775" t="s">
        <v>60</v>
      </c>
      <c r="J1775" t="s">
        <v>86</v>
      </c>
      <c r="L1775" t="s">
        <v>62</v>
      </c>
      <c r="M1775" t="s">
        <v>63</v>
      </c>
      <c r="N1775" t="s">
        <v>64</v>
      </c>
      <c r="P1775" t="s">
        <v>65</v>
      </c>
      <c r="R1775">
        <v>2.9</v>
      </c>
      <c r="W1775" t="s">
        <v>66</v>
      </c>
      <c r="X1775" t="s">
        <v>67</v>
      </c>
      <c r="Y1775" t="s">
        <v>67</v>
      </c>
      <c r="Z1775" t="s">
        <v>68</v>
      </c>
      <c r="AB1775">
        <v>4</v>
      </c>
      <c r="AC1775" t="s">
        <v>61</v>
      </c>
      <c r="AJ1775" t="s">
        <v>69</v>
      </c>
      <c r="AY1775" t="s">
        <v>87</v>
      </c>
      <c r="AZ1775">
        <v>936</v>
      </c>
      <c r="BA1775" t="s">
        <v>219</v>
      </c>
      <c r="BB1775" t="s">
        <v>220</v>
      </c>
      <c r="BC1775">
        <v>1960</v>
      </c>
      <c r="BD1775" t="s">
        <v>90</v>
      </c>
    </row>
    <row r="1776" spans="1:56" x14ac:dyDescent="0.35">
      <c r="A1776">
        <v>298044</v>
      </c>
      <c r="B1776" t="s">
        <v>1381</v>
      </c>
      <c r="E1776">
        <v>98</v>
      </c>
      <c r="F1776" t="s">
        <v>58</v>
      </c>
      <c r="G1776" t="s">
        <v>59</v>
      </c>
      <c r="H1776" t="s">
        <v>60</v>
      </c>
      <c r="J1776" t="s">
        <v>86</v>
      </c>
      <c r="L1776" t="s">
        <v>62</v>
      </c>
      <c r="M1776" t="s">
        <v>63</v>
      </c>
      <c r="N1776" t="s">
        <v>64</v>
      </c>
      <c r="P1776" t="s">
        <v>65</v>
      </c>
      <c r="R1776">
        <v>4.3</v>
      </c>
      <c r="W1776" t="s">
        <v>66</v>
      </c>
      <c r="X1776" t="s">
        <v>67</v>
      </c>
      <c r="Y1776" t="s">
        <v>67</v>
      </c>
      <c r="Z1776" t="s">
        <v>68</v>
      </c>
      <c r="AB1776">
        <v>4</v>
      </c>
      <c r="AC1776" t="s">
        <v>61</v>
      </c>
      <c r="AJ1776" t="s">
        <v>69</v>
      </c>
      <c r="AY1776" t="s">
        <v>96</v>
      </c>
      <c r="AZ1776">
        <v>6797</v>
      </c>
      <c r="BA1776" t="s">
        <v>97</v>
      </c>
      <c r="BB1776" t="s">
        <v>98</v>
      </c>
      <c r="BC1776">
        <v>1986</v>
      </c>
      <c r="BD1776" t="s">
        <v>90</v>
      </c>
    </row>
    <row r="1777" spans="1:56" x14ac:dyDescent="0.35">
      <c r="A1777">
        <v>298044</v>
      </c>
      <c r="B1777" t="s">
        <v>1381</v>
      </c>
      <c r="C1777" t="s">
        <v>218</v>
      </c>
      <c r="D1777" t="s">
        <v>85</v>
      </c>
      <c r="E1777">
        <v>20</v>
      </c>
      <c r="F1777" t="s">
        <v>58</v>
      </c>
      <c r="G1777" t="s">
        <v>59</v>
      </c>
      <c r="H1777" t="s">
        <v>60</v>
      </c>
      <c r="J1777" t="s">
        <v>86</v>
      </c>
      <c r="L1777" t="s">
        <v>62</v>
      </c>
      <c r="M1777" t="s">
        <v>63</v>
      </c>
      <c r="N1777" t="s">
        <v>64</v>
      </c>
      <c r="P1777" t="s">
        <v>65</v>
      </c>
      <c r="R1777">
        <v>2.6</v>
      </c>
      <c r="W1777" t="s">
        <v>66</v>
      </c>
      <c r="X1777" t="s">
        <v>67</v>
      </c>
      <c r="Y1777" t="s">
        <v>67</v>
      </c>
      <c r="Z1777" t="s">
        <v>68</v>
      </c>
      <c r="AB1777">
        <v>4</v>
      </c>
      <c r="AC1777" t="s">
        <v>61</v>
      </c>
      <c r="AJ1777" t="s">
        <v>69</v>
      </c>
      <c r="AY1777" t="s">
        <v>87</v>
      </c>
      <c r="AZ1777">
        <v>936</v>
      </c>
      <c r="BA1777" t="s">
        <v>219</v>
      </c>
      <c r="BB1777" t="s">
        <v>220</v>
      </c>
      <c r="BC1777">
        <v>1960</v>
      </c>
      <c r="BD1777" t="s">
        <v>90</v>
      </c>
    </row>
    <row r="1778" spans="1:56" x14ac:dyDescent="0.35">
      <c r="A1778">
        <v>298044</v>
      </c>
      <c r="B1778" t="s">
        <v>1381</v>
      </c>
      <c r="C1778" t="s">
        <v>91</v>
      </c>
      <c r="D1778" t="s">
        <v>57</v>
      </c>
      <c r="E1778">
        <v>98.1</v>
      </c>
      <c r="F1778" t="s">
        <v>58</v>
      </c>
      <c r="G1778" t="s">
        <v>59</v>
      </c>
      <c r="H1778" t="s">
        <v>60</v>
      </c>
      <c r="J1778" t="s">
        <v>86</v>
      </c>
      <c r="K1778" t="s">
        <v>61</v>
      </c>
      <c r="L1778" t="s">
        <v>74</v>
      </c>
      <c r="M1778" t="s">
        <v>63</v>
      </c>
      <c r="N1778" t="s">
        <v>64</v>
      </c>
      <c r="P1778" t="s">
        <v>65</v>
      </c>
      <c r="R1778">
        <v>4</v>
      </c>
      <c r="T1778">
        <v>3.81</v>
      </c>
      <c r="V1778">
        <v>4.21</v>
      </c>
      <c r="W1778" t="s">
        <v>66</v>
      </c>
      <c r="X1778" t="s">
        <v>67</v>
      </c>
      <c r="Y1778" t="s">
        <v>67</v>
      </c>
      <c r="Z1778" t="s">
        <v>68</v>
      </c>
      <c r="AB1778">
        <v>4</v>
      </c>
      <c r="AC1778" t="s">
        <v>61</v>
      </c>
      <c r="AJ1778" t="s">
        <v>69</v>
      </c>
      <c r="AY1778" t="s">
        <v>1127</v>
      </c>
      <c r="AZ1778">
        <v>10536</v>
      </c>
      <c r="BA1778" t="s">
        <v>1128</v>
      </c>
      <c r="BB1778" t="s">
        <v>1129</v>
      </c>
      <c r="BC1778">
        <v>1982</v>
      </c>
      <c r="BD1778" t="s">
        <v>148</v>
      </c>
    </row>
    <row r="1779" spans="1:56" x14ac:dyDescent="0.35">
      <c r="A1779">
        <v>298044</v>
      </c>
      <c r="B1779" t="s">
        <v>1381</v>
      </c>
      <c r="D1779" t="s">
        <v>57</v>
      </c>
      <c r="E1779">
        <v>95.4</v>
      </c>
      <c r="F1779" t="s">
        <v>58</v>
      </c>
      <c r="G1779" t="s">
        <v>59</v>
      </c>
      <c r="H1779" t="s">
        <v>60</v>
      </c>
      <c r="J1779" t="s">
        <v>86</v>
      </c>
      <c r="K1779" t="s">
        <v>61</v>
      </c>
      <c r="L1779" t="s">
        <v>74</v>
      </c>
      <c r="M1779" t="s">
        <v>63</v>
      </c>
      <c r="N1779" t="s">
        <v>64</v>
      </c>
      <c r="O1779">
        <v>6</v>
      </c>
      <c r="P1779" t="s">
        <v>65</v>
      </c>
      <c r="R1779">
        <v>1.87</v>
      </c>
      <c r="T1779">
        <v>1.64</v>
      </c>
      <c r="V1779">
        <v>2.13</v>
      </c>
      <c r="W1779" t="s">
        <v>66</v>
      </c>
      <c r="X1779" t="s">
        <v>67</v>
      </c>
      <c r="Y1779" t="s">
        <v>67</v>
      </c>
      <c r="Z1779" t="s">
        <v>68</v>
      </c>
      <c r="AB1779">
        <v>4</v>
      </c>
      <c r="AC1779" t="s">
        <v>61</v>
      </c>
      <c r="AJ1779" t="s">
        <v>69</v>
      </c>
      <c r="AY1779" t="s">
        <v>120</v>
      </c>
      <c r="AZ1779">
        <v>14097</v>
      </c>
      <c r="BA1779" t="s">
        <v>121</v>
      </c>
      <c r="BB1779" t="s">
        <v>122</v>
      </c>
      <c r="BC1779">
        <v>1989</v>
      </c>
      <c r="BD1779" t="s">
        <v>123</v>
      </c>
    </row>
    <row r="1780" spans="1:56" x14ac:dyDescent="0.35">
      <c r="A1780">
        <v>298044</v>
      </c>
      <c r="B1780" t="s">
        <v>1381</v>
      </c>
      <c r="C1780" t="s">
        <v>218</v>
      </c>
      <c r="D1780" t="s">
        <v>85</v>
      </c>
      <c r="E1780">
        <v>20</v>
      </c>
      <c r="F1780" t="s">
        <v>58</v>
      </c>
      <c r="G1780" t="s">
        <v>59</v>
      </c>
      <c r="H1780" t="s">
        <v>60</v>
      </c>
      <c r="J1780" t="s">
        <v>86</v>
      </c>
      <c r="L1780" t="s">
        <v>62</v>
      </c>
      <c r="M1780" t="s">
        <v>63</v>
      </c>
      <c r="N1780" t="s">
        <v>64</v>
      </c>
      <c r="P1780" t="s">
        <v>65</v>
      </c>
      <c r="R1780">
        <v>3.7</v>
      </c>
      <c r="W1780" t="s">
        <v>66</v>
      </c>
      <c r="X1780" t="s">
        <v>67</v>
      </c>
      <c r="Y1780" t="s">
        <v>67</v>
      </c>
      <c r="Z1780" t="s">
        <v>68</v>
      </c>
      <c r="AB1780">
        <v>4</v>
      </c>
      <c r="AC1780" t="s">
        <v>61</v>
      </c>
      <c r="AJ1780" t="s">
        <v>69</v>
      </c>
      <c r="AY1780" t="s">
        <v>87</v>
      </c>
      <c r="AZ1780">
        <v>936</v>
      </c>
      <c r="BA1780" t="s">
        <v>219</v>
      </c>
      <c r="BB1780" t="s">
        <v>220</v>
      </c>
      <c r="BC1780">
        <v>1960</v>
      </c>
      <c r="BD1780" t="s">
        <v>90</v>
      </c>
    </row>
    <row r="1781" spans="1:56" x14ac:dyDescent="0.35">
      <c r="A1781">
        <v>298044</v>
      </c>
      <c r="B1781" t="s">
        <v>1381</v>
      </c>
      <c r="C1781" t="s">
        <v>91</v>
      </c>
      <c r="D1781" t="s">
        <v>85</v>
      </c>
      <c r="E1781">
        <v>90</v>
      </c>
      <c r="F1781" t="s">
        <v>58</v>
      </c>
      <c r="G1781" t="s">
        <v>59</v>
      </c>
      <c r="H1781" t="s">
        <v>60</v>
      </c>
      <c r="J1781" t="s">
        <v>86</v>
      </c>
      <c r="L1781" t="s">
        <v>62</v>
      </c>
      <c r="M1781" t="s">
        <v>63</v>
      </c>
      <c r="N1781" t="s">
        <v>64</v>
      </c>
      <c r="P1781" t="s">
        <v>65</v>
      </c>
      <c r="R1781">
        <v>4.0999999999999996</v>
      </c>
      <c r="W1781" t="s">
        <v>66</v>
      </c>
      <c r="X1781" t="s">
        <v>67</v>
      </c>
      <c r="Y1781" t="s">
        <v>67</v>
      </c>
      <c r="Z1781" t="s">
        <v>68</v>
      </c>
      <c r="AB1781">
        <v>4</v>
      </c>
      <c r="AC1781" t="s">
        <v>61</v>
      </c>
      <c r="AJ1781" t="s">
        <v>69</v>
      </c>
      <c r="AY1781" t="s">
        <v>87</v>
      </c>
      <c r="AZ1781">
        <v>936</v>
      </c>
      <c r="BA1781" t="s">
        <v>219</v>
      </c>
      <c r="BB1781" t="s">
        <v>220</v>
      </c>
      <c r="BC1781">
        <v>1960</v>
      </c>
      <c r="BD1781" t="s">
        <v>90</v>
      </c>
    </row>
    <row r="1782" spans="1:56" x14ac:dyDescent="0.35">
      <c r="A1782">
        <v>298044</v>
      </c>
      <c r="B1782" t="s">
        <v>1381</v>
      </c>
      <c r="D1782" t="s">
        <v>57</v>
      </c>
      <c r="E1782">
        <v>98.1</v>
      </c>
      <c r="F1782" t="s">
        <v>58</v>
      </c>
      <c r="G1782" t="s">
        <v>59</v>
      </c>
      <c r="H1782" t="s">
        <v>60</v>
      </c>
      <c r="J1782">
        <v>31</v>
      </c>
      <c r="K1782" t="s">
        <v>61</v>
      </c>
      <c r="L1782" t="s">
        <v>74</v>
      </c>
      <c r="M1782" t="s">
        <v>63</v>
      </c>
      <c r="N1782" t="s">
        <v>64</v>
      </c>
      <c r="P1782" t="s">
        <v>65</v>
      </c>
      <c r="R1782">
        <v>3.98</v>
      </c>
      <c r="T1782">
        <v>3.78</v>
      </c>
      <c r="V1782">
        <v>4.18</v>
      </c>
      <c r="W1782" t="s">
        <v>66</v>
      </c>
      <c r="X1782" t="s">
        <v>67</v>
      </c>
      <c r="Y1782" t="s">
        <v>67</v>
      </c>
      <c r="Z1782" t="s">
        <v>68</v>
      </c>
      <c r="AB1782">
        <v>4</v>
      </c>
      <c r="AC1782" t="s">
        <v>61</v>
      </c>
      <c r="AJ1782" t="s">
        <v>69</v>
      </c>
      <c r="AY1782" t="s">
        <v>80</v>
      </c>
      <c r="AZ1782">
        <v>12859</v>
      </c>
      <c r="BA1782" t="s">
        <v>81</v>
      </c>
      <c r="BB1782" t="s">
        <v>82</v>
      </c>
      <c r="BC1782">
        <v>1988</v>
      </c>
      <c r="BD1782" t="s">
        <v>73</v>
      </c>
    </row>
    <row r="1783" spans="1:56" x14ac:dyDescent="0.35">
      <c r="A1783">
        <v>299843</v>
      </c>
      <c r="B1783" t="s">
        <v>1382</v>
      </c>
      <c r="D1783" t="s">
        <v>57</v>
      </c>
      <c r="E1783">
        <v>98.5</v>
      </c>
      <c r="F1783" t="s">
        <v>58</v>
      </c>
      <c r="G1783" t="s">
        <v>59</v>
      </c>
      <c r="H1783" t="s">
        <v>60</v>
      </c>
      <c r="J1783" t="s">
        <v>86</v>
      </c>
      <c r="L1783" t="s">
        <v>74</v>
      </c>
      <c r="M1783" t="s">
        <v>63</v>
      </c>
      <c r="N1783" t="s">
        <v>64</v>
      </c>
      <c r="P1783" t="s">
        <v>65</v>
      </c>
      <c r="R1783">
        <v>0.30499999999999999</v>
      </c>
      <c r="W1783" t="s">
        <v>66</v>
      </c>
      <c r="X1783" t="s">
        <v>67</v>
      </c>
      <c r="Y1783" t="s">
        <v>67</v>
      </c>
      <c r="Z1783" t="s">
        <v>68</v>
      </c>
      <c r="AB1783">
        <v>4</v>
      </c>
      <c r="AC1783" t="s">
        <v>61</v>
      </c>
      <c r="AJ1783" t="s">
        <v>69</v>
      </c>
      <c r="AY1783" t="s">
        <v>208</v>
      </c>
      <c r="AZ1783">
        <v>605</v>
      </c>
      <c r="BA1783" t="s">
        <v>209</v>
      </c>
      <c r="BB1783" t="s">
        <v>210</v>
      </c>
      <c r="BC1783">
        <v>1970</v>
      </c>
      <c r="BD1783" t="s">
        <v>90</v>
      </c>
    </row>
    <row r="1784" spans="1:56" x14ac:dyDescent="0.35">
      <c r="A1784">
        <v>300765</v>
      </c>
      <c r="B1784" t="s">
        <v>1383</v>
      </c>
      <c r="E1784">
        <v>90</v>
      </c>
      <c r="F1784" t="s">
        <v>58</v>
      </c>
      <c r="G1784" t="s">
        <v>59</v>
      </c>
      <c r="H1784" t="s">
        <v>60</v>
      </c>
      <c r="J1784" t="s">
        <v>86</v>
      </c>
      <c r="L1784" t="s">
        <v>62</v>
      </c>
      <c r="M1784" t="s">
        <v>63</v>
      </c>
      <c r="N1784" t="s">
        <v>64</v>
      </c>
      <c r="P1784" t="s">
        <v>65</v>
      </c>
      <c r="R1784">
        <v>3.3</v>
      </c>
      <c r="W1784" t="s">
        <v>66</v>
      </c>
      <c r="X1784" t="s">
        <v>67</v>
      </c>
      <c r="Y1784" t="s">
        <v>67</v>
      </c>
      <c r="Z1784" t="s">
        <v>68</v>
      </c>
      <c r="AB1784">
        <v>4</v>
      </c>
      <c r="AC1784" t="s">
        <v>61</v>
      </c>
      <c r="AJ1784" t="s">
        <v>69</v>
      </c>
      <c r="AY1784" t="s">
        <v>96</v>
      </c>
      <c r="AZ1784">
        <v>6797</v>
      </c>
      <c r="BA1784" t="s">
        <v>97</v>
      </c>
      <c r="BB1784" t="s">
        <v>98</v>
      </c>
      <c r="BC1784">
        <v>1986</v>
      </c>
      <c r="BD1784" t="s">
        <v>90</v>
      </c>
    </row>
    <row r="1785" spans="1:56" x14ac:dyDescent="0.35">
      <c r="A1785">
        <v>301042</v>
      </c>
      <c r="B1785" t="s">
        <v>1384</v>
      </c>
      <c r="D1785" t="s">
        <v>57</v>
      </c>
      <c r="E1785" t="s">
        <v>86</v>
      </c>
      <c r="F1785" t="s">
        <v>58</v>
      </c>
      <c r="G1785" t="s">
        <v>59</v>
      </c>
      <c r="H1785" t="s">
        <v>60</v>
      </c>
      <c r="J1785" t="s">
        <v>86</v>
      </c>
      <c r="L1785" t="s">
        <v>62</v>
      </c>
      <c r="M1785" t="s">
        <v>63</v>
      </c>
      <c r="N1785" t="s">
        <v>64</v>
      </c>
      <c r="O1785" t="s">
        <v>267</v>
      </c>
      <c r="P1785" t="s">
        <v>1296</v>
      </c>
      <c r="R1785">
        <v>43.6</v>
      </c>
      <c r="T1785">
        <v>33.299999999999997</v>
      </c>
      <c r="V1785">
        <v>57.7</v>
      </c>
      <c r="W1785" t="s">
        <v>66</v>
      </c>
      <c r="X1785" t="s">
        <v>67</v>
      </c>
      <c r="Y1785" t="s">
        <v>67</v>
      </c>
      <c r="Z1785" t="s">
        <v>68</v>
      </c>
      <c r="AB1785">
        <v>4</v>
      </c>
      <c r="AC1785" t="s">
        <v>61</v>
      </c>
      <c r="AJ1785" t="s">
        <v>69</v>
      </c>
      <c r="AY1785" t="s">
        <v>268</v>
      </c>
      <c r="AZ1785">
        <v>2965</v>
      </c>
      <c r="BA1785" t="s">
        <v>269</v>
      </c>
      <c r="BB1785" t="s">
        <v>270</v>
      </c>
      <c r="BC1785">
        <v>1981</v>
      </c>
      <c r="BD1785" t="s">
        <v>90</v>
      </c>
    </row>
    <row r="1786" spans="1:56" x14ac:dyDescent="0.35">
      <c r="A1786">
        <v>301042</v>
      </c>
      <c r="B1786" t="s">
        <v>1384</v>
      </c>
      <c r="D1786" t="s">
        <v>85</v>
      </c>
      <c r="E1786" t="s">
        <v>86</v>
      </c>
      <c r="F1786" t="s">
        <v>58</v>
      </c>
      <c r="G1786" t="s">
        <v>59</v>
      </c>
      <c r="H1786" t="s">
        <v>60</v>
      </c>
      <c r="J1786" t="s">
        <v>86</v>
      </c>
      <c r="L1786" t="s">
        <v>62</v>
      </c>
      <c r="M1786" t="s">
        <v>63</v>
      </c>
      <c r="N1786" t="s">
        <v>64</v>
      </c>
      <c r="P1786" t="s">
        <v>201</v>
      </c>
      <c r="R1786">
        <v>7.48</v>
      </c>
      <c r="T1786">
        <v>4.8600000000000003</v>
      </c>
      <c r="V1786">
        <v>11.8</v>
      </c>
      <c r="W1786" t="s">
        <v>66</v>
      </c>
      <c r="X1786" t="s">
        <v>67</v>
      </c>
      <c r="Y1786" t="s">
        <v>67</v>
      </c>
      <c r="Z1786" t="s">
        <v>68</v>
      </c>
      <c r="AB1786">
        <v>4</v>
      </c>
      <c r="AC1786" t="s">
        <v>61</v>
      </c>
      <c r="AJ1786" t="s">
        <v>69</v>
      </c>
      <c r="AY1786" t="s">
        <v>168</v>
      </c>
      <c r="AZ1786">
        <v>2033</v>
      </c>
      <c r="BA1786" t="s">
        <v>1385</v>
      </c>
      <c r="BB1786" t="s">
        <v>1386</v>
      </c>
      <c r="BC1786">
        <v>1966</v>
      </c>
      <c r="BD1786" t="s">
        <v>90</v>
      </c>
    </row>
    <row r="1787" spans="1:56" x14ac:dyDescent="0.35">
      <c r="A1787">
        <v>302012</v>
      </c>
      <c r="B1787" t="s">
        <v>1387</v>
      </c>
      <c r="D1787" t="s">
        <v>57</v>
      </c>
      <c r="E1787">
        <v>97.3</v>
      </c>
      <c r="F1787" t="s">
        <v>58</v>
      </c>
      <c r="G1787" t="s">
        <v>59</v>
      </c>
      <c r="H1787" t="s">
        <v>60</v>
      </c>
      <c r="J1787">
        <v>30</v>
      </c>
      <c r="K1787" t="s">
        <v>61</v>
      </c>
      <c r="L1787" t="s">
        <v>74</v>
      </c>
      <c r="M1787" t="s">
        <v>63</v>
      </c>
      <c r="N1787" t="s">
        <v>64</v>
      </c>
      <c r="P1787" t="s">
        <v>65</v>
      </c>
      <c r="R1787">
        <v>2.25</v>
      </c>
      <c r="T1787">
        <v>1.81</v>
      </c>
      <c r="V1787">
        <v>2.79</v>
      </c>
      <c r="W1787" t="s">
        <v>66</v>
      </c>
      <c r="X1787" t="s">
        <v>67</v>
      </c>
      <c r="Y1787" t="s">
        <v>67</v>
      </c>
      <c r="Z1787" t="s">
        <v>68</v>
      </c>
      <c r="AB1787">
        <v>4</v>
      </c>
      <c r="AC1787" t="s">
        <v>61</v>
      </c>
      <c r="AJ1787" t="s">
        <v>69</v>
      </c>
      <c r="AY1787" t="s">
        <v>70</v>
      </c>
      <c r="AZ1787">
        <v>14339</v>
      </c>
      <c r="BA1787" t="s">
        <v>71</v>
      </c>
      <c r="BB1787" t="s">
        <v>72</v>
      </c>
      <c r="BC1787">
        <v>1987</v>
      </c>
      <c r="BD1787" t="s">
        <v>73</v>
      </c>
    </row>
    <row r="1788" spans="1:56" x14ac:dyDescent="0.35">
      <c r="A1788">
        <v>302012</v>
      </c>
      <c r="B1788" t="s">
        <v>1387</v>
      </c>
      <c r="D1788" t="s">
        <v>57</v>
      </c>
      <c r="E1788">
        <v>97.3</v>
      </c>
      <c r="F1788" t="s">
        <v>58</v>
      </c>
      <c r="G1788" t="s">
        <v>59</v>
      </c>
      <c r="H1788" t="s">
        <v>60</v>
      </c>
      <c r="J1788">
        <v>30</v>
      </c>
      <c r="K1788" t="s">
        <v>61</v>
      </c>
      <c r="L1788" t="s">
        <v>74</v>
      </c>
      <c r="M1788" t="s">
        <v>63</v>
      </c>
      <c r="N1788" t="s">
        <v>64</v>
      </c>
      <c r="P1788" t="s">
        <v>65</v>
      </c>
      <c r="R1788">
        <v>2.84</v>
      </c>
      <c r="T1788">
        <v>2.0699999999999998</v>
      </c>
      <c r="V1788">
        <v>3.89</v>
      </c>
      <c r="W1788" t="s">
        <v>66</v>
      </c>
      <c r="X1788" t="s">
        <v>67</v>
      </c>
      <c r="Y1788" t="s">
        <v>67</v>
      </c>
      <c r="Z1788" t="s">
        <v>68</v>
      </c>
      <c r="AB1788">
        <v>4</v>
      </c>
      <c r="AC1788" t="s">
        <v>61</v>
      </c>
      <c r="AJ1788" t="s">
        <v>69</v>
      </c>
      <c r="AY1788" t="s">
        <v>70</v>
      </c>
      <c r="AZ1788">
        <v>14339</v>
      </c>
      <c r="BA1788" t="s">
        <v>71</v>
      </c>
      <c r="BB1788" t="s">
        <v>72</v>
      </c>
      <c r="BC1788">
        <v>1987</v>
      </c>
      <c r="BD1788" t="s">
        <v>73</v>
      </c>
    </row>
    <row r="1789" spans="1:56" x14ac:dyDescent="0.35">
      <c r="A1789">
        <v>302012</v>
      </c>
      <c r="B1789" t="s">
        <v>1387</v>
      </c>
      <c r="D1789" t="s">
        <v>57</v>
      </c>
      <c r="E1789">
        <v>97.3</v>
      </c>
      <c r="F1789" t="s">
        <v>58</v>
      </c>
      <c r="G1789" t="s">
        <v>59</v>
      </c>
      <c r="H1789" t="s">
        <v>60</v>
      </c>
      <c r="I1789" t="s">
        <v>129</v>
      </c>
      <c r="J1789">
        <v>30</v>
      </c>
      <c r="K1789" t="s">
        <v>61</v>
      </c>
      <c r="L1789" t="s">
        <v>74</v>
      </c>
      <c r="M1789" t="s">
        <v>63</v>
      </c>
      <c r="N1789" t="s">
        <v>64</v>
      </c>
      <c r="O1789">
        <v>6</v>
      </c>
      <c r="P1789" t="s">
        <v>65</v>
      </c>
      <c r="R1789">
        <v>2.84</v>
      </c>
      <c r="T1789">
        <v>2.0699999999999998</v>
      </c>
      <c r="V1789">
        <v>3.89</v>
      </c>
      <c r="W1789" t="s">
        <v>66</v>
      </c>
      <c r="X1789" t="s">
        <v>67</v>
      </c>
      <c r="Y1789" t="s">
        <v>67</v>
      </c>
      <c r="Z1789" t="s">
        <v>68</v>
      </c>
      <c r="AB1789">
        <v>4</v>
      </c>
      <c r="AC1789" t="s">
        <v>61</v>
      </c>
      <c r="AJ1789" t="s">
        <v>69</v>
      </c>
      <c r="AY1789" t="s">
        <v>223</v>
      </c>
      <c r="AZ1789">
        <v>164628</v>
      </c>
      <c r="BA1789" t="s">
        <v>224</v>
      </c>
      <c r="BB1789" t="s">
        <v>225</v>
      </c>
      <c r="BC1789">
        <v>1990</v>
      </c>
      <c r="BD1789" t="s">
        <v>73</v>
      </c>
    </row>
    <row r="1790" spans="1:56" x14ac:dyDescent="0.35">
      <c r="A1790">
        <v>302012</v>
      </c>
      <c r="B1790" t="s">
        <v>1387</v>
      </c>
      <c r="D1790" t="s">
        <v>57</v>
      </c>
      <c r="E1790">
        <v>54.4</v>
      </c>
      <c r="F1790" t="s">
        <v>58</v>
      </c>
      <c r="G1790" t="s">
        <v>59</v>
      </c>
      <c r="H1790" t="s">
        <v>60</v>
      </c>
      <c r="J1790">
        <v>8</v>
      </c>
      <c r="K1790" t="s">
        <v>196</v>
      </c>
      <c r="L1790" t="s">
        <v>74</v>
      </c>
      <c r="M1790" t="s">
        <v>63</v>
      </c>
      <c r="N1790" t="s">
        <v>64</v>
      </c>
      <c r="P1790" t="s">
        <v>65</v>
      </c>
      <c r="R1790">
        <v>5.98</v>
      </c>
      <c r="T1790">
        <v>4.83</v>
      </c>
      <c r="V1790">
        <v>7.4</v>
      </c>
      <c r="W1790" t="s">
        <v>66</v>
      </c>
      <c r="X1790" t="s">
        <v>67</v>
      </c>
      <c r="Y1790" t="s">
        <v>67</v>
      </c>
      <c r="Z1790" t="s">
        <v>68</v>
      </c>
      <c r="AB1790">
        <v>4</v>
      </c>
      <c r="AC1790" t="s">
        <v>61</v>
      </c>
      <c r="AJ1790" t="s">
        <v>69</v>
      </c>
      <c r="AY1790" t="s">
        <v>1388</v>
      </c>
      <c r="AZ1790">
        <v>10452</v>
      </c>
      <c r="BA1790" t="s">
        <v>1389</v>
      </c>
      <c r="BB1790" t="s">
        <v>1390</v>
      </c>
      <c r="BC1790">
        <v>1984</v>
      </c>
      <c r="BD1790" t="s">
        <v>200</v>
      </c>
    </row>
    <row r="1791" spans="1:56" x14ac:dyDescent="0.35">
      <c r="A1791">
        <v>306672</v>
      </c>
      <c r="B1791" t="s">
        <v>1391</v>
      </c>
      <c r="D1791" t="s">
        <v>85</v>
      </c>
      <c r="E1791" t="s">
        <v>86</v>
      </c>
      <c r="F1791" t="s">
        <v>58</v>
      </c>
      <c r="G1791" t="s">
        <v>59</v>
      </c>
      <c r="H1791" t="s">
        <v>60</v>
      </c>
      <c r="J1791" t="s">
        <v>86</v>
      </c>
      <c r="L1791" t="s">
        <v>62</v>
      </c>
      <c r="M1791" t="s">
        <v>63</v>
      </c>
      <c r="N1791" t="s">
        <v>64</v>
      </c>
      <c r="O1791">
        <v>9</v>
      </c>
      <c r="P1791" t="s">
        <v>100</v>
      </c>
      <c r="R1791">
        <v>120</v>
      </c>
      <c r="T1791">
        <v>94</v>
      </c>
      <c r="V1791">
        <v>150</v>
      </c>
      <c r="W1791" t="s">
        <v>66</v>
      </c>
      <c r="X1791" t="s">
        <v>67</v>
      </c>
      <c r="Y1791" t="s">
        <v>67</v>
      </c>
      <c r="Z1791" t="s">
        <v>68</v>
      </c>
      <c r="AB1791">
        <v>4</v>
      </c>
      <c r="AC1791" t="s">
        <v>61</v>
      </c>
      <c r="AJ1791" t="s">
        <v>69</v>
      </c>
      <c r="AY1791" t="s">
        <v>351</v>
      </c>
      <c r="AZ1791">
        <v>9994</v>
      </c>
      <c r="BA1791" t="s">
        <v>352</v>
      </c>
      <c r="BB1791" t="s">
        <v>353</v>
      </c>
      <c r="BC1791">
        <v>1982</v>
      </c>
      <c r="BD1791" t="s">
        <v>90</v>
      </c>
    </row>
    <row r="1792" spans="1:56" x14ac:dyDescent="0.35">
      <c r="A1792">
        <v>307357</v>
      </c>
      <c r="B1792" t="s">
        <v>1392</v>
      </c>
      <c r="D1792" t="s">
        <v>85</v>
      </c>
      <c r="E1792" t="s">
        <v>86</v>
      </c>
      <c r="F1792" t="s">
        <v>58</v>
      </c>
      <c r="G1792" t="s">
        <v>59</v>
      </c>
      <c r="H1792" t="s">
        <v>60</v>
      </c>
      <c r="J1792" t="s">
        <v>86</v>
      </c>
      <c r="L1792" t="s">
        <v>62</v>
      </c>
      <c r="M1792" t="s">
        <v>63</v>
      </c>
      <c r="N1792" t="s">
        <v>64</v>
      </c>
      <c r="O1792">
        <v>5</v>
      </c>
      <c r="P1792" t="s">
        <v>100</v>
      </c>
      <c r="Q1792" t="s">
        <v>153</v>
      </c>
      <c r="R1792">
        <v>1000</v>
      </c>
      <c r="W1792" t="s">
        <v>66</v>
      </c>
      <c r="X1792" t="s">
        <v>67</v>
      </c>
      <c r="Y1792" t="s">
        <v>67</v>
      </c>
      <c r="Z1792" t="s">
        <v>68</v>
      </c>
      <c r="AB1792">
        <v>4</v>
      </c>
      <c r="AC1792" t="s">
        <v>61</v>
      </c>
      <c r="AJ1792" t="s">
        <v>69</v>
      </c>
      <c r="AY1792" t="s">
        <v>1393</v>
      </c>
      <c r="AZ1792">
        <v>179781</v>
      </c>
      <c r="BA1792" t="s">
        <v>1394</v>
      </c>
      <c r="BB1792" t="s">
        <v>1395</v>
      </c>
      <c r="BC1792">
        <v>2000</v>
      </c>
      <c r="BD1792" t="s">
        <v>90</v>
      </c>
    </row>
    <row r="1793" spans="1:56" x14ac:dyDescent="0.35">
      <c r="A1793">
        <v>309002</v>
      </c>
      <c r="B1793" t="s">
        <v>1396</v>
      </c>
      <c r="D1793" t="s">
        <v>85</v>
      </c>
      <c r="E1793" t="s">
        <v>86</v>
      </c>
      <c r="F1793" t="s">
        <v>58</v>
      </c>
      <c r="G1793" t="s">
        <v>59</v>
      </c>
      <c r="H1793" t="s">
        <v>60</v>
      </c>
      <c r="J1793" t="s">
        <v>86</v>
      </c>
      <c r="M1793" t="s">
        <v>63</v>
      </c>
      <c r="N1793" t="s">
        <v>64</v>
      </c>
      <c r="P1793" t="s">
        <v>100</v>
      </c>
      <c r="R1793">
        <v>2.8000000000000001E-2</v>
      </c>
      <c r="W1793" t="s">
        <v>66</v>
      </c>
      <c r="X1793" t="s">
        <v>67</v>
      </c>
      <c r="Y1793" t="s">
        <v>67</v>
      </c>
      <c r="Z1793" t="s">
        <v>68</v>
      </c>
      <c r="AB1793">
        <v>4</v>
      </c>
      <c r="AC1793" t="s">
        <v>61</v>
      </c>
      <c r="AJ1793" t="s">
        <v>69</v>
      </c>
      <c r="AY1793" t="s">
        <v>101</v>
      </c>
      <c r="AZ1793">
        <v>70421</v>
      </c>
      <c r="BA1793" t="s">
        <v>102</v>
      </c>
      <c r="BB1793" t="s">
        <v>103</v>
      </c>
      <c r="BC1793">
        <v>1974</v>
      </c>
      <c r="BD1793" t="s">
        <v>90</v>
      </c>
    </row>
    <row r="1794" spans="1:56" x14ac:dyDescent="0.35">
      <c r="A1794">
        <v>309002</v>
      </c>
      <c r="B1794" t="s">
        <v>1396</v>
      </c>
      <c r="C1794" t="s">
        <v>91</v>
      </c>
      <c r="D1794" t="s">
        <v>85</v>
      </c>
      <c r="E1794">
        <v>88.4</v>
      </c>
      <c r="F1794" t="s">
        <v>58</v>
      </c>
      <c r="G1794" t="s">
        <v>59</v>
      </c>
      <c r="H1794" t="s">
        <v>60</v>
      </c>
      <c r="J1794" t="s">
        <v>86</v>
      </c>
      <c r="L1794" t="s">
        <v>62</v>
      </c>
      <c r="M1794" t="s">
        <v>63</v>
      </c>
      <c r="N1794" t="s">
        <v>64</v>
      </c>
      <c r="P1794" t="s">
        <v>65</v>
      </c>
      <c r="R1794">
        <v>2.8000000000000001E-2</v>
      </c>
      <c r="W1794" t="s">
        <v>66</v>
      </c>
      <c r="X1794" t="s">
        <v>67</v>
      </c>
      <c r="Y1794" t="s">
        <v>67</v>
      </c>
      <c r="Z1794" t="s">
        <v>68</v>
      </c>
      <c r="AB1794">
        <v>4</v>
      </c>
      <c r="AC1794" t="s">
        <v>61</v>
      </c>
      <c r="AJ1794" t="s">
        <v>69</v>
      </c>
      <c r="AQ1794" t="s">
        <v>69</v>
      </c>
      <c r="AY1794" t="s">
        <v>87</v>
      </c>
      <c r="AZ1794">
        <v>878</v>
      </c>
      <c r="BA1794" t="s">
        <v>88</v>
      </c>
      <c r="BB1794" t="s">
        <v>89</v>
      </c>
      <c r="BC1794">
        <v>1959</v>
      </c>
      <c r="BD1794" t="s">
        <v>1397</v>
      </c>
    </row>
    <row r="1795" spans="1:56" x14ac:dyDescent="0.35">
      <c r="A1795">
        <v>309002</v>
      </c>
      <c r="B1795" t="s">
        <v>1396</v>
      </c>
      <c r="E1795">
        <v>90</v>
      </c>
      <c r="F1795" t="s">
        <v>58</v>
      </c>
      <c r="G1795" t="s">
        <v>59</v>
      </c>
      <c r="H1795" t="s">
        <v>60</v>
      </c>
      <c r="J1795" t="s">
        <v>86</v>
      </c>
      <c r="L1795" t="s">
        <v>62</v>
      </c>
      <c r="M1795" t="s">
        <v>63</v>
      </c>
      <c r="N1795" t="s">
        <v>64</v>
      </c>
      <c r="P1795" t="s">
        <v>65</v>
      </c>
      <c r="R1795">
        <v>8.2000000000000007E-3</v>
      </c>
      <c r="W1795" t="s">
        <v>66</v>
      </c>
      <c r="X1795" t="s">
        <v>67</v>
      </c>
      <c r="Y1795" t="s">
        <v>67</v>
      </c>
      <c r="Z1795" t="s">
        <v>68</v>
      </c>
      <c r="AB1795">
        <v>4</v>
      </c>
      <c r="AC1795" t="s">
        <v>61</v>
      </c>
      <c r="AJ1795" t="s">
        <v>69</v>
      </c>
      <c r="AY1795" t="s">
        <v>96</v>
      </c>
      <c r="AZ1795">
        <v>6797</v>
      </c>
      <c r="BA1795" t="s">
        <v>97</v>
      </c>
      <c r="BB1795" t="s">
        <v>98</v>
      </c>
      <c r="BC1795">
        <v>1986</v>
      </c>
      <c r="BD1795" t="s">
        <v>90</v>
      </c>
    </row>
    <row r="1796" spans="1:56" x14ac:dyDescent="0.35">
      <c r="A1796">
        <v>309002</v>
      </c>
      <c r="B1796" t="s">
        <v>1396</v>
      </c>
      <c r="C1796" t="s">
        <v>91</v>
      </c>
      <c r="D1796" t="s">
        <v>85</v>
      </c>
      <c r="E1796">
        <v>88.4</v>
      </c>
      <c r="F1796" t="s">
        <v>58</v>
      </c>
      <c r="G1796" t="s">
        <v>59</v>
      </c>
      <c r="H1796" t="s">
        <v>60</v>
      </c>
      <c r="J1796" t="s">
        <v>86</v>
      </c>
      <c r="L1796" t="s">
        <v>62</v>
      </c>
      <c r="M1796" t="s">
        <v>63</v>
      </c>
      <c r="N1796" t="s">
        <v>64</v>
      </c>
      <c r="P1796" t="s">
        <v>65</v>
      </c>
      <c r="R1796">
        <v>3.3000000000000002E-2</v>
      </c>
      <c r="W1796" t="s">
        <v>66</v>
      </c>
      <c r="X1796" t="s">
        <v>67</v>
      </c>
      <c r="Y1796" t="s">
        <v>67</v>
      </c>
      <c r="Z1796" t="s">
        <v>68</v>
      </c>
      <c r="AB1796">
        <v>4</v>
      </c>
      <c r="AC1796" t="s">
        <v>61</v>
      </c>
      <c r="AJ1796" t="s">
        <v>69</v>
      </c>
      <c r="AQ1796" t="s">
        <v>69</v>
      </c>
      <c r="AY1796" t="s">
        <v>87</v>
      </c>
      <c r="AZ1796">
        <v>878</v>
      </c>
      <c r="BA1796" t="s">
        <v>88</v>
      </c>
      <c r="BB1796" t="s">
        <v>89</v>
      </c>
      <c r="BC1796">
        <v>1959</v>
      </c>
      <c r="BD1796" t="s">
        <v>1398</v>
      </c>
    </row>
    <row r="1797" spans="1:56" x14ac:dyDescent="0.35">
      <c r="A1797">
        <v>309433</v>
      </c>
      <c r="B1797" t="s">
        <v>1399</v>
      </c>
      <c r="D1797" t="s">
        <v>57</v>
      </c>
      <c r="E1797">
        <v>91</v>
      </c>
      <c r="F1797" t="s">
        <v>58</v>
      </c>
      <c r="G1797" t="s">
        <v>59</v>
      </c>
      <c r="H1797" t="s">
        <v>60</v>
      </c>
      <c r="J1797" t="s">
        <v>86</v>
      </c>
      <c r="L1797" t="s">
        <v>74</v>
      </c>
      <c r="M1797" t="s">
        <v>63</v>
      </c>
      <c r="N1797" t="s">
        <v>64</v>
      </c>
      <c r="P1797" t="s">
        <v>65</v>
      </c>
      <c r="R1797">
        <v>23.6</v>
      </c>
      <c r="T1797">
        <v>21.4</v>
      </c>
      <c r="V1797">
        <v>26</v>
      </c>
      <c r="W1797" t="s">
        <v>66</v>
      </c>
      <c r="X1797" t="s">
        <v>67</v>
      </c>
      <c r="Y1797" t="s">
        <v>67</v>
      </c>
      <c r="Z1797" t="s">
        <v>68</v>
      </c>
      <c r="AB1797">
        <v>4</v>
      </c>
      <c r="AC1797" t="s">
        <v>61</v>
      </c>
      <c r="AJ1797" t="s">
        <v>69</v>
      </c>
      <c r="AY1797" t="s">
        <v>80</v>
      </c>
      <c r="AZ1797">
        <v>12859</v>
      </c>
      <c r="BA1797" t="s">
        <v>81</v>
      </c>
      <c r="BB1797" t="s">
        <v>82</v>
      </c>
      <c r="BC1797">
        <v>1988</v>
      </c>
      <c r="BD1797" t="s">
        <v>90</v>
      </c>
    </row>
    <row r="1798" spans="1:56" x14ac:dyDescent="0.35">
      <c r="A1798">
        <v>311455</v>
      </c>
      <c r="B1798" t="s">
        <v>1400</v>
      </c>
      <c r="D1798" t="s">
        <v>85</v>
      </c>
      <c r="E1798" t="s">
        <v>86</v>
      </c>
      <c r="F1798" t="s">
        <v>58</v>
      </c>
      <c r="G1798" t="s">
        <v>59</v>
      </c>
      <c r="H1798" t="s">
        <v>60</v>
      </c>
      <c r="J1798" t="s">
        <v>86</v>
      </c>
      <c r="L1798" t="s">
        <v>62</v>
      </c>
      <c r="M1798" t="s">
        <v>63</v>
      </c>
      <c r="N1798" t="s">
        <v>64</v>
      </c>
      <c r="P1798" t="s">
        <v>100</v>
      </c>
      <c r="R1798">
        <v>0.25</v>
      </c>
      <c r="W1798" t="s">
        <v>66</v>
      </c>
      <c r="X1798" t="s">
        <v>67</v>
      </c>
      <c r="Y1798" t="s">
        <v>67</v>
      </c>
      <c r="Z1798" t="s">
        <v>68</v>
      </c>
      <c r="AB1798">
        <v>4</v>
      </c>
      <c r="AC1798" t="s">
        <v>61</v>
      </c>
      <c r="AJ1798" t="s">
        <v>69</v>
      </c>
      <c r="AY1798" t="s">
        <v>150</v>
      </c>
      <c r="AZ1798">
        <v>2155</v>
      </c>
      <c r="BA1798" t="s">
        <v>151</v>
      </c>
      <c r="BB1798" t="s">
        <v>152</v>
      </c>
      <c r="BC1798">
        <v>1958</v>
      </c>
      <c r="BD1798" t="s">
        <v>90</v>
      </c>
    </row>
    <row r="1799" spans="1:56" x14ac:dyDescent="0.35">
      <c r="A1799">
        <v>311455</v>
      </c>
      <c r="B1799" t="s">
        <v>1400</v>
      </c>
      <c r="D1799" t="s">
        <v>85</v>
      </c>
      <c r="E1799" t="s">
        <v>86</v>
      </c>
      <c r="F1799" t="s">
        <v>58</v>
      </c>
      <c r="G1799" t="s">
        <v>59</v>
      </c>
      <c r="H1799" t="s">
        <v>60</v>
      </c>
      <c r="J1799" t="s">
        <v>86</v>
      </c>
      <c r="L1799" t="s">
        <v>62</v>
      </c>
      <c r="M1799" t="s">
        <v>63</v>
      </c>
      <c r="N1799" t="s">
        <v>64</v>
      </c>
      <c r="P1799" t="s">
        <v>100</v>
      </c>
      <c r="R1799">
        <v>0.33</v>
      </c>
      <c r="W1799" t="s">
        <v>66</v>
      </c>
      <c r="X1799" t="s">
        <v>67</v>
      </c>
      <c r="Y1799" t="s">
        <v>67</v>
      </c>
      <c r="Z1799" t="s">
        <v>68</v>
      </c>
      <c r="AB1799">
        <v>4</v>
      </c>
      <c r="AC1799" t="s">
        <v>61</v>
      </c>
      <c r="AJ1799" t="s">
        <v>69</v>
      </c>
      <c r="AY1799" t="s">
        <v>150</v>
      </c>
      <c r="AZ1799">
        <v>2155</v>
      </c>
      <c r="BA1799" t="s">
        <v>151</v>
      </c>
      <c r="BB1799" t="s">
        <v>152</v>
      </c>
      <c r="BC1799">
        <v>1958</v>
      </c>
      <c r="BD1799" t="s">
        <v>90</v>
      </c>
    </row>
    <row r="1800" spans="1:56" x14ac:dyDescent="0.35">
      <c r="A1800">
        <v>314409</v>
      </c>
      <c r="B1800" t="s">
        <v>1401</v>
      </c>
      <c r="C1800" t="s">
        <v>91</v>
      </c>
      <c r="D1800" t="s">
        <v>57</v>
      </c>
      <c r="E1800">
        <v>95</v>
      </c>
      <c r="F1800" t="s">
        <v>58</v>
      </c>
      <c r="G1800" t="s">
        <v>59</v>
      </c>
      <c r="H1800" t="s">
        <v>60</v>
      </c>
      <c r="J1800">
        <v>30</v>
      </c>
      <c r="K1800" t="s">
        <v>61</v>
      </c>
      <c r="L1800" t="s">
        <v>74</v>
      </c>
      <c r="M1800" t="s">
        <v>63</v>
      </c>
      <c r="N1800" t="s">
        <v>64</v>
      </c>
      <c r="O1800">
        <v>6</v>
      </c>
      <c r="P1800" t="s">
        <v>65</v>
      </c>
      <c r="R1800">
        <v>182</v>
      </c>
      <c r="W1800" t="s">
        <v>66</v>
      </c>
      <c r="X1800" t="s">
        <v>67</v>
      </c>
      <c r="Y1800" t="s">
        <v>67</v>
      </c>
      <c r="Z1800" t="s">
        <v>68</v>
      </c>
      <c r="AB1800">
        <v>4</v>
      </c>
      <c r="AC1800" t="s">
        <v>61</v>
      </c>
      <c r="AJ1800" t="s">
        <v>69</v>
      </c>
      <c r="AY1800" t="s">
        <v>1402</v>
      </c>
      <c r="AZ1800">
        <v>12612</v>
      </c>
      <c r="BA1800" t="s">
        <v>1403</v>
      </c>
      <c r="BB1800" t="s">
        <v>1404</v>
      </c>
      <c r="BC1800">
        <v>1987</v>
      </c>
      <c r="BD1800" t="s">
        <v>73</v>
      </c>
    </row>
    <row r="1801" spans="1:56" x14ac:dyDescent="0.35">
      <c r="A1801">
        <v>314409</v>
      </c>
      <c r="B1801" t="s">
        <v>1401</v>
      </c>
      <c r="D1801" t="s">
        <v>57</v>
      </c>
      <c r="E1801">
        <v>95</v>
      </c>
      <c r="F1801" t="s">
        <v>58</v>
      </c>
      <c r="G1801" t="s">
        <v>59</v>
      </c>
      <c r="H1801" t="s">
        <v>60</v>
      </c>
      <c r="J1801">
        <v>30</v>
      </c>
      <c r="K1801" t="s">
        <v>61</v>
      </c>
      <c r="L1801" t="s">
        <v>74</v>
      </c>
      <c r="M1801" t="s">
        <v>63</v>
      </c>
      <c r="N1801" t="s">
        <v>64</v>
      </c>
      <c r="P1801" t="s">
        <v>65</v>
      </c>
      <c r="R1801">
        <v>186</v>
      </c>
      <c r="T1801">
        <v>180</v>
      </c>
      <c r="V1801">
        <v>192</v>
      </c>
      <c r="W1801" t="s">
        <v>66</v>
      </c>
      <c r="X1801" t="s">
        <v>67</v>
      </c>
      <c r="Y1801" t="s">
        <v>67</v>
      </c>
      <c r="Z1801" t="s">
        <v>68</v>
      </c>
      <c r="AB1801">
        <v>4</v>
      </c>
      <c r="AC1801" t="s">
        <v>61</v>
      </c>
      <c r="AJ1801" t="s">
        <v>69</v>
      </c>
      <c r="AY1801" t="s">
        <v>80</v>
      </c>
      <c r="AZ1801">
        <v>12859</v>
      </c>
      <c r="BA1801" t="s">
        <v>81</v>
      </c>
      <c r="BB1801" t="s">
        <v>82</v>
      </c>
      <c r="BC1801">
        <v>1988</v>
      </c>
      <c r="BD1801" t="s">
        <v>73</v>
      </c>
    </row>
    <row r="1802" spans="1:56" x14ac:dyDescent="0.35">
      <c r="A1802">
        <v>315184</v>
      </c>
      <c r="B1802" t="s">
        <v>1405</v>
      </c>
      <c r="E1802">
        <v>90</v>
      </c>
      <c r="F1802" t="s">
        <v>58</v>
      </c>
      <c r="G1802" t="s">
        <v>59</v>
      </c>
      <c r="H1802" t="s">
        <v>60</v>
      </c>
      <c r="J1802" t="s">
        <v>86</v>
      </c>
      <c r="L1802" t="s">
        <v>62</v>
      </c>
      <c r="M1802" t="s">
        <v>63</v>
      </c>
      <c r="N1802" t="s">
        <v>64</v>
      </c>
      <c r="P1802" t="s">
        <v>65</v>
      </c>
      <c r="R1802">
        <v>17</v>
      </c>
      <c r="T1802">
        <v>15.7</v>
      </c>
      <c r="V1802">
        <v>18.2</v>
      </c>
      <c r="W1802" t="s">
        <v>66</v>
      </c>
      <c r="X1802" t="s">
        <v>67</v>
      </c>
      <c r="Y1802" t="s">
        <v>67</v>
      </c>
      <c r="Z1802" t="s">
        <v>68</v>
      </c>
      <c r="AB1802">
        <v>4</v>
      </c>
      <c r="AC1802" t="s">
        <v>61</v>
      </c>
      <c r="AJ1802" t="s">
        <v>69</v>
      </c>
      <c r="AY1802" t="s">
        <v>96</v>
      </c>
      <c r="AZ1802">
        <v>6797</v>
      </c>
      <c r="BA1802" t="s">
        <v>97</v>
      </c>
      <c r="BB1802" t="s">
        <v>98</v>
      </c>
      <c r="BC1802">
        <v>1986</v>
      </c>
      <c r="BD1802" t="s">
        <v>90</v>
      </c>
    </row>
    <row r="1803" spans="1:56" x14ac:dyDescent="0.35">
      <c r="A1803">
        <v>315184</v>
      </c>
      <c r="B1803" t="s">
        <v>1405</v>
      </c>
      <c r="D1803" t="s">
        <v>85</v>
      </c>
      <c r="E1803" t="s">
        <v>86</v>
      </c>
      <c r="F1803" t="s">
        <v>58</v>
      </c>
      <c r="G1803" t="s">
        <v>59</v>
      </c>
      <c r="H1803" t="s">
        <v>60</v>
      </c>
      <c r="J1803" t="s">
        <v>86</v>
      </c>
      <c r="M1803" t="s">
        <v>63</v>
      </c>
      <c r="N1803" t="s">
        <v>64</v>
      </c>
      <c r="P1803" t="s">
        <v>100</v>
      </c>
      <c r="R1803">
        <v>17</v>
      </c>
      <c r="W1803" t="s">
        <v>66</v>
      </c>
      <c r="X1803" t="s">
        <v>67</v>
      </c>
      <c r="Y1803" t="s">
        <v>67</v>
      </c>
      <c r="Z1803" t="s">
        <v>68</v>
      </c>
      <c r="AB1803">
        <v>4</v>
      </c>
      <c r="AC1803" t="s">
        <v>61</v>
      </c>
      <c r="AJ1803" t="s">
        <v>69</v>
      </c>
      <c r="AY1803" t="s">
        <v>101</v>
      </c>
      <c r="AZ1803">
        <v>70421</v>
      </c>
      <c r="BA1803" t="s">
        <v>102</v>
      </c>
      <c r="BB1803" t="s">
        <v>103</v>
      </c>
      <c r="BC1803">
        <v>1974</v>
      </c>
      <c r="BD1803" t="s">
        <v>90</v>
      </c>
    </row>
    <row r="1804" spans="1:56" x14ac:dyDescent="0.35">
      <c r="A1804">
        <v>315184</v>
      </c>
      <c r="B1804" t="s">
        <v>1405</v>
      </c>
      <c r="E1804">
        <v>90</v>
      </c>
      <c r="F1804" t="s">
        <v>58</v>
      </c>
      <c r="G1804" t="s">
        <v>59</v>
      </c>
      <c r="H1804" t="s">
        <v>60</v>
      </c>
      <c r="J1804" t="s">
        <v>86</v>
      </c>
      <c r="L1804" t="s">
        <v>62</v>
      </c>
      <c r="M1804" t="s">
        <v>63</v>
      </c>
      <c r="N1804" t="s">
        <v>64</v>
      </c>
      <c r="P1804" t="s">
        <v>65</v>
      </c>
      <c r="R1804">
        <v>9.26</v>
      </c>
      <c r="T1804">
        <v>6.84</v>
      </c>
      <c r="V1804">
        <v>12.5</v>
      </c>
      <c r="W1804" t="s">
        <v>66</v>
      </c>
      <c r="X1804" t="s">
        <v>67</v>
      </c>
      <c r="Y1804" t="s">
        <v>67</v>
      </c>
      <c r="Z1804" t="s">
        <v>68</v>
      </c>
      <c r="AB1804">
        <v>4</v>
      </c>
      <c r="AC1804" t="s">
        <v>61</v>
      </c>
      <c r="AJ1804" t="s">
        <v>69</v>
      </c>
      <c r="AY1804" t="s">
        <v>96</v>
      </c>
      <c r="AZ1804">
        <v>6797</v>
      </c>
      <c r="BA1804" t="s">
        <v>97</v>
      </c>
      <c r="BB1804" t="s">
        <v>98</v>
      </c>
      <c r="BC1804">
        <v>1986</v>
      </c>
      <c r="BD1804" t="s">
        <v>90</v>
      </c>
    </row>
    <row r="1805" spans="1:56" x14ac:dyDescent="0.35">
      <c r="A1805">
        <v>315184</v>
      </c>
      <c r="B1805" t="s">
        <v>1405</v>
      </c>
      <c r="C1805" t="s">
        <v>91</v>
      </c>
      <c r="D1805" t="s">
        <v>85</v>
      </c>
      <c r="E1805">
        <v>91</v>
      </c>
      <c r="F1805" t="s">
        <v>58</v>
      </c>
      <c r="G1805" t="s">
        <v>59</v>
      </c>
      <c r="H1805" t="s">
        <v>60</v>
      </c>
      <c r="I1805" t="s">
        <v>705</v>
      </c>
      <c r="J1805" t="s">
        <v>86</v>
      </c>
      <c r="L1805" t="s">
        <v>62</v>
      </c>
      <c r="M1805" t="s">
        <v>63</v>
      </c>
      <c r="N1805" t="s">
        <v>64</v>
      </c>
      <c r="P1805" t="s">
        <v>65</v>
      </c>
      <c r="R1805">
        <v>23.7</v>
      </c>
      <c r="T1805">
        <v>20.399999999999999</v>
      </c>
      <c r="V1805">
        <v>27.5</v>
      </c>
      <c r="W1805" t="s">
        <v>66</v>
      </c>
      <c r="X1805" t="s">
        <v>67</v>
      </c>
      <c r="Y1805" t="s">
        <v>67</v>
      </c>
      <c r="Z1805" t="s">
        <v>68</v>
      </c>
      <c r="AB1805">
        <v>4</v>
      </c>
      <c r="AC1805" t="s">
        <v>61</v>
      </c>
      <c r="AJ1805" t="s">
        <v>69</v>
      </c>
      <c r="AY1805" t="s">
        <v>1406</v>
      </c>
      <c r="AZ1805">
        <v>665</v>
      </c>
      <c r="BA1805" t="s">
        <v>1407</v>
      </c>
      <c r="BB1805" t="s">
        <v>1408</v>
      </c>
      <c r="BC1805">
        <v>1977</v>
      </c>
      <c r="BD1805" t="s">
        <v>90</v>
      </c>
    </row>
    <row r="1806" spans="1:56" x14ac:dyDescent="0.35">
      <c r="A1806">
        <v>327980</v>
      </c>
      <c r="B1806" t="s">
        <v>1409</v>
      </c>
      <c r="D1806" t="s">
        <v>57</v>
      </c>
      <c r="E1806">
        <v>95</v>
      </c>
      <c r="F1806" t="s">
        <v>58</v>
      </c>
      <c r="G1806" t="s">
        <v>59</v>
      </c>
      <c r="H1806" t="s">
        <v>60</v>
      </c>
      <c r="J1806" t="s">
        <v>86</v>
      </c>
      <c r="L1806" t="s">
        <v>74</v>
      </c>
      <c r="M1806" t="s">
        <v>63</v>
      </c>
      <c r="N1806" t="s">
        <v>64</v>
      </c>
      <c r="P1806" t="s">
        <v>65</v>
      </c>
      <c r="R1806">
        <v>0.22500000000000001</v>
      </c>
      <c r="W1806" t="s">
        <v>66</v>
      </c>
      <c r="X1806" t="s">
        <v>67</v>
      </c>
      <c r="Y1806" t="s">
        <v>67</v>
      </c>
      <c r="Z1806" t="s">
        <v>68</v>
      </c>
      <c r="AB1806">
        <v>4</v>
      </c>
      <c r="AC1806" t="s">
        <v>61</v>
      </c>
      <c r="AJ1806" t="s">
        <v>69</v>
      </c>
      <c r="AY1806" t="s">
        <v>208</v>
      </c>
      <c r="AZ1806">
        <v>605</v>
      </c>
      <c r="BA1806" t="s">
        <v>209</v>
      </c>
      <c r="BB1806" t="s">
        <v>210</v>
      </c>
      <c r="BC1806">
        <v>1970</v>
      </c>
      <c r="BD1806" t="s">
        <v>90</v>
      </c>
    </row>
    <row r="1807" spans="1:56" x14ac:dyDescent="0.35">
      <c r="A1807">
        <v>329715</v>
      </c>
      <c r="B1807" t="s">
        <v>1410</v>
      </c>
      <c r="D1807" t="s">
        <v>57</v>
      </c>
      <c r="E1807" t="s">
        <v>128</v>
      </c>
      <c r="F1807" t="s">
        <v>58</v>
      </c>
      <c r="G1807" t="s">
        <v>59</v>
      </c>
      <c r="H1807" t="s">
        <v>60</v>
      </c>
      <c r="I1807" t="s">
        <v>129</v>
      </c>
      <c r="J1807" t="s">
        <v>86</v>
      </c>
      <c r="K1807" t="s">
        <v>61</v>
      </c>
      <c r="L1807" t="s">
        <v>74</v>
      </c>
      <c r="M1807" t="s">
        <v>63</v>
      </c>
      <c r="N1807" t="s">
        <v>64</v>
      </c>
      <c r="P1807" t="s">
        <v>65</v>
      </c>
      <c r="R1807">
        <v>3.36</v>
      </c>
      <c r="W1807" t="s">
        <v>66</v>
      </c>
      <c r="X1807" t="s">
        <v>67</v>
      </c>
      <c r="Y1807" t="s">
        <v>67</v>
      </c>
      <c r="Z1807" t="s">
        <v>68</v>
      </c>
      <c r="AB1807">
        <v>4</v>
      </c>
      <c r="AC1807" t="s">
        <v>61</v>
      </c>
      <c r="AJ1807" t="s">
        <v>69</v>
      </c>
      <c r="AY1807" t="s">
        <v>134</v>
      </c>
      <c r="AZ1807">
        <v>15031</v>
      </c>
      <c r="BA1807" t="s">
        <v>135</v>
      </c>
      <c r="BB1807" t="s">
        <v>136</v>
      </c>
      <c r="BC1807">
        <v>1995</v>
      </c>
      <c r="BD1807" t="s">
        <v>133</v>
      </c>
    </row>
    <row r="1808" spans="1:56" x14ac:dyDescent="0.35">
      <c r="A1808">
        <v>329715</v>
      </c>
      <c r="B1808" t="s">
        <v>1410</v>
      </c>
      <c r="D1808" t="s">
        <v>57</v>
      </c>
      <c r="E1808">
        <v>65</v>
      </c>
      <c r="F1808" t="s">
        <v>58</v>
      </c>
      <c r="G1808" t="s">
        <v>59</v>
      </c>
      <c r="H1808" t="s">
        <v>60</v>
      </c>
      <c r="J1808">
        <v>27</v>
      </c>
      <c r="K1808" t="s">
        <v>61</v>
      </c>
      <c r="L1808" t="s">
        <v>74</v>
      </c>
      <c r="M1808" t="s">
        <v>63</v>
      </c>
      <c r="N1808" t="s">
        <v>64</v>
      </c>
      <c r="P1808" t="s">
        <v>65</v>
      </c>
      <c r="R1808">
        <v>3.36</v>
      </c>
      <c r="T1808">
        <v>2.99</v>
      </c>
      <c r="V1808">
        <v>3.78</v>
      </c>
      <c r="W1808" t="s">
        <v>66</v>
      </c>
      <c r="X1808" t="s">
        <v>67</v>
      </c>
      <c r="Y1808" t="s">
        <v>67</v>
      </c>
      <c r="Z1808" t="s">
        <v>68</v>
      </c>
      <c r="AB1808">
        <v>4</v>
      </c>
      <c r="AC1808" t="s">
        <v>61</v>
      </c>
      <c r="AJ1808" t="s">
        <v>69</v>
      </c>
      <c r="AY1808" t="s">
        <v>80</v>
      </c>
      <c r="AZ1808">
        <v>12859</v>
      </c>
      <c r="BA1808" t="s">
        <v>81</v>
      </c>
      <c r="BB1808" t="s">
        <v>82</v>
      </c>
      <c r="BC1808">
        <v>1988</v>
      </c>
      <c r="BD1808" t="s">
        <v>73</v>
      </c>
    </row>
    <row r="1809" spans="1:56" x14ac:dyDescent="0.35">
      <c r="A1809">
        <v>330541</v>
      </c>
      <c r="B1809" t="s">
        <v>1411</v>
      </c>
      <c r="E1809">
        <v>98.6</v>
      </c>
      <c r="F1809" t="s">
        <v>58</v>
      </c>
      <c r="G1809" t="s">
        <v>59</v>
      </c>
      <c r="H1809" t="s">
        <v>60</v>
      </c>
      <c r="J1809" t="s">
        <v>86</v>
      </c>
      <c r="L1809" t="s">
        <v>62</v>
      </c>
      <c r="M1809" t="s">
        <v>63</v>
      </c>
      <c r="N1809" t="s">
        <v>64</v>
      </c>
      <c r="P1809" t="s">
        <v>65</v>
      </c>
      <c r="R1809">
        <v>14.2</v>
      </c>
      <c r="T1809">
        <v>13.4</v>
      </c>
      <c r="V1809">
        <v>15</v>
      </c>
      <c r="W1809" t="s">
        <v>66</v>
      </c>
      <c r="X1809" t="s">
        <v>67</v>
      </c>
      <c r="Y1809" t="s">
        <v>67</v>
      </c>
      <c r="Z1809" t="s">
        <v>68</v>
      </c>
      <c r="AB1809">
        <v>4</v>
      </c>
      <c r="AC1809" t="s">
        <v>61</v>
      </c>
      <c r="AJ1809" t="s">
        <v>69</v>
      </c>
      <c r="AY1809" t="s">
        <v>116</v>
      </c>
      <c r="AZ1809">
        <v>344</v>
      </c>
      <c r="BA1809" t="s">
        <v>117</v>
      </c>
      <c r="BB1809" t="s">
        <v>118</v>
      </c>
      <c r="BC1809">
        <v>1992</v>
      </c>
      <c r="BD1809" t="s">
        <v>90</v>
      </c>
    </row>
    <row r="1810" spans="1:56" x14ac:dyDescent="0.35">
      <c r="A1810">
        <v>330541</v>
      </c>
      <c r="B1810" t="s">
        <v>1411</v>
      </c>
      <c r="C1810" t="s">
        <v>91</v>
      </c>
      <c r="D1810" t="s">
        <v>57</v>
      </c>
      <c r="E1810">
        <v>98.6</v>
      </c>
      <c r="F1810" t="s">
        <v>58</v>
      </c>
      <c r="G1810" t="s">
        <v>59</v>
      </c>
      <c r="H1810" t="s">
        <v>60</v>
      </c>
      <c r="J1810">
        <v>30</v>
      </c>
      <c r="K1810" t="s">
        <v>61</v>
      </c>
      <c r="L1810" t="s">
        <v>74</v>
      </c>
      <c r="M1810" t="s">
        <v>63</v>
      </c>
      <c r="N1810" t="s">
        <v>64</v>
      </c>
      <c r="O1810">
        <v>6</v>
      </c>
      <c r="P1810" t="s">
        <v>65</v>
      </c>
      <c r="R1810">
        <v>14.2</v>
      </c>
      <c r="W1810" t="s">
        <v>66</v>
      </c>
      <c r="X1810" t="s">
        <v>67</v>
      </c>
      <c r="Y1810" t="s">
        <v>67</v>
      </c>
      <c r="Z1810" t="s">
        <v>68</v>
      </c>
      <c r="AB1810">
        <v>4</v>
      </c>
      <c r="AC1810" t="s">
        <v>61</v>
      </c>
      <c r="AJ1810" t="s">
        <v>69</v>
      </c>
      <c r="AY1810" t="s">
        <v>1402</v>
      </c>
      <c r="AZ1810">
        <v>12612</v>
      </c>
      <c r="BA1810" t="s">
        <v>1403</v>
      </c>
      <c r="BB1810" t="s">
        <v>1404</v>
      </c>
      <c r="BC1810">
        <v>1987</v>
      </c>
      <c r="BD1810" t="s">
        <v>73</v>
      </c>
    </row>
    <row r="1811" spans="1:56" x14ac:dyDescent="0.35">
      <c r="A1811">
        <v>330541</v>
      </c>
      <c r="B1811" t="s">
        <v>1411</v>
      </c>
      <c r="D1811" t="s">
        <v>57</v>
      </c>
      <c r="E1811">
        <v>98.6</v>
      </c>
      <c r="F1811" t="s">
        <v>58</v>
      </c>
      <c r="G1811" t="s">
        <v>59</v>
      </c>
      <c r="H1811" t="s">
        <v>60</v>
      </c>
      <c r="J1811">
        <v>30</v>
      </c>
      <c r="K1811" t="s">
        <v>61</v>
      </c>
      <c r="L1811" t="s">
        <v>74</v>
      </c>
      <c r="M1811" t="s">
        <v>63</v>
      </c>
      <c r="N1811" t="s">
        <v>64</v>
      </c>
      <c r="P1811" t="s">
        <v>65</v>
      </c>
      <c r="R1811">
        <v>14.2</v>
      </c>
      <c r="T1811">
        <v>13.4</v>
      </c>
      <c r="V1811">
        <v>15</v>
      </c>
      <c r="W1811" t="s">
        <v>66</v>
      </c>
      <c r="X1811" t="s">
        <v>67</v>
      </c>
      <c r="Y1811" t="s">
        <v>67</v>
      </c>
      <c r="Z1811" t="s">
        <v>68</v>
      </c>
      <c r="AB1811">
        <v>4</v>
      </c>
      <c r="AC1811" t="s">
        <v>61</v>
      </c>
      <c r="AJ1811" t="s">
        <v>69</v>
      </c>
      <c r="AY1811" t="s">
        <v>263</v>
      </c>
      <c r="AZ1811">
        <v>12858</v>
      </c>
      <c r="BA1811" t="s">
        <v>264</v>
      </c>
      <c r="BB1811" t="s">
        <v>265</v>
      </c>
      <c r="BC1811">
        <v>1986</v>
      </c>
      <c r="BD1811" t="s">
        <v>73</v>
      </c>
    </row>
    <row r="1812" spans="1:56" x14ac:dyDescent="0.35">
      <c r="A1812">
        <v>330938</v>
      </c>
      <c r="B1812" t="s">
        <v>1412</v>
      </c>
      <c r="D1812" t="s">
        <v>57</v>
      </c>
      <c r="E1812">
        <v>97</v>
      </c>
      <c r="F1812" t="s">
        <v>58</v>
      </c>
      <c r="G1812" t="s">
        <v>59</v>
      </c>
      <c r="H1812" t="s">
        <v>60</v>
      </c>
      <c r="J1812">
        <v>27</v>
      </c>
      <c r="K1812" t="s">
        <v>61</v>
      </c>
      <c r="L1812" t="s">
        <v>74</v>
      </c>
      <c r="M1812" t="s">
        <v>63</v>
      </c>
      <c r="N1812" t="s">
        <v>64</v>
      </c>
      <c r="O1812">
        <v>6</v>
      </c>
      <c r="P1812" t="s">
        <v>65</v>
      </c>
      <c r="R1812">
        <v>1.2</v>
      </c>
      <c r="T1812">
        <v>0.96</v>
      </c>
      <c r="V1812">
        <v>1.51</v>
      </c>
      <c r="W1812" t="s">
        <v>66</v>
      </c>
      <c r="X1812" t="s">
        <v>67</v>
      </c>
      <c r="Y1812" t="s">
        <v>67</v>
      </c>
      <c r="Z1812" t="s">
        <v>68</v>
      </c>
      <c r="AB1812">
        <v>4</v>
      </c>
      <c r="AC1812" t="s">
        <v>61</v>
      </c>
      <c r="AJ1812" t="s">
        <v>69</v>
      </c>
      <c r="AY1812" t="s">
        <v>141</v>
      </c>
      <c r="AZ1812">
        <v>12447</v>
      </c>
      <c r="BA1812" t="s">
        <v>142</v>
      </c>
      <c r="BB1812" t="s">
        <v>143</v>
      </c>
      <c r="BC1812">
        <v>1985</v>
      </c>
      <c r="BD1812" t="s">
        <v>73</v>
      </c>
    </row>
    <row r="1813" spans="1:56" x14ac:dyDescent="0.35">
      <c r="A1813">
        <v>330938</v>
      </c>
      <c r="B1813" t="s">
        <v>1412</v>
      </c>
      <c r="D1813" t="s">
        <v>57</v>
      </c>
      <c r="E1813">
        <v>97</v>
      </c>
      <c r="F1813" t="s">
        <v>58</v>
      </c>
      <c r="G1813" t="s">
        <v>59</v>
      </c>
      <c r="H1813" t="s">
        <v>60</v>
      </c>
      <c r="J1813" t="s">
        <v>86</v>
      </c>
      <c r="K1813" t="s">
        <v>61</v>
      </c>
      <c r="L1813" t="s">
        <v>74</v>
      </c>
      <c r="M1813" t="s">
        <v>63</v>
      </c>
      <c r="N1813" t="s">
        <v>64</v>
      </c>
      <c r="O1813">
        <v>6</v>
      </c>
      <c r="P1813" t="s">
        <v>65</v>
      </c>
      <c r="R1813">
        <v>1.06</v>
      </c>
      <c r="T1813">
        <v>0.93</v>
      </c>
      <c r="V1813">
        <v>1.21</v>
      </c>
      <c r="W1813" t="s">
        <v>66</v>
      </c>
      <c r="X1813" t="s">
        <v>67</v>
      </c>
      <c r="Y1813" t="s">
        <v>67</v>
      </c>
      <c r="Z1813" t="s">
        <v>68</v>
      </c>
      <c r="AB1813">
        <v>4</v>
      </c>
      <c r="AC1813" t="s">
        <v>61</v>
      </c>
      <c r="AJ1813" t="s">
        <v>69</v>
      </c>
      <c r="AY1813" t="s">
        <v>141</v>
      </c>
      <c r="AZ1813">
        <v>12447</v>
      </c>
      <c r="BA1813" t="s">
        <v>142</v>
      </c>
      <c r="BB1813" t="s">
        <v>143</v>
      </c>
      <c r="BC1813">
        <v>1985</v>
      </c>
      <c r="BD1813" t="s">
        <v>350</v>
      </c>
    </row>
    <row r="1814" spans="1:56" x14ac:dyDescent="0.35">
      <c r="A1814">
        <v>333186</v>
      </c>
      <c r="B1814" t="s">
        <v>1413</v>
      </c>
      <c r="C1814" t="s">
        <v>195</v>
      </c>
      <c r="D1814" t="s">
        <v>85</v>
      </c>
      <c r="E1814" t="s">
        <v>86</v>
      </c>
      <c r="F1814" t="s">
        <v>58</v>
      </c>
      <c r="G1814" t="s">
        <v>59</v>
      </c>
      <c r="H1814" t="s">
        <v>60</v>
      </c>
      <c r="I1814" t="s">
        <v>129</v>
      </c>
      <c r="J1814" t="s">
        <v>86</v>
      </c>
      <c r="L1814" t="s">
        <v>62</v>
      </c>
      <c r="M1814" t="s">
        <v>63</v>
      </c>
      <c r="N1814" t="s">
        <v>64</v>
      </c>
      <c r="O1814">
        <v>5</v>
      </c>
      <c r="P1814" t="s">
        <v>65</v>
      </c>
      <c r="Q1814" t="s">
        <v>153</v>
      </c>
      <c r="R1814">
        <v>100</v>
      </c>
      <c r="W1814" t="s">
        <v>66</v>
      </c>
      <c r="X1814" t="s">
        <v>67</v>
      </c>
      <c r="Y1814" t="s">
        <v>67</v>
      </c>
      <c r="Z1814" t="s">
        <v>68</v>
      </c>
      <c r="AB1814">
        <v>4</v>
      </c>
      <c r="AC1814" t="s">
        <v>61</v>
      </c>
      <c r="AJ1814" t="s">
        <v>69</v>
      </c>
      <c r="AY1814" t="s">
        <v>298</v>
      </c>
      <c r="AZ1814">
        <v>11951</v>
      </c>
      <c r="BA1814" t="s">
        <v>299</v>
      </c>
      <c r="BB1814" t="s">
        <v>300</v>
      </c>
      <c r="BC1814">
        <v>1986</v>
      </c>
      <c r="BD1814" t="s">
        <v>90</v>
      </c>
    </row>
    <row r="1815" spans="1:56" x14ac:dyDescent="0.35">
      <c r="A1815">
        <v>333415</v>
      </c>
      <c r="B1815" t="s">
        <v>1414</v>
      </c>
      <c r="E1815" t="s">
        <v>86</v>
      </c>
      <c r="F1815" t="s">
        <v>58</v>
      </c>
      <c r="G1815" t="s">
        <v>59</v>
      </c>
      <c r="H1815" t="s">
        <v>60</v>
      </c>
      <c r="J1815" t="s">
        <v>86</v>
      </c>
      <c r="K1815" t="s">
        <v>61</v>
      </c>
      <c r="L1815" t="s">
        <v>190</v>
      </c>
      <c r="M1815" t="s">
        <v>63</v>
      </c>
      <c r="N1815" t="s">
        <v>64</v>
      </c>
      <c r="P1815" t="s">
        <v>100</v>
      </c>
      <c r="R1815">
        <v>4.7</v>
      </c>
      <c r="W1815" t="s">
        <v>66</v>
      </c>
      <c r="X1815" t="s">
        <v>67</v>
      </c>
      <c r="Y1815" t="s">
        <v>67</v>
      </c>
      <c r="Z1815" t="s">
        <v>68</v>
      </c>
      <c r="AB1815">
        <v>4</v>
      </c>
      <c r="AC1815" t="s">
        <v>61</v>
      </c>
      <c r="AJ1815" t="s">
        <v>69</v>
      </c>
      <c r="AY1815" t="s">
        <v>242</v>
      </c>
      <c r="AZ1815">
        <v>45073</v>
      </c>
      <c r="BA1815" t="s">
        <v>243</v>
      </c>
      <c r="BB1815" t="s">
        <v>244</v>
      </c>
      <c r="BC1815">
        <v>1993</v>
      </c>
      <c r="BD1815" t="s">
        <v>245</v>
      </c>
    </row>
    <row r="1816" spans="1:56" x14ac:dyDescent="0.35">
      <c r="A1816">
        <v>333415</v>
      </c>
      <c r="B1816" t="s">
        <v>1414</v>
      </c>
      <c r="E1816" t="s">
        <v>86</v>
      </c>
      <c r="F1816" t="s">
        <v>58</v>
      </c>
      <c r="G1816" t="s">
        <v>59</v>
      </c>
      <c r="H1816" t="s">
        <v>60</v>
      </c>
      <c r="J1816" t="s">
        <v>86</v>
      </c>
      <c r="K1816" t="s">
        <v>61</v>
      </c>
      <c r="L1816" t="s">
        <v>190</v>
      </c>
      <c r="M1816" t="s">
        <v>63</v>
      </c>
      <c r="N1816" t="s">
        <v>64</v>
      </c>
      <c r="P1816" t="s">
        <v>100</v>
      </c>
      <c r="R1816">
        <v>4.7</v>
      </c>
      <c r="W1816" t="s">
        <v>66</v>
      </c>
      <c r="X1816" t="s">
        <v>67</v>
      </c>
      <c r="Y1816" t="s">
        <v>67</v>
      </c>
      <c r="Z1816" t="s">
        <v>68</v>
      </c>
      <c r="AB1816">
        <v>4</v>
      </c>
      <c r="AC1816" t="s">
        <v>61</v>
      </c>
      <c r="AJ1816" t="s">
        <v>69</v>
      </c>
      <c r="AY1816" t="s">
        <v>242</v>
      </c>
      <c r="AZ1816">
        <v>45073</v>
      </c>
      <c r="BA1816" t="s">
        <v>243</v>
      </c>
      <c r="BB1816" t="s">
        <v>244</v>
      </c>
      <c r="BC1816">
        <v>1993</v>
      </c>
      <c r="BD1816" t="s">
        <v>245</v>
      </c>
    </row>
    <row r="1817" spans="1:56" x14ac:dyDescent="0.35">
      <c r="A1817">
        <v>333415</v>
      </c>
      <c r="B1817" t="s">
        <v>1414</v>
      </c>
      <c r="D1817" t="s">
        <v>57</v>
      </c>
      <c r="E1817" t="s">
        <v>86</v>
      </c>
      <c r="F1817" t="s">
        <v>58</v>
      </c>
      <c r="G1817" t="s">
        <v>59</v>
      </c>
      <c r="H1817" t="s">
        <v>60</v>
      </c>
      <c r="I1817" t="s">
        <v>188</v>
      </c>
      <c r="J1817">
        <v>48</v>
      </c>
      <c r="K1817" t="s">
        <v>184</v>
      </c>
      <c r="L1817" t="s">
        <v>190</v>
      </c>
      <c r="M1817" t="s">
        <v>63</v>
      </c>
      <c r="N1817" t="s">
        <v>64</v>
      </c>
      <c r="O1817" t="s">
        <v>381</v>
      </c>
      <c r="P1817" t="s">
        <v>65</v>
      </c>
      <c r="R1817">
        <v>6</v>
      </c>
      <c r="W1817" t="s">
        <v>66</v>
      </c>
      <c r="X1817" t="s">
        <v>67</v>
      </c>
      <c r="Y1817" t="s">
        <v>67</v>
      </c>
      <c r="Z1817" t="s">
        <v>68</v>
      </c>
      <c r="AB1817">
        <v>4</v>
      </c>
      <c r="AC1817" t="s">
        <v>61</v>
      </c>
      <c r="AJ1817" t="s">
        <v>69</v>
      </c>
      <c r="AY1817" t="s">
        <v>1415</v>
      </c>
      <c r="AZ1817">
        <v>65773</v>
      </c>
      <c r="BA1817" t="s">
        <v>1416</v>
      </c>
      <c r="BB1817" t="s">
        <v>1417</v>
      </c>
      <c r="BC1817">
        <v>2002</v>
      </c>
      <c r="BD1817" t="s">
        <v>185</v>
      </c>
    </row>
    <row r="1818" spans="1:56" x14ac:dyDescent="0.35">
      <c r="A1818">
        <v>333415</v>
      </c>
      <c r="B1818" t="s">
        <v>1414</v>
      </c>
      <c r="E1818" t="s">
        <v>86</v>
      </c>
      <c r="F1818" t="s">
        <v>58</v>
      </c>
      <c r="G1818" t="s">
        <v>59</v>
      </c>
      <c r="H1818" t="s">
        <v>60</v>
      </c>
      <c r="J1818" t="s">
        <v>86</v>
      </c>
      <c r="K1818" t="s">
        <v>61</v>
      </c>
      <c r="L1818" t="s">
        <v>190</v>
      </c>
      <c r="M1818" t="s">
        <v>63</v>
      </c>
      <c r="N1818" t="s">
        <v>64</v>
      </c>
      <c r="P1818" t="s">
        <v>100</v>
      </c>
      <c r="R1818">
        <v>4.7</v>
      </c>
      <c r="W1818" t="s">
        <v>66</v>
      </c>
      <c r="X1818" t="s">
        <v>67</v>
      </c>
      <c r="Y1818" t="s">
        <v>67</v>
      </c>
      <c r="Z1818" t="s">
        <v>68</v>
      </c>
      <c r="AB1818">
        <v>4</v>
      </c>
      <c r="AC1818" t="s">
        <v>61</v>
      </c>
      <c r="AJ1818" t="s">
        <v>69</v>
      </c>
      <c r="AY1818" t="s">
        <v>242</v>
      </c>
      <c r="AZ1818">
        <v>45073</v>
      </c>
      <c r="BA1818" t="s">
        <v>243</v>
      </c>
      <c r="BB1818" t="s">
        <v>244</v>
      </c>
      <c r="BC1818">
        <v>1993</v>
      </c>
      <c r="BD1818" t="s">
        <v>245</v>
      </c>
    </row>
    <row r="1819" spans="1:56" x14ac:dyDescent="0.35">
      <c r="A1819">
        <v>333415</v>
      </c>
      <c r="B1819" t="s">
        <v>1414</v>
      </c>
      <c r="E1819" t="s">
        <v>86</v>
      </c>
      <c r="F1819" t="s">
        <v>58</v>
      </c>
      <c r="G1819" t="s">
        <v>59</v>
      </c>
      <c r="H1819" t="s">
        <v>60</v>
      </c>
      <c r="J1819" t="s">
        <v>86</v>
      </c>
      <c r="K1819" t="s">
        <v>61</v>
      </c>
      <c r="L1819" t="s">
        <v>190</v>
      </c>
      <c r="M1819" t="s">
        <v>63</v>
      </c>
      <c r="N1819" t="s">
        <v>64</v>
      </c>
      <c r="P1819" t="s">
        <v>100</v>
      </c>
      <c r="R1819">
        <v>4.7</v>
      </c>
      <c r="W1819" t="s">
        <v>66</v>
      </c>
      <c r="X1819" t="s">
        <v>67</v>
      </c>
      <c r="Y1819" t="s">
        <v>67</v>
      </c>
      <c r="Z1819" t="s">
        <v>68</v>
      </c>
      <c r="AB1819">
        <v>4</v>
      </c>
      <c r="AC1819" t="s">
        <v>61</v>
      </c>
      <c r="AJ1819" t="s">
        <v>69</v>
      </c>
      <c r="AY1819" t="s">
        <v>242</v>
      </c>
      <c r="AZ1819">
        <v>45073</v>
      </c>
      <c r="BA1819" t="s">
        <v>243</v>
      </c>
      <c r="BB1819" t="s">
        <v>244</v>
      </c>
      <c r="BC1819">
        <v>1993</v>
      </c>
      <c r="BD1819" t="s">
        <v>245</v>
      </c>
    </row>
    <row r="1820" spans="1:56" x14ac:dyDescent="0.35">
      <c r="A1820">
        <v>333415</v>
      </c>
      <c r="B1820" t="s">
        <v>1414</v>
      </c>
      <c r="C1820" t="s">
        <v>91</v>
      </c>
      <c r="D1820" t="s">
        <v>57</v>
      </c>
      <c r="E1820">
        <v>92.5</v>
      </c>
      <c r="F1820" t="s">
        <v>58</v>
      </c>
      <c r="G1820" t="s">
        <v>59</v>
      </c>
      <c r="H1820" t="s">
        <v>60</v>
      </c>
      <c r="J1820">
        <v>15</v>
      </c>
      <c r="K1820" t="s">
        <v>196</v>
      </c>
      <c r="L1820" t="s">
        <v>74</v>
      </c>
      <c r="M1820" t="s">
        <v>63</v>
      </c>
      <c r="N1820" t="s">
        <v>64</v>
      </c>
      <c r="P1820" t="s">
        <v>65</v>
      </c>
      <c r="R1820">
        <v>6.8</v>
      </c>
      <c r="T1820">
        <v>5.4</v>
      </c>
      <c r="V1820">
        <v>8.5</v>
      </c>
      <c r="W1820" t="s">
        <v>66</v>
      </c>
      <c r="X1820" t="s">
        <v>67</v>
      </c>
      <c r="Y1820" t="s">
        <v>67</v>
      </c>
      <c r="Z1820" t="s">
        <v>68</v>
      </c>
      <c r="AB1820">
        <v>4</v>
      </c>
      <c r="AC1820" t="s">
        <v>61</v>
      </c>
      <c r="AJ1820" t="s">
        <v>69</v>
      </c>
      <c r="AY1820" t="s">
        <v>1418</v>
      </c>
      <c r="AZ1820">
        <v>664</v>
      </c>
      <c r="BA1820" t="s">
        <v>1419</v>
      </c>
      <c r="BB1820" t="s">
        <v>1420</v>
      </c>
      <c r="BC1820">
        <v>1977</v>
      </c>
      <c r="BD1820" t="s">
        <v>200</v>
      </c>
    </row>
    <row r="1821" spans="1:56" x14ac:dyDescent="0.35">
      <c r="A1821">
        <v>333415</v>
      </c>
      <c r="B1821" t="s">
        <v>1414</v>
      </c>
      <c r="D1821" t="s">
        <v>57</v>
      </c>
      <c r="E1821">
        <v>87.1</v>
      </c>
      <c r="F1821" t="s">
        <v>58</v>
      </c>
      <c r="G1821" t="s">
        <v>59</v>
      </c>
      <c r="H1821" t="s">
        <v>60</v>
      </c>
      <c r="J1821">
        <v>31</v>
      </c>
      <c r="K1821" t="s">
        <v>61</v>
      </c>
      <c r="L1821" t="s">
        <v>74</v>
      </c>
      <c r="M1821" t="s">
        <v>63</v>
      </c>
      <c r="N1821" t="s">
        <v>64</v>
      </c>
      <c r="P1821" t="s">
        <v>65</v>
      </c>
      <c r="R1821">
        <v>9.35</v>
      </c>
      <c r="T1821">
        <v>8.1199999999999992</v>
      </c>
      <c r="V1821">
        <v>10.8</v>
      </c>
      <c r="W1821" t="s">
        <v>66</v>
      </c>
      <c r="X1821" t="s">
        <v>67</v>
      </c>
      <c r="Y1821" t="s">
        <v>67</v>
      </c>
      <c r="Z1821" t="s">
        <v>68</v>
      </c>
      <c r="AB1821">
        <v>4</v>
      </c>
      <c r="AC1821" t="s">
        <v>61</v>
      </c>
      <c r="AJ1821" t="s">
        <v>69</v>
      </c>
      <c r="AY1821" t="s">
        <v>80</v>
      </c>
      <c r="AZ1821">
        <v>12859</v>
      </c>
      <c r="BA1821" t="s">
        <v>81</v>
      </c>
      <c r="BB1821" t="s">
        <v>82</v>
      </c>
      <c r="BC1821">
        <v>1988</v>
      </c>
      <c r="BD1821" t="s">
        <v>73</v>
      </c>
    </row>
    <row r="1822" spans="1:56" x14ac:dyDescent="0.35">
      <c r="A1822">
        <v>333415</v>
      </c>
      <c r="B1822" t="s">
        <v>1414</v>
      </c>
      <c r="C1822" t="s">
        <v>91</v>
      </c>
      <c r="D1822" t="s">
        <v>57</v>
      </c>
      <c r="E1822">
        <v>92.5</v>
      </c>
      <c r="F1822" t="s">
        <v>58</v>
      </c>
      <c r="G1822" t="s">
        <v>59</v>
      </c>
      <c r="H1822" t="s">
        <v>60</v>
      </c>
      <c r="J1822">
        <v>13</v>
      </c>
      <c r="K1822" t="s">
        <v>196</v>
      </c>
      <c r="L1822" t="s">
        <v>74</v>
      </c>
      <c r="M1822" t="s">
        <v>63</v>
      </c>
      <c r="N1822" t="s">
        <v>64</v>
      </c>
      <c r="P1822" t="s">
        <v>65</v>
      </c>
      <c r="R1822">
        <v>10</v>
      </c>
      <c r="T1822">
        <v>6.7</v>
      </c>
      <c r="V1822">
        <v>15</v>
      </c>
      <c r="W1822" t="s">
        <v>66</v>
      </c>
      <c r="X1822" t="s">
        <v>67</v>
      </c>
      <c r="Y1822" t="s">
        <v>67</v>
      </c>
      <c r="Z1822" t="s">
        <v>68</v>
      </c>
      <c r="AB1822">
        <v>4</v>
      </c>
      <c r="AC1822" t="s">
        <v>61</v>
      </c>
      <c r="AJ1822" t="s">
        <v>69</v>
      </c>
      <c r="AY1822" t="s">
        <v>1418</v>
      </c>
      <c r="AZ1822">
        <v>664</v>
      </c>
      <c r="BA1822" t="s">
        <v>1419</v>
      </c>
      <c r="BB1822" t="s">
        <v>1420</v>
      </c>
      <c r="BC1822">
        <v>1977</v>
      </c>
      <c r="BD1822" t="s">
        <v>200</v>
      </c>
    </row>
    <row r="1823" spans="1:56" x14ac:dyDescent="0.35">
      <c r="A1823">
        <v>333415</v>
      </c>
      <c r="B1823" t="s">
        <v>1414</v>
      </c>
      <c r="E1823" t="s">
        <v>86</v>
      </c>
      <c r="F1823" t="s">
        <v>58</v>
      </c>
      <c r="G1823" t="s">
        <v>59</v>
      </c>
      <c r="H1823" t="s">
        <v>60</v>
      </c>
      <c r="J1823" t="s">
        <v>86</v>
      </c>
      <c r="K1823" t="s">
        <v>61</v>
      </c>
      <c r="L1823" t="s">
        <v>190</v>
      </c>
      <c r="M1823" t="s">
        <v>63</v>
      </c>
      <c r="N1823" t="s">
        <v>64</v>
      </c>
      <c r="P1823" t="s">
        <v>100</v>
      </c>
      <c r="R1823">
        <v>4.7</v>
      </c>
      <c r="W1823" t="s">
        <v>66</v>
      </c>
      <c r="X1823" t="s">
        <v>67</v>
      </c>
      <c r="Y1823" t="s">
        <v>67</v>
      </c>
      <c r="Z1823" t="s">
        <v>68</v>
      </c>
      <c r="AB1823">
        <v>4</v>
      </c>
      <c r="AC1823" t="s">
        <v>61</v>
      </c>
      <c r="AJ1823" t="s">
        <v>69</v>
      </c>
      <c r="AY1823" t="s">
        <v>242</v>
      </c>
      <c r="AZ1823">
        <v>45073</v>
      </c>
      <c r="BA1823" t="s">
        <v>243</v>
      </c>
      <c r="BB1823" t="s">
        <v>244</v>
      </c>
      <c r="BC1823">
        <v>1993</v>
      </c>
      <c r="BD1823" t="s">
        <v>245</v>
      </c>
    </row>
    <row r="1824" spans="1:56" x14ac:dyDescent="0.35">
      <c r="A1824">
        <v>333415</v>
      </c>
      <c r="B1824" t="s">
        <v>1414</v>
      </c>
      <c r="D1824" t="s">
        <v>85</v>
      </c>
      <c r="E1824">
        <v>4</v>
      </c>
      <c r="F1824" t="s">
        <v>58</v>
      </c>
      <c r="G1824" t="s">
        <v>59</v>
      </c>
      <c r="H1824" t="s">
        <v>60</v>
      </c>
      <c r="J1824" t="s">
        <v>505</v>
      </c>
      <c r="K1824" t="s">
        <v>506</v>
      </c>
      <c r="L1824" t="s">
        <v>62</v>
      </c>
      <c r="M1824" t="s">
        <v>63</v>
      </c>
      <c r="N1824" t="s">
        <v>64</v>
      </c>
      <c r="P1824" t="s">
        <v>100</v>
      </c>
      <c r="T1824">
        <v>5.6</v>
      </c>
      <c r="V1824">
        <v>10</v>
      </c>
      <c r="W1824" t="s">
        <v>66</v>
      </c>
      <c r="X1824" t="s">
        <v>67</v>
      </c>
      <c r="Y1824" t="s">
        <v>67</v>
      </c>
      <c r="Z1824" t="s">
        <v>68</v>
      </c>
      <c r="AB1824">
        <v>4</v>
      </c>
      <c r="AC1824" t="s">
        <v>61</v>
      </c>
      <c r="AJ1824" t="s">
        <v>69</v>
      </c>
      <c r="AY1824" t="s">
        <v>507</v>
      </c>
      <c r="AZ1824">
        <v>5894</v>
      </c>
      <c r="BA1824" t="s">
        <v>508</v>
      </c>
      <c r="BB1824" t="s">
        <v>509</v>
      </c>
      <c r="BC1824">
        <v>1979</v>
      </c>
      <c r="BD1824" t="s">
        <v>510</v>
      </c>
    </row>
    <row r="1825" spans="1:56" x14ac:dyDescent="0.35">
      <c r="A1825">
        <v>333415</v>
      </c>
      <c r="B1825" t="s">
        <v>1414</v>
      </c>
      <c r="E1825" t="s">
        <v>86</v>
      </c>
      <c r="F1825" t="s">
        <v>58</v>
      </c>
      <c r="G1825" t="s">
        <v>59</v>
      </c>
      <c r="H1825" t="s">
        <v>60</v>
      </c>
      <c r="J1825" t="s">
        <v>86</v>
      </c>
      <c r="K1825" t="s">
        <v>61</v>
      </c>
      <c r="L1825" t="s">
        <v>190</v>
      </c>
      <c r="M1825" t="s">
        <v>63</v>
      </c>
      <c r="N1825" t="s">
        <v>64</v>
      </c>
      <c r="P1825" t="s">
        <v>100</v>
      </c>
      <c r="R1825">
        <v>4.7</v>
      </c>
      <c r="W1825" t="s">
        <v>66</v>
      </c>
      <c r="X1825" t="s">
        <v>67</v>
      </c>
      <c r="Y1825" t="s">
        <v>67</v>
      </c>
      <c r="Z1825" t="s">
        <v>68</v>
      </c>
      <c r="AB1825">
        <v>4</v>
      </c>
      <c r="AC1825" t="s">
        <v>61</v>
      </c>
      <c r="AJ1825" t="s">
        <v>69</v>
      </c>
      <c r="AY1825" t="s">
        <v>242</v>
      </c>
      <c r="AZ1825">
        <v>45073</v>
      </c>
      <c r="BA1825" t="s">
        <v>243</v>
      </c>
      <c r="BB1825" t="s">
        <v>244</v>
      </c>
      <c r="BC1825">
        <v>1993</v>
      </c>
      <c r="BD1825" t="s">
        <v>245</v>
      </c>
    </row>
    <row r="1826" spans="1:56" x14ac:dyDescent="0.35">
      <c r="A1826">
        <v>333415</v>
      </c>
      <c r="B1826" t="s">
        <v>1414</v>
      </c>
      <c r="D1826" t="s">
        <v>85</v>
      </c>
      <c r="E1826">
        <v>48.2</v>
      </c>
      <c r="F1826" t="s">
        <v>58</v>
      </c>
      <c r="G1826" t="s">
        <v>59</v>
      </c>
      <c r="H1826" t="s">
        <v>60</v>
      </c>
      <c r="J1826" t="s">
        <v>505</v>
      </c>
      <c r="K1826" t="s">
        <v>506</v>
      </c>
      <c r="L1826" t="s">
        <v>62</v>
      </c>
      <c r="M1826" t="s">
        <v>63</v>
      </c>
      <c r="N1826" t="s">
        <v>64</v>
      </c>
      <c r="P1826" t="s">
        <v>100</v>
      </c>
      <c r="R1826">
        <v>3.7</v>
      </c>
      <c r="W1826" t="s">
        <v>66</v>
      </c>
      <c r="X1826" t="s">
        <v>67</v>
      </c>
      <c r="Y1826" t="s">
        <v>67</v>
      </c>
      <c r="Z1826" t="s">
        <v>68</v>
      </c>
      <c r="AB1826">
        <v>4</v>
      </c>
      <c r="AC1826" t="s">
        <v>61</v>
      </c>
      <c r="AJ1826" t="s">
        <v>69</v>
      </c>
      <c r="AY1826" t="s">
        <v>511</v>
      </c>
      <c r="AZ1826">
        <v>866</v>
      </c>
      <c r="BA1826" t="s">
        <v>512</v>
      </c>
      <c r="BB1826" t="s">
        <v>513</v>
      </c>
      <c r="BC1826">
        <v>1979</v>
      </c>
      <c r="BD1826" t="s">
        <v>510</v>
      </c>
    </row>
    <row r="1827" spans="1:56" x14ac:dyDescent="0.35">
      <c r="A1827">
        <v>333415</v>
      </c>
      <c r="B1827" t="s">
        <v>1414</v>
      </c>
      <c r="E1827" t="s">
        <v>86</v>
      </c>
      <c r="F1827" t="s">
        <v>58</v>
      </c>
      <c r="G1827" t="s">
        <v>59</v>
      </c>
      <c r="H1827" t="s">
        <v>60</v>
      </c>
      <c r="J1827" t="s">
        <v>86</v>
      </c>
      <c r="K1827" t="s">
        <v>61</v>
      </c>
      <c r="L1827" t="s">
        <v>190</v>
      </c>
      <c r="M1827" t="s">
        <v>63</v>
      </c>
      <c r="N1827" t="s">
        <v>64</v>
      </c>
      <c r="P1827" t="s">
        <v>100</v>
      </c>
      <c r="R1827">
        <v>4.7</v>
      </c>
      <c r="W1827" t="s">
        <v>66</v>
      </c>
      <c r="X1827" t="s">
        <v>67</v>
      </c>
      <c r="Y1827" t="s">
        <v>67</v>
      </c>
      <c r="Z1827" t="s">
        <v>68</v>
      </c>
      <c r="AB1827">
        <v>4</v>
      </c>
      <c r="AC1827" t="s">
        <v>61</v>
      </c>
      <c r="AJ1827" t="s">
        <v>69</v>
      </c>
      <c r="AY1827" t="s">
        <v>242</v>
      </c>
      <c r="AZ1827">
        <v>45073</v>
      </c>
      <c r="BA1827" t="s">
        <v>243</v>
      </c>
      <c r="BB1827" t="s">
        <v>244</v>
      </c>
      <c r="BC1827">
        <v>1993</v>
      </c>
      <c r="BD1827" t="s">
        <v>245</v>
      </c>
    </row>
    <row r="1828" spans="1:56" x14ac:dyDescent="0.35">
      <c r="A1828">
        <v>333415</v>
      </c>
      <c r="B1828" t="s">
        <v>1414</v>
      </c>
      <c r="D1828" t="s">
        <v>85</v>
      </c>
      <c r="E1828">
        <v>2</v>
      </c>
      <c r="F1828" t="s">
        <v>58</v>
      </c>
      <c r="G1828" t="s">
        <v>59</v>
      </c>
      <c r="H1828" t="s">
        <v>60</v>
      </c>
      <c r="J1828" t="s">
        <v>505</v>
      </c>
      <c r="K1828" t="s">
        <v>506</v>
      </c>
      <c r="L1828" t="s">
        <v>62</v>
      </c>
      <c r="M1828" t="s">
        <v>63</v>
      </c>
      <c r="N1828" t="s">
        <v>64</v>
      </c>
      <c r="P1828" t="s">
        <v>100</v>
      </c>
      <c r="T1828">
        <v>5.6</v>
      </c>
      <c r="V1828">
        <v>10</v>
      </c>
      <c r="W1828" t="s">
        <v>66</v>
      </c>
      <c r="X1828" t="s">
        <v>67</v>
      </c>
      <c r="Y1828" t="s">
        <v>67</v>
      </c>
      <c r="Z1828" t="s">
        <v>68</v>
      </c>
      <c r="AB1828">
        <v>4</v>
      </c>
      <c r="AC1828" t="s">
        <v>61</v>
      </c>
      <c r="AJ1828" t="s">
        <v>69</v>
      </c>
      <c r="AY1828" t="s">
        <v>511</v>
      </c>
      <c r="AZ1828">
        <v>866</v>
      </c>
      <c r="BA1828" t="s">
        <v>512</v>
      </c>
      <c r="BB1828" t="s">
        <v>513</v>
      </c>
      <c r="BC1828">
        <v>1979</v>
      </c>
      <c r="BD1828" t="s">
        <v>510</v>
      </c>
    </row>
    <row r="1829" spans="1:56" x14ac:dyDescent="0.35">
      <c r="A1829">
        <v>333415</v>
      </c>
      <c r="B1829" t="s">
        <v>1414</v>
      </c>
      <c r="C1829" t="s">
        <v>91</v>
      </c>
      <c r="D1829" t="s">
        <v>57</v>
      </c>
      <c r="E1829">
        <v>87.1</v>
      </c>
      <c r="F1829" t="s">
        <v>58</v>
      </c>
      <c r="G1829" t="s">
        <v>59</v>
      </c>
      <c r="H1829" t="s">
        <v>60</v>
      </c>
      <c r="I1829" t="s">
        <v>188</v>
      </c>
      <c r="J1829" t="s">
        <v>86</v>
      </c>
      <c r="L1829" t="s">
        <v>62</v>
      </c>
      <c r="M1829" t="s">
        <v>63</v>
      </c>
      <c r="N1829" t="s">
        <v>64</v>
      </c>
      <c r="P1829" t="s">
        <v>65</v>
      </c>
      <c r="R1829">
        <v>4.3</v>
      </c>
      <c r="T1829">
        <v>3.4</v>
      </c>
      <c r="V1829">
        <v>5.2</v>
      </c>
      <c r="W1829" t="s">
        <v>66</v>
      </c>
      <c r="X1829" t="s">
        <v>67</v>
      </c>
      <c r="Y1829" t="s">
        <v>67</v>
      </c>
      <c r="Z1829" t="s">
        <v>68</v>
      </c>
      <c r="AB1829">
        <v>4</v>
      </c>
      <c r="AC1829" t="s">
        <v>61</v>
      </c>
      <c r="AJ1829" t="s">
        <v>69</v>
      </c>
      <c r="AY1829" t="s">
        <v>1377</v>
      </c>
      <c r="AZ1829">
        <v>15462</v>
      </c>
      <c r="BA1829" t="s">
        <v>1378</v>
      </c>
      <c r="BB1829" t="s">
        <v>1379</v>
      </c>
      <c r="BC1829">
        <v>1982</v>
      </c>
      <c r="BD1829" t="s">
        <v>90</v>
      </c>
    </row>
    <row r="1830" spans="1:56" x14ac:dyDescent="0.35">
      <c r="A1830">
        <v>333415</v>
      </c>
      <c r="B1830" t="s">
        <v>1414</v>
      </c>
      <c r="E1830" t="s">
        <v>86</v>
      </c>
      <c r="F1830" t="s">
        <v>58</v>
      </c>
      <c r="G1830" t="s">
        <v>59</v>
      </c>
      <c r="H1830" t="s">
        <v>60</v>
      </c>
      <c r="J1830" t="s">
        <v>86</v>
      </c>
      <c r="K1830" t="s">
        <v>61</v>
      </c>
      <c r="L1830" t="s">
        <v>190</v>
      </c>
      <c r="M1830" t="s">
        <v>63</v>
      </c>
      <c r="N1830" t="s">
        <v>64</v>
      </c>
      <c r="P1830" t="s">
        <v>100</v>
      </c>
      <c r="R1830">
        <v>4.7</v>
      </c>
      <c r="W1830" t="s">
        <v>66</v>
      </c>
      <c r="X1830" t="s">
        <v>67</v>
      </c>
      <c r="Y1830" t="s">
        <v>67</v>
      </c>
      <c r="Z1830" t="s">
        <v>68</v>
      </c>
      <c r="AB1830">
        <v>4</v>
      </c>
      <c r="AC1830" t="s">
        <v>61</v>
      </c>
      <c r="AJ1830" t="s">
        <v>69</v>
      </c>
      <c r="AY1830" t="s">
        <v>242</v>
      </c>
      <c r="AZ1830">
        <v>45073</v>
      </c>
      <c r="BA1830" t="s">
        <v>243</v>
      </c>
      <c r="BB1830" t="s">
        <v>244</v>
      </c>
      <c r="BC1830">
        <v>1993</v>
      </c>
      <c r="BD1830" t="s">
        <v>245</v>
      </c>
    </row>
    <row r="1831" spans="1:56" x14ac:dyDescent="0.35">
      <c r="A1831">
        <v>333415</v>
      </c>
      <c r="B1831" t="s">
        <v>1414</v>
      </c>
      <c r="C1831" t="s">
        <v>91</v>
      </c>
      <c r="D1831" t="s">
        <v>85</v>
      </c>
      <c r="E1831" t="s">
        <v>86</v>
      </c>
      <c r="F1831" t="s">
        <v>58</v>
      </c>
      <c r="G1831" t="s">
        <v>59</v>
      </c>
      <c r="H1831" t="s">
        <v>60</v>
      </c>
      <c r="I1831" t="s">
        <v>705</v>
      </c>
      <c r="J1831" t="s">
        <v>86</v>
      </c>
      <c r="L1831" t="s">
        <v>74</v>
      </c>
      <c r="M1831" t="s">
        <v>63</v>
      </c>
      <c r="N1831" t="s">
        <v>64</v>
      </c>
      <c r="P1831" t="s">
        <v>65</v>
      </c>
      <c r="T1831">
        <v>0.4</v>
      </c>
      <c r="V1831">
        <v>0.8</v>
      </c>
      <c r="W1831" t="s">
        <v>66</v>
      </c>
      <c r="X1831" t="s">
        <v>67</v>
      </c>
      <c r="Y1831" t="s">
        <v>67</v>
      </c>
      <c r="Z1831" t="s">
        <v>68</v>
      </c>
      <c r="AB1831">
        <v>4</v>
      </c>
      <c r="AC1831" t="s">
        <v>61</v>
      </c>
      <c r="AJ1831" t="s">
        <v>69</v>
      </c>
      <c r="AY1831" t="s">
        <v>1421</v>
      </c>
      <c r="AZ1831">
        <v>13005</v>
      </c>
      <c r="BA1831" t="s">
        <v>1422</v>
      </c>
      <c r="BB1831" t="s">
        <v>1423</v>
      </c>
      <c r="BC1831">
        <v>1970</v>
      </c>
      <c r="BD1831" t="s">
        <v>90</v>
      </c>
    </row>
    <row r="1832" spans="1:56" x14ac:dyDescent="0.35">
      <c r="A1832">
        <v>333415</v>
      </c>
      <c r="B1832" t="s">
        <v>1414</v>
      </c>
      <c r="C1832" t="s">
        <v>91</v>
      </c>
      <c r="D1832" t="s">
        <v>57</v>
      </c>
      <c r="E1832">
        <v>92.5</v>
      </c>
      <c r="F1832" t="s">
        <v>58</v>
      </c>
      <c r="G1832" t="s">
        <v>59</v>
      </c>
      <c r="H1832" t="s">
        <v>60</v>
      </c>
      <c r="J1832">
        <v>20</v>
      </c>
      <c r="K1832" t="s">
        <v>196</v>
      </c>
      <c r="L1832" t="s">
        <v>74</v>
      </c>
      <c r="M1832" t="s">
        <v>63</v>
      </c>
      <c r="N1832" t="s">
        <v>64</v>
      </c>
      <c r="P1832" t="s">
        <v>65</v>
      </c>
      <c r="R1832">
        <v>6.6</v>
      </c>
      <c r="T1832">
        <v>5.0999999999999996</v>
      </c>
      <c r="V1832">
        <v>8.6</v>
      </c>
      <c r="W1832" t="s">
        <v>66</v>
      </c>
      <c r="X1832" t="s">
        <v>67</v>
      </c>
      <c r="Y1832" t="s">
        <v>67</v>
      </c>
      <c r="Z1832" t="s">
        <v>68</v>
      </c>
      <c r="AB1832">
        <v>4</v>
      </c>
      <c r="AC1832" t="s">
        <v>61</v>
      </c>
      <c r="AJ1832" t="s">
        <v>69</v>
      </c>
      <c r="AY1832" t="s">
        <v>1418</v>
      </c>
      <c r="AZ1832">
        <v>664</v>
      </c>
      <c r="BA1832" t="s">
        <v>1419</v>
      </c>
      <c r="BB1832" t="s">
        <v>1420</v>
      </c>
      <c r="BC1832">
        <v>1977</v>
      </c>
      <c r="BD1832" t="s">
        <v>200</v>
      </c>
    </row>
    <row r="1833" spans="1:56" x14ac:dyDescent="0.35">
      <c r="A1833">
        <v>333415</v>
      </c>
      <c r="B1833" t="s">
        <v>1414</v>
      </c>
      <c r="C1833" t="s">
        <v>91</v>
      </c>
      <c r="D1833" t="s">
        <v>57</v>
      </c>
      <c r="E1833">
        <v>87.1</v>
      </c>
      <c r="F1833" t="s">
        <v>58</v>
      </c>
      <c r="G1833" t="s">
        <v>59</v>
      </c>
      <c r="H1833" t="s">
        <v>60</v>
      </c>
      <c r="I1833" t="s">
        <v>188</v>
      </c>
      <c r="J1833" t="s">
        <v>86</v>
      </c>
      <c r="L1833" t="s">
        <v>74</v>
      </c>
      <c r="M1833" t="s">
        <v>63</v>
      </c>
      <c r="N1833" t="s">
        <v>64</v>
      </c>
      <c r="P1833" t="s">
        <v>65</v>
      </c>
      <c r="R1833">
        <v>6.9</v>
      </c>
      <c r="T1833">
        <v>6.2</v>
      </c>
      <c r="V1833">
        <v>7.9</v>
      </c>
      <c r="W1833" t="s">
        <v>66</v>
      </c>
      <c r="X1833" t="s">
        <v>67</v>
      </c>
      <c r="Y1833" t="s">
        <v>67</v>
      </c>
      <c r="Z1833" t="s">
        <v>68</v>
      </c>
      <c r="AB1833">
        <v>4</v>
      </c>
      <c r="AC1833" t="s">
        <v>61</v>
      </c>
      <c r="AJ1833" t="s">
        <v>69</v>
      </c>
      <c r="AY1833" t="s">
        <v>1377</v>
      </c>
      <c r="AZ1833">
        <v>15462</v>
      </c>
      <c r="BA1833" t="s">
        <v>1378</v>
      </c>
      <c r="BB1833" t="s">
        <v>1379</v>
      </c>
      <c r="BC1833">
        <v>1982</v>
      </c>
      <c r="BD1833" t="s">
        <v>90</v>
      </c>
    </row>
    <row r="1834" spans="1:56" x14ac:dyDescent="0.35">
      <c r="A1834">
        <v>333415</v>
      </c>
      <c r="B1834" t="s">
        <v>1414</v>
      </c>
      <c r="E1834">
        <v>99.4</v>
      </c>
      <c r="F1834" t="s">
        <v>58</v>
      </c>
      <c r="G1834" t="s">
        <v>59</v>
      </c>
      <c r="H1834" t="s">
        <v>60</v>
      </c>
      <c r="I1834" t="s">
        <v>188</v>
      </c>
      <c r="J1834">
        <v>7</v>
      </c>
      <c r="K1834" t="s">
        <v>61</v>
      </c>
      <c r="L1834" t="s">
        <v>190</v>
      </c>
      <c r="M1834" t="s">
        <v>63</v>
      </c>
      <c r="N1834" t="s">
        <v>64</v>
      </c>
      <c r="O1834">
        <v>6</v>
      </c>
      <c r="P1834" t="s">
        <v>65</v>
      </c>
      <c r="R1834">
        <v>6.6</v>
      </c>
      <c r="W1834" t="s">
        <v>66</v>
      </c>
      <c r="X1834" t="s">
        <v>67</v>
      </c>
      <c r="Y1834" t="s">
        <v>67</v>
      </c>
      <c r="Z1834" t="s">
        <v>68</v>
      </c>
      <c r="AB1834">
        <v>4</v>
      </c>
      <c r="AC1834" t="s">
        <v>61</v>
      </c>
      <c r="AJ1834" t="s">
        <v>69</v>
      </c>
      <c r="AY1834" t="s">
        <v>1424</v>
      </c>
      <c r="AZ1834">
        <v>68197</v>
      </c>
      <c r="BA1834" t="s">
        <v>1425</v>
      </c>
      <c r="BB1834" t="s">
        <v>1426</v>
      </c>
      <c r="BC1834">
        <v>2003</v>
      </c>
      <c r="BD1834" t="s">
        <v>73</v>
      </c>
    </row>
    <row r="1835" spans="1:56" x14ac:dyDescent="0.35">
      <c r="A1835">
        <v>333415</v>
      </c>
      <c r="B1835" t="s">
        <v>1414</v>
      </c>
      <c r="D1835" t="s">
        <v>85</v>
      </c>
      <c r="E1835" t="s">
        <v>86</v>
      </c>
      <c r="F1835" t="s">
        <v>58</v>
      </c>
      <c r="G1835" t="s">
        <v>59</v>
      </c>
      <c r="H1835" t="s">
        <v>60</v>
      </c>
      <c r="J1835" t="s">
        <v>86</v>
      </c>
      <c r="L1835" t="s">
        <v>62</v>
      </c>
      <c r="M1835" t="s">
        <v>63</v>
      </c>
      <c r="N1835" t="s">
        <v>64</v>
      </c>
      <c r="P1835" t="s">
        <v>100</v>
      </c>
      <c r="R1835">
        <v>10.3</v>
      </c>
      <c r="W1835" t="s">
        <v>66</v>
      </c>
      <c r="X1835" t="s">
        <v>67</v>
      </c>
      <c r="Y1835" t="s">
        <v>67</v>
      </c>
      <c r="Z1835" t="s">
        <v>68</v>
      </c>
      <c r="AB1835">
        <v>4</v>
      </c>
      <c r="AC1835" t="s">
        <v>61</v>
      </c>
      <c r="AJ1835" t="s">
        <v>69</v>
      </c>
      <c r="AY1835" t="s">
        <v>1427</v>
      </c>
      <c r="AZ1835">
        <v>551</v>
      </c>
      <c r="BA1835" t="s">
        <v>1428</v>
      </c>
      <c r="BB1835" t="s">
        <v>1429</v>
      </c>
      <c r="BC1835">
        <v>1979</v>
      </c>
      <c r="BD1835" t="s">
        <v>90</v>
      </c>
    </row>
    <row r="1836" spans="1:56" x14ac:dyDescent="0.35">
      <c r="A1836">
        <v>333415</v>
      </c>
      <c r="B1836" t="s">
        <v>1414</v>
      </c>
      <c r="D1836" t="s">
        <v>85</v>
      </c>
      <c r="E1836">
        <v>48.2</v>
      </c>
      <c r="F1836" t="s">
        <v>58</v>
      </c>
      <c r="G1836" t="s">
        <v>59</v>
      </c>
      <c r="H1836" t="s">
        <v>60</v>
      </c>
      <c r="J1836" t="s">
        <v>505</v>
      </c>
      <c r="K1836" t="s">
        <v>506</v>
      </c>
      <c r="L1836" t="s">
        <v>62</v>
      </c>
      <c r="M1836" t="s">
        <v>63</v>
      </c>
      <c r="N1836" t="s">
        <v>64</v>
      </c>
      <c r="P1836" t="s">
        <v>100</v>
      </c>
      <c r="R1836">
        <v>3.7</v>
      </c>
      <c r="W1836" t="s">
        <v>66</v>
      </c>
      <c r="X1836" t="s">
        <v>67</v>
      </c>
      <c r="Y1836" t="s">
        <v>67</v>
      </c>
      <c r="Z1836" t="s">
        <v>68</v>
      </c>
      <c r="AB1836">
        <v>4</v>
      </c>
      <c r="AC1836" t="s">
        <v>61</v>
      </c>
      <c r="AJ1836" t="s">
        <v>69</v>
      </c>
      <c r="AY1836" t="s">
        <v>507</v>
      </c>
      <c r="AZ1836">
        <v>5894</v>
      </c>
      <c r="BA1836" t="s">
        <v>508</v>
      </c>
      <c r="BB1836" t="s">
        <v>509</v>
      </c>
      <c r="BC1836">
        <v>1979</v>
      </c>
      <c r="BD1836" t="s">
        <v>510</v>
      </c>
    </row>
    <row r="1837" spans="1:56" x14ac:dyDescent="0.35">
      <c r="A1837">
        <v>333415</v>
      </c>
      <c r="B1837" t="s">
        <v>1414</v>
      </c>
      <c r="E1837" t="s">
        <v>86</v>
      </c>
      <c r="F1837" t="s">
        <v>58</v>
      </c>
      <c r="G1837" t="s">
        <v>59</v>
      </c>
      <c r="H1837" t="s">
        <v>60</v>
      </c>
      <c r="J1837" t="s">
        <v>86</v>
      </c>
      <c r="K1837" t="s">
        <v>61</v>
      </c>
      <c r="L1837" t="s">
        <v>190</v>
      </c>
      <c r="M1837" t="s">
        <v>63</v>
      </c>
      <c r="N1837" t="s">
        <v>64</v>
      </c>
      <c r="P1837" t="s">
        <v>100</v>
      </c>
      <c r="R1837">
        <v>4.7</v>
      </c>
      <c r="W1837" t="s">
        <v>66</v>
      </c>
      <c r="X1837" t="s">
        <v>67</v>
      </c>
      <c r="Y1837" t="s">
        <v>67</v>
      </c>
      <c r="Z1837" t="s">
        <v>68</v>
      </c>
      <c r="AB1837">
        <v>4</v>
      </c>
      <c r="AC1837" t="s">
        <v>61</v>
      </c>
      <c r="AJ1837" t="s">
        <v>69</v>
      </c>
      <c r="AY1837" t="s">
        <v>242</v>
      </c>
      <c r="AZ1837">
        <v>45073</v>
      </c>
      <c r="BA1837" t="s">
        <v>243</v>
      </c>
      <c r="BB1837" t="s">
        <v>244</v>
      </c>
      <c r="BC1837">
        <v>1993</v>
      </c>
      <c r="BD1837" t="s">
        <v>245</v>
      </c>
    </row>
    <row r="1838" spans="1:56" x14ac:dyDescent="0.35">
      <c r="A1838">
        <v>333415</v>
      </c>
      <c r="B1838" t="s">
        <v>1414</v>
      </c>
      <c r="E1838" t="s">
        <v>86</v>
      </c>
      <c r="F1838" t="s">
        <v>58</v>
      </c>
      <c r="G1838" t="s">
        <v>59</v>
      </c>
      <c r="H1838" t="s">
        <v>60</v>
      </c>
      <c r="J1838" t="s">
        <v>86</v>
      </c>
      <c r="K1838" t="s">
        <v>61</v>
      </c>
      <c r="L1838" t="s">
        <v>190</v>
      </c>
      <c r="M1838" t="s">
        <v>63</v>
      </c>
      <c r="N1838" t="s">
        <v>64</v>
      </c>
      <c r="P1838" t="s">
        <v>100</v>
      </c>
      <c r="R1838">
        <v>4.7</v>
      </c>
      <c r="W1838" t="s">
        <v>66</v>
      </c>
      <c r="X1838" t="s">
        <v>67</v>
      </c>
      <c r="Y1838" t="s">
        <v>67</v>
      </c>
      <c r="Z1838" t="s">
        <v>68</v>
      </c>
      <c r="AB1838">
        <v>4</v>
      </c>
      <c r="AC1838" t="s">
        <v>61</v>
      </c>
      <c r="AJ1838" t="s">
        <v>69</v>
      </c>
      <c r="AY1838" t="s">
        <v>242</v>
      </c>
      <c r="AZ1838">
        <v>45073</v>
      </c>
      <c r="BA1838" t="s">
        <v>243</v>
      </c>
      <c r="BB1838" t="s">
        <v>244</v>
      </c>
      <c r="BC1838">
        <v>1993</v>
      </c>
      <c r="BD1838" t="s">
        <v>245</v>
      </c>
    </row>
    <row r="1839" spans="1:56" x14ac:dyDescent="0.35">
      <c r="A1839">
        <v>333415</v>
      </c>
      <c r="B1839" t="s">
        <v>1414</v>
      </c>
      <c r="E1839" t="s">
        <v>86</v>
      </c>
      <c r="F1839" t="s">
        <v>58</v>
      </c>
      <c r="G1839" t="s">
        <v>59</v>
      </c>
      <c r="H1839" t="s">
        <v>60</v>
      </c>
      <c r="J1839" t="s">
        <v>86</v>
      </c>
      <c r="K1839" t="s">
        <v>61</v>
      </c>
      <c r="L1839" t="s">
        <v>190</v>
      </c>
      <c r="M1839" t="s">
        <v>63</v>
      </c>
      <c r="N1839" t="s">
        <v>64</v>
      </c>
      <c r="P1839" t="s">
        <v>100</v>
      </c>
      <c r="R1839">
        <v>4.7</v>
      </c>
      <c r="W1839" t="s">
        <v>66</v>
      </c>
      <c r="X1839" t="s">
        <v>67</v>
      </c>
      <c r="Y1839" t="s">
        <v>67</v>
      </c>
      <c r="Z1839" t="s">
        <v>68</v>
      </c>
      <c r="AB1839">
        <v>4</v>
      </c>
      <c r="AC1839" t="s">
        <v>61</v>
      </c>
      <c r="AJ1839" t="s">
        <v>69</v>
      </c>
      <c r="AY1839" t="s">
        <v>242</v>
      </c>
      <c r="AZ1839">
        <v>45073</v>
      </c>
      <c r="BA1839" t="s">
        <v>243</v>
      </c>
      <c r="BB1839" t="s">
        <v>244</v>
      </c>
      <c r="BC1839">
        <v>1993</v>
      </c>
      <c r="BD1839" t="s">
        <v>245</v>
      </c>
    </row>
    <row r="1840" spans="1:56" x14ac:dyDescent="0.35">
      <c r="A1840">
        <v>333415</v>
      </c>
      <c r="B1840" t="s">
        <v>1414</v>
      </c>
      <c r="D1840" t="s">
        <v>57</v>
      </c>
      <c r="E1840" t="s">
        <v>86</v>
      </c>
      <c r="F1840" t="s">
        <v>58</v>
      </c>
      <c r="G1840" t="s">
        <v>59</v>
      </c>
      <c r="H1840" t="s">
        <v>60</v>
      </c>
      <c r="I1840" t="s">
        <v>188</v>
      </c>
      <c r="J1840" t="s">
        <v>86</v>
      </c>
      <c r="L1840" t="s">
        <v>62</v>
      </c>
      <c r="M1840" t="s">
        <v>63</v>
      </c>
      <c r="N1840" t="s">
        <v>64</v>
      </c>
      <c r="P1840" t="s">
        <v>65</v>
      </c>
      <c r="R1840">
        <v>6.1</v>
      </c>
      <c r="T1840">
        <v>5</v>
      </c>
      <c r="V1840">
        <v>7.6</v>
      </c>
      <c r="W1840" t="s">
        <v>66</v>
      </c>
      <c r="X1840" t="s">
        <v>67</v>
      </c>
      <c r="Y1840" t="s">
        <v>67</v>
      </c>
      <c r="Z1840" t="s">
        <v>68</v>
      </c>
      <c r="AB1840">
        <v>4</v>
      </c>
      <c r="AC1840" t="s">
        <v>61</v>
      </c>
      <c r="AJ1840" t="s">
        <v>69</v>
      </c>
      <c r="AY1840" t="s">
        <v>1377</v>
      </c>
      <c r="AZ1840">
        <v>15462</v>
      </c>
      <c r="BA1840" t="s">
        <v>1378</v>
      </c>
      <c r="BB1840" t="s">
        <v>1379</v>
      </c>
      <c r="BC1840">
        <v>1982</v>
      </c>
      <c r="BD1840" t="s">
        <v>90</v>
      </c>
    </row>
    <row r="1841" spans="1:56" x14ac:dyDescent="0.35">
      <c r="A1841">
        <v>335671</v>
      </c>
      <c r="B1841" t="s">
        <v>1430</v>
      </c>
      <c r="D1841" t="s">
        <v>85</v>
      </c>
      <c r="E1841" t="s">
        <v>86</v>
      </c>
      <c r="F1841" t="s">
        <v>58</v>
      </c>
      <c r="G1841" t="s">
        <v>59</v>
      </c>
      <c r="H1841" t="s">
        <v>60</v>
      </c>
      <c r="J1841" t="s">
        <v>86</v>
      </c>
      <c r="L1841" t="s">
        <v>62</v>
      </c>
      <c r="M1841" t="s">
        <v>63</v>
      </c>
      <c r="N1841" t="s">
        <v>64</v>
      </c>
      <c r="O1841">
        <v>6</v>
      </c>
      <c r="P1841" t="s">
        <v>65</v>
      </c>
      <c r="R1841">
        <v>843</v>
      </c>
      <c r="T1841">
        <v>811</v>
      </c>
      <c r="V1841">
        <v>878</v>
      </c>
      <c r="W1841" t="s">
        <v>66</v>
      </c>
      <c r="X1841" t="s">
        <v>67</v>
      </c>
      <c r="Y1841" t="s">
        <v>67</v>
      </c>
      <c r="Z1841" t="s">
        <v>68</v>
      </c>
      <c r="AB1841">
        <v>4</v>
      </c>
      <c r="AC1841" t="s">
        <v>61</v>
      </c>
      <c r="AJ1841" t="s">
        <v>69</v>
      </c>
      <c r="AY1841" t="s">
        <v>1393</v>
      </c>
      <c r="AZ1841">
        <v>185692</v>
      </c>
      <c r="BA1841" t="s">
        <v>1431</v>
      </c>
      <c r="BB1841" t="s">
        <v>1432</v>
      </c>
      <c r="BC1841">
        <v>2000</v>
      </c>
      <c r="BD1841" t="s">
        <v>1433</v>
      </c>
    </row>
    <row r="1842" spans="1:56" x14ac:dyDescent="0.35">
      <c r="A1842">
        <v>335671</v>
      </c>
      <c r="B1842" t="s">
        <v>1430</v>
      </c>
      <c r="D1842" t="s">
        <v>85</v>
      </c>
      <c r="E1842" t="s">
        <v>86</v>
      </c>
      <c r="F1842" t="s">
        <v>58</v>
      </c>
      <c r="G1842" t="s">
        <v>59</v>
      </c>
      <c r="H1842" t="s">
        <v>60</v>
      </c>
      <c r="J1842" t="s">
        <v>86</v>
      </c>
      <c r="L1842" t="s">
        <v>62</v>
      </c>
      <c r="M1842" t="s">
        <v>63</v>
      </c>
      <c r="N1842" t="s">
        <v>64</v>
      </c>
      <c r="O1842">
        <v>6</v>
      </c>
      <c r="P1842" t="s">
        <v>65</v>
      </c>
      <c r="R1842">
        <v>440</v>
      </c>
      <c r="W1842" t="s">
        <v>66</v>
      </c>
      <c r="X1842" t="s">
        <v>67</v>
      </c>
      <c r="Y1842" t="s">
        <v>67</v>
      </c>
      <c r="Z1842" t="s">
        <v>68</v>
      </c>
      <c r="AB1842">
        <v>4</v>
      </c>
      <c r="AC1842" t="s">
        <v>61</v>
      </c>
      <c r="AJ1842" t="s">
        <v>69</v>
      </c>
      <c r="AY1842" t="s">
        <v>1393</v>
      </c>
      <c r="AZ1842">
        <v>185686</v>
      </c>
      <c r="BA1842" t="s">
        <v>1434</v>
      </c>
      <c r="BB1842" t="s">
        <v>1432</v>
      </c>
      <c r="BC1842">
        <v>2000</v>
      </c>
      <c r="BD1842" t="s">
        <v>1435</v>
      </c>
    </row>
    <row r="1843" spans="1:56" x14ac:dyDescent="0.35">
      <c r="A1843">
        <v>335671</v>
      </c>
      <c r="B1843" t="s">
        <v>1430</v>
      </c>
      <c r="D1843" t="s">
        <v>85</v>
      </c>
      <c r="E1843" t="s">
        <v>86</v>
      </c>
      <c r="F1843" t="s">
        <v>58</v>
      </c>
      <c r="G1843" t="s">
        <v>59</v>
      </c>
      <c r="H1843" t="s">
        <v>60</v>
      </c>
      <c r="I1843" t="s">
        <v>129</v>
      </c>
      <c r="J1843" t="s">
        <v>86</v>
      </c>
      <c r="L1843" t="s">
        <v>62</v>
      </c>
      <c r="M1843" t="s">
        <v>63</v>
      </c>
      <c r="N1843" t="s">
        <v>64</v>
      </c>
      <c r="O1843">
        <v>6</v>
      </c>
      <c r="P1843" t="s">
        <v>65</v>
      </c>
      <c r="R1843">
        <v>280</v>
      </c>
      <c r="T1843">
        <v>220</v>
      </c>
      <c r="V1843">
        <v>360</v>
      </c>
      <c r="W1843" t="s">
        <v>66</v>
      </c>
      <c r="X1843" t="s">
        <v>67</v>
      </c>
      <c r="Y1843" t="s">
        <v>67</v>
      </c>
      <c r="Z1843" t="s">
        <v>68</v>
      </c>
      <c r="AB1843">
        <v>4</v>
      </c>
      <c r="AC1843" t="s">
        <v>61</v>
      </c>
      <c r="AJ1843" t="s">
        <v>69</v>
      </c>
      <c r="AY1843" t="s">
        <v>1393</v>
      </c>
      <c r="AZ1843">
        <v>185686</v>
      </c>
      <c r="BA1843" t="s">
        <v>1434</v>
      </c>
      <c r="BB1843" t="s">
        <v>1432</v>
      </c>
      <c r="BC1843">
        <v>2000</v>
      </c>
      <c r="BD1843" t="s">
        <v>1435</v>
      </c>
    </row>
    <row r="1844" spans="1:56" x14ac:dyDescent="0.35">
      <c r="A1844">
        <v>335671</v>
      </c>
      <c r="B1844" t="s">
        <v>1430</v>
      </c>
      <c r="D1844" t="s">
        <v>85</v>
      </c>
      <c r="E1844" t="s">
        <v>86</v>
      </c>
      <c r="F1844" t="s">
        <v>58</v>
      </c>
      <c r="G1844" t="s">
        <v>59</v>
      </c>
      <c r="H1844" t="s">
        <v>60</v>
      </c>
      <c r="I1844" t="s">
        <v>188</v>
      </c>
      <c r="J1844" t="s">
        <v>289</v>
      </c>
      <c r="K1844" t="s">
        <v>495</v>
      </c>
      <c r="M1844" t="s">
        <v>63</v>
      </c>
      <c r="N1844" t="s">
        <v>64</v>
      </c>
      <c r="P1844" t="s">
        <v>100</v>
      </c>
      <c r="R1844">
        <v>413.2</v>
      </c>
      <c r="W1844" t="s">
        <v>66</v>
      </c>
      <c r="X1844" t="s">
        <v>67</v>
      </c>
      <c r="Y1844" t="s">
        <v>67</v>
      </c>
      <c r="Z1844" t="s">
        <v>68</v>
      </c>
      <c r="AB1844">
        <v>4</v>
      </c>
      <c r="AC1844" t="s">
        <v>61</v>
      </c>
      <c r="AJ1844" t="s">
        <v>69</v>
      </c>
      <c r="AY1844" t="s">
        <v>496</v>
      </c>
      <c r="AZ1844">
        <v>177136</v>
      </c>
      <c r="BA1844" t="s">
        <v>497</v>
      </c>
      <c r="BB1844" t="s">
        <v>498</v>
      </c>
      <c r="BC1844">
        <v>2017</v>
      </c>
      <c r="BD1844" t="s">
        <v>499</v>
      </c>
    </row>
    <row r="1845" spans="1:56" x14ac:dyDescent="0.35">
      <c r="A1845">
        <v>335671</v>
      </c>
      <c r="B1845" t="s">
        <v>1430</v>
      </c>
      <c r="D1845" t="s">
        <v>85</v>
      </c>
      <c r="E1845" t="s">
        <v>86</v>
      </c>
      <c r="F1845" t="s">
        <v>58</v>
      </c>
      <c r="G1845" t="s">
        <v>59</v>
      </c>
      <c r="H1845" t="s">
        <v>60</v>
      </c>
      <c r="I1845" t="s">
        <v>129</v>
      </c>
      <c r="J1845" t="s">
        <v>86</v>
      </c>
      <c r="L1845" t="s">
        <v>62</v>
      </c>
      <c r="M1845" t="s">
        <v>63</v>
      </c>
      <c r="N1845" t="s">
        <v>64</v>
      </c>
      <c r="O1845">
        <v>6</v>
      </c>
      <c r="P1845" t="s">
        <v>65</v>
      </c>
      <c r="R1845">
        <v>140</v>
      </c>
      <c r="T1845">
        <v>110</v>
      </c>
      <c r="V1845">
        <v>180</v>
      </c>
      <c r="W1845" t="s">
        <v>66</v>
      </c>
      <c r="X1845" t="s">
        <v>67</v>
      </c>
      <c r="Y1845" t="s">
        <v>67</v>
      </c>
      <c r="Z1845" t="s">
        <v>68</v>
      </c>
      <c r="AB1845">
        <v>4</v>
      </c>
      <c r="AC1845" t="s">
        <v>61</v>
      </c>
      <c r="AJ1845" t="s">
        <v>69</v>
      </c>
      <c r="AY1845" t="s">
        <v>1393</v>
      </c>
      <c r="AZ1845">
        <v>185686</v>
      </c>
      <c r="BA1845" t="s">
        <v>1434</v>
      </c>
      <c r="BB1845" t="s">
        <v>1432</v>
      </c>
      <c r="BC1845">
        <v>2000</v>
      </c>
      <c r="BD1845" t="s">
        <v>1435</v>
      </c>
    </row>
    <row r="1846" spans="1:56" x14ac:dyDescent="0.35">
      <c r="A1846">
        <v>350469</v>
      </c>
      <c r="B1846" t="s">
        <v>1436</v>
      </c>
      <c r="D1846" t="s">
        <v>57</v>
      </c>
      <c r="E1846">
        <v>99</v>
      </c>
      <c r="F1846" t="s">
        <v>58</v>
      </c>
      <c r="G1846" t="s">
        <v>59</v>
      </c>
      <c r="H1846" t="s">
        <v>60</v>
      </c>
      <c r="J1846">
        <v>29</v>
      </c>
      <c r="K1846" t="s">
        <v>61</v>
      </c>
      <c r="L1846" t="s">
        <v>74</v>
      </c>
      <c r="M1846" t="s">
        <v>63</v>
      </c>
      <c r="N1846" t="s">
        <v>64</v>
      </c>
      <c r="P1846" t="s">
        <v>65</v>
      </c>
      <c r="R1846">
        <v>28.4</v>
      </c>
      <c r="T1846">
        <v>26.6</v>
      </c>
      <c r="V1846">
        <v>30.4</v>
      </c>
      <c r="W1846" t="s">
        <v>66</v>
      </c>
      <c r="X1846" t="s">
        <v>67</v>
      </c>
      <c r="Y1846" t="s">
        <v>67</v>
      </c>
      <c r="Z1846" t="s">
        <v>68</v>
      </c>
      <c r="AB1846">
        <v>4</v>
      </c>
      <c r="AC1846" t="s">
        <v>61</v>
      </c>
      <c r="AJ1846" t="s">
        <v>69</v>
      </c>
      <c r="AY1846" t="s">
        <v>286</v>
      </c>
      <c r="AZ1846">
        <v>12448</v>
      </c>
      <c r="BA1846" t="s">
        <v>287</v>
      </c>
      <c r="BB1846" t="s">
        <v>288</v>
      </c>
      <c r="BC1846">
        <v>1984</v>
      </c>
      <c r="BD1846" t="s">
        <v>73</v>
      </c>
    </row>
    <row r="1847" spans="1:56" x14ac:dyDescent="0.35">
      <c r="A1847">
        <v>368774</v>
      </c>
      <c r="B1847" t="s">
        <v>1437</v>
      </c>
      <c r="D1847" t="s">
        <v>57</v>
      </c>
      <c r="E1847">
        <v>95</v>
      </c>
      <c r="F1847" t="s">
        <v>58</v>
      </c>
      <c r="G1847" t="s">
        <v>59</v>
      </c>
      <c r="H1847" t="s">
        <v>60</v>
      </c>
      <c r="J1847">
        <v>33</v>
      </c>
      <c r="K1847" t="s">
        <v>61</v>
      </c>
      <c r="L1847" t="s">
        <v>74</v>
      </c>
      <c r="M1847" t="s">
        <v>63</v>
      </c>
      <c r="N1847" t="s">
        <v>64</v>
      </c>
      <c r="P1847" t="s">
        <v>65</v>
      </c>
      <c r="R1847">
        <v>47.7</v>
      </c>
      <c r="T1847">
        <v>39.299999999999997</v>
      </c>
      <c r="V1847">
        <v>57.9</v>
      </c>
      <c r="W1847" t="s">
        <v>66</v>
      </c>
      <c r="X1847" t="s">
        <v>67</v>
      </c>
      <c r="Y1847" t="s">
        <v>67</v>
      </c>
      <c r="Z1847" t="s">
        <v>68</v>
      </c>
      <c r="AB1847">
        <v>4</v>
      </c>
      <c r="AC1847" t="s">
        <v>61</v>
      </c>
      <c r="AJ1847" t="s">
        <v>69</v>
      </c>
      <c r="AY1847" t="s">
        <v>286</v>
      </c>
      <c r="AZ1847">
        <v>12448</v>
      </c>
      <c r="BA1847" t="s">
        <v>287</v>
      </c>
      <c r="BB1847" t="s">
        <v>288</v>
      </c>
      <c r="BC1847">
        <v>1984</v>
      </c>
      <c r="BD1847" t="s">
        <v>73</v>
      </c>
    </row>
    <row r="1848" spans="1:56" x14ac:dyDescent="0.35">
      <c r="A1848">
        <v>371404</v>
      </c>
      <c r="B1848" t="s">
        <v>1438</v>
      </c>
      <c r="D1848" t="s">
        <v>57</v>
      </c>
      <c r="E1848" t="s">
        <v>128</v>
      </c>
      <c r="F1848" t="s">
        <v>58</v>
      </c>
      <c r="G1848" t="s">
        <v>59</v>
      </c>
      <c r="H1848" t="s">
        <v>60</v>
      </c>
      <c r="I1848" t="s">
        <v>129</v>
      </c>
      <c r="J1848" t="s">
        <v>86</v>
      </c>
      <c r="K1848" t="s">
        <v>61</v>
      </c>
      <c r="L1848" t="s">
        <v>74</v>
      </c>
      <c r="M1848" t="s">
        <v>63</v>
      </c>
      <c r="N1848" t="s">
        <v>64</v>
      </c>
      <c r="P1848" t="s">
        <v>65</v>
      </c>
      <c r="R1848">
        <v>23</v>
      </c>
      <c r="W1848" t="s">
        <v>66</v>
      </c>
      <c r="X1848" t="s">
        <v>67</v>
      </c>
      <c r="Y1848" t="s">
        <v>67</v>
      </c>
      <c r="Z1848" t="s">
        <v>68</v>
      </c>
      <c r="AB1848">
        <v>4</v>
      </c>
      <c r="AC1848" t="s">
        <v>61</v>
      </c>
      <c r="AJ1848" t="s">
        <v>69</v>
      </c>
      <c r="AY1848" t="s">
        <v>134</v>
      </c>
      <c r="AZ1848">
        <v>15031</v>
      </c>
      <c r="BA1848" t="s">
        <v>135</v>
      </c>
      <c r="BB1848" t="s">
        <v>136</v>
      </c>
      <c r="BC1848">
        <v>1995</v>
      </c>
      <c r="BD1848" t="s">
        <v>133</v>
      </c>
    </row>
    <row r="1849" spans="1:56" x14ac:dyDescent="0.35">
      <c r="A1849">
        <v>371404</v>
      </c>
      <c r="B1849" t="s">
        <v>1438</v>
      </c>
      <c r="D1849" t="s">
        <v>57</v>
      </c>
      <c r="E1849">
        <v>99</v>
      </c>
      <c r="F1849" t="s">
        <v>58</v>
      </c>
      <c r="G1849" t="s">
        <v>59</v>
      </c>
      <c r="H1849" t="s">
        <v>60</v>
      </c>
      <c r="J1849">
        <v>32</v>
      </c>
      <c r="K1849" t="s">
        <v>61</v>
      </c>
      <c r="L1849" t="s">
        <v>74</v>
      </c>
      <c r="M1849" t="s">
        <v>63</v>
      </c>
      <c r="N1849" t="s">
        <v>64</v>
      </c>
      <c r="P1849" t="s">
        <v>65</v>
      </c>
      <c r="R1849">
        <v>16.899999999999999</v>
      </c>
      <c r="T1849">
        <v>14.4</v>
      </c>
      <c r="V1849">
        <v>19.899999999999999</v>
      </c>
      <c r="W1849" t="s">
        <v>66</v>
      </c>
      <c r="X1849" t="s">
        <v>67</v>
      </c>
      <c r="Y1849" t="s">
        <v>67</v>
      </c>
      <c r="Z1849" t="s">
        <v>68</v>
      </c>
      <c r="AB1849">
        <v>4</v>
      </c>
      <c r="AC1849" t="s">
        <v>61</v>
      </c>
      <c r="AJ1849" t="s">
        <v>69</v>
      </c>
      <c r="AY1849" t="s">
        <v>286</v>
      </c>
      <c r="AZ1849">
        <v>12448</v>
      </c>
      <c r="BA1849" t="s">
        <v>287</v>
      </c>
      <c r="BB1849" t="s">
        <v>288</v>
      </c>
      <c r="BC1849">
        <v>1984</v>
      </c>
      <c r="BD1849" t="s">
        <v>73</v>
      </c>
    </row>
    <row r="1850" spans="1:56" x14ac:dyDescent="0.35">
      <c r="A1850">
        <v>371404</v>
      </c>
      <c r="B1850" t="s">
        <v>1438</v>
      </c>
      <c r="D1850" t="s">
        <v>57</v>
      </c>
      <c r="E1850" t="s">
        <v>128</v>
      </c>
      <c r="F1850" t="s">
        <v>58</v>
      </c>
      <c r="G1850" t="s">
        <v>59</v>
      </c>
      <c r="H1850" t="s">
        <v>60</v>
      </c>
      <c r="I1850" t="s">
        <v>129</v>
      </c>
      <c r="J1850" t="s">
        <v>86</v>
      </c>
      <c r="K1850" t="s">
        <v>61</v>
      </c>
      <c r="L1850" t="s">
        <v>74</v>
      </c>
      <c r="M1850" t="s">
        <v>63</v>
      </c>
      <c r="N1850" t="s">
        <v>64</v>
      </c>
      <c r="P1850" t="s">
        <v>65</v>
      </c>
      <c r="R1850">
        <v>16.899999999999999</v>
      </c>
      <c r="W1850" t="s">
        <v>66</v>
      </c>
      <c r="X1850" t="s">
        <v>67</v>
      </c>
      <c r="Y1850" t="s">
        <v>67</v>
      </c>
      <c r="Z1850" t="s">
        <v>68</v>
      </c>
      <c r="AB1850">
        <v>4</v>
      </c>
      <c r="AC1850" t="s">
        <v>61</v>
      </c>
      <c r="AJ1850" t="s">
        <v>69</v>
      </c>
      <c r="AY1850" t="s">
        <v>134</v>
      </c>
      <c r="AZ1850">
        <v>15031</v>
      </c>
      <c r="BA1850" t="s">
        <v>135</v>
      </c>
      <c r="BB1850" t="s">
        <v>136</v>
      </c>
      <c r="BC1850">
        <v>1995</v>
      </c>
      <c r="BD1850" t="s">
        <v>133</v>
      </c>
    </row>
    <row r="1851" spans="1:56" x14ac:dyDescent="0.35">
      <c r="A1851">
        <v>383631</v>
      </c>
      <c r="B1851" t="s">
        <v>1439</v>
      </c>
      <c r="D1851" t="s">
        <v>57</v>
      </c>
      <c r="E1851">
        <v>99</v>
      </c>
      <c r="F1851" t="s">
        <v>58</v>
      </c>
      <c r="G1851" t="s">
        <v>59</v>
      </c>
      <c r="H1851" t="s">
        <v>60</v>
      </c>
      <c r="J1851">
        <v>32</v>
      </c>
      <c r="K1851" t="s">
        <v>61</v>
      </c>
      <c r="L1851" t="s">
        <v>190</v>
      </c>
      <c r="M1851" t="s">
        <v>63</v>
      </c>
      <c r="N1851" t="s">
        <v>64</v>
      </c>
      <c r="P1851" t="s">
        <v>65</v>
      </c>
      <c r="R1851">
        <v>10000</v>
      </c>
      <c r="T1851">
        <v>7790</v>
      </c>
      <c r="V1851">
        <v>12800</v>
      </c>
      <c r="W1851" t="s">
        <v>66</v>
      </c>
      <c r="X1851" t="s">
        <v>67</v>
      </c>
      <c r="Y1851" t="s">
        <v>67</v>
      </c>
      <c r="Z1851" t="s">
        <v>68</v>
      </c>
      <c r="AB1851">
        <v>4</v>
      </c>
      <c r="AC1851" t="s">
        <v>61</v>
      </c>
      <c r="AJ1851" t="s">
        <v>69</v>
      </c>
      <c r="AY1851" t="s">
        <v>80</v>
      </c>
      <c r="AZ1851">
        <v>12859</v>
      </c>
      <c r="BA1851" t="s">
        <v>81</v>
      </c>
      <c r="BB1851" t="s">
        <v>82</v>
      </c>
      <c r="BC1851">
        <v>1988</v>
      </c>
      <c r="BD1851" t="s">
        <v>73</v>
      </c>
    </row>
    <row r="1852" spans="1:56" x14ac:dyDescent="0.35">
      <c r="A1852">
        <v>385002</v>
      </c>
      <c r="B1852" t="s">
        <v>1440</v>
      </c>
      <c r="D1852" t="s">
        <v>85</v>
      </c>
      <c r="E1852" t="s">
        <v>86</v>
      </c>
      <c r="F1852" t="s">
        <v>58</v>
      </c>
      <c r="G1852" t="s">
        <v>59</v>
      </c>
      <c r="H1852" t="s">
        <v>60</v>
      </c>
      <c r="J1852" t="s">
        <v>86</v>
      </c>
      <c r="L1852" t="s">
        <v>62</v>
      </c>
      <c r="M1852" t="s">
        <v>63</v>
      </c>
      <c r="N1852" t="s">
        <v>64</v>
      </c>
      <c r="P1852" t="s">
        <v>100</v>
      </c>
      <c r="R1852">
        <v>69</v>
      </c>
      <c r="T1852">
        <v>55</v>
      </c>
      <c r="V1852">
        <v>87</v>
      </c>
      <c r="W1852" t="s">
        <v>66</v>
      </c>
      <c r="X1852" t="s">
        <v>67</v>
      </c>
      <c r="Y1852" t="s">
        <v>67</v>
      </c>
      <c r="Z1852" t="s">
        <v>68</v>
      </c>
      <c r="AB1852">
        <v>4</v>
      </c>
      <c r="AC1852" t="s">
        <v>61</v>
      </c>
      <c r="AJ1852" t="s">
        <v>69</v>
      </c>
      <c r="AY1852" t="s">
        <v>962</v>
      </c>
      <c r="AZ1852">
        <v>939</v>
      </c>
      <c r="BA1852" t="s">
        <v>963</v>
      </c>
      <c r="BB1852" t="s">
        <v>964</v>
      </c>
      <c r="BC1852">
        <v>1978</v>
      </c>
      <c r="BD1852" t="s">
        <v>90</v>
      </c>
    </row>
    <row r="1853" spans="1:56" x14ac:dyDescent="0.35">
      <c r="A1853">
        <v>387451</v>
      </c>
      <c r="B1853" t="s">
        <v>1441</v>
      </c>
      <c r="D1853" t="s">
        <v>57</v>
      </c>
      <c r="E1853">
        <v>95</v>
      </c>
      <c r="F1853" t="s">
        <v>58</v>
      </c>
      <c r="G1853" t="s">
        <v>59</v>
      </c>
      <c r="H1853" t="s">
        <v>60</v>
      </c>
      <c r="J1853">
        <v>33</v>
      </c>
      <c r="K1853" t="s">
        <v>61</v>
      </c>
      <c r="L1853" t="s">
        <v>74</v>
      </c>
      <c r="M1853" t="s">
        <v>63</v>
      </c>
      <c r="N1853" t="s">
        <v>64</v>
      </c>
      <c r="P1853" t="s">
        <v>65</v>
      </c>
      <c r="R1853">
        <v>9.41</v>
      </c>
      <c r="T1853">
        <v>9.0500000000000007</v>
      </c>
      <c r="V1853">
        <v>9.8000000000000007</v>
      </c>
      <c r="W1853" t="s">
        <v>66</v>
      </c>
      <c r="X1853" t="s">
        <v>67</v>
      </c>
      <c r="Y1853" t="s">
        <v>67</v>
      </c>
      <c r="Z1853" t="s">
        <v>68</v>
      </c>
      <c r="AB1853">
        <v>4</v>
      </c>
      <c r="AC1853" t="s">
        <v>61</v>
      </c>
      <c r="AJ1853" t="s">
        <v>69</v>
      </c>
      <c r="AY1853" t="s">
        <v>286</v>
      </c>
      <c r="AZ1853">
        <v>12448</v>
      </c>
      <c r="BA1853" t="s">
        <v>287</v>
      </c>
      <c r="BB1853" t="s">
        <v>288</v>
      </c>
      <c r="BC1853">
        <v>1984</v>
      </c>
      <c r="BD1853" t="s">
        <v>73</v>
      </c>
    </row>
    <row r="1854" spans="1:56" x14ac:dyDescent="0.35">
      <c r="A1854">
        <v>393395</v>
      </c>
      <c r="B1854" t="s">
        <v>1442</v>
      </c>
      <c r="D1854" t="s">
        <v>57</v>
      </c>
      <c r="E1854">
        <v>99</v>
      </c>
      <c r="F1854" t="s">
        <v>58</v>
      </c>
      <c r="G1854" t="s">
        <v>59</v>
      </c>
      <c r="H1854" t="s">
        <v>60</v>
      </c>
      <c r="J1854">
        <v>33</v>
      </c>
      <c r="K1854" t="s">
        <v>61</v>
      </c>
      <c r="L1854" t="s">
        <v>74</v>
      </c>
      <c r="M1854" t="s">
        <v>63</v>
      </c>
      <c r="N1854" t="s">
        <v>64</v>
      </c>
      <c r="P1854" t="s">
        <v>65</v>
      </c>
      <c r="R1854">
        <v>29.6</v>
      </c>
      <c r="W1854" t="s">
        <v>66</v>
      </c>
      <c r="X1854" t="s">
        <v>67</v>
      </c>
      <c r="Y1854" t="s">
        <v>67</v>
      </c>
      <c r="Z1854" t="s">
        <v>68</v>
      </c>
      <c r="AB1854">
        <v>4</v>
      </c>
      <c r="AC1854" t="s">
        <v>61</v>
      </c>
      <c r="AJ1854" t="s">
        <v>69</v>
      </c>
      <c r="AY1854" t="s">
        <v>286</v>
      </c>
      <c r="AZ1854">
        <v>12448</v>
      </c>
      <c r="BA1854" t="s">
        <v>287</v>
      </c>
      <c r="BB1854" t="s">
        <v>288</v>
      </c>
      <c r="BC1854">
        <v>1984</v>
      </c>
      <c r="BD1854" t="s">
        <v>73</v>
      </c>
    </row>
    <row r="1855" spans="1:56" x14ac:dyDescent="0.35">
      <c r="A1855">
        <v>446526</v>
      </c>
      <c r="B1855" t="s">
        <v>1443</v>
      </c>
      <c r="D1855" t="s">
        <v>57</v>
      </c>
      <c r="E1855">
        <v>97</v>
      </c>
      <c r="F1855" t="s">
        <v>58</v>
      </c>
      <c r="G1855" t="s">
        <v>59</v>
      </c>
      <c r="H1855" t="s">
        <v>60</v>
      </c>
      <c r="J1855">
        <v>27</v>
      </c>
      <c r="K1855" t="s">
        <v>61</v>
      </c>
      <c r="L1855" t="s">
        <v>74</v>
      </c>
      <c r="M1855" t="s">
        <v>63</v>
      </c>
      <c r="N1855" t="s">
        <v>64</v>
      </c>
      <c r="O1855">
        <v>6</v>
      </c>
      <c r="P1855" t="s">
        <v>65</v>
      </c>
      <c r="R1855">
        <v>1.37</v>
      </c>
      <c r="T1855">
        <v>1.1599999999999999</v>
      </c>
      <c r="V1855">
        <v>1.62</v>
      </c>
      <c r="W1855" t="s">
        <v>66</v>
      </c>
      <c r="X1855" t="s">
        <v>67</v>
      </c>
      <c r="Y1855" t="s">
        <v>67</v>
      </c>
      <c r="Z1855" t="s">
        <v>68</v>
      </c>
      <c r="AB1855">
        <v>4</v>
      </c>
      <c r="AC1855" t="s">
        <v>61</v>
      </c>
      <c r="AJ1855" t="s">
        <v>69</v>
      </c>
      <c r="AY1855" t="s">
        <v>286</v>
      </c>
      <c r="AZ1855">
        <v>12448</v>
      </c>
      <c r="BA1855" t="s">
        <v>287</v>
      </c>
      <c r="BB1855" t="s">
        <v>288</v>
      </c>
      <c r="BC1855">
        <v>1984</v>
      </c>
      <c r="BD1855" t="s">
        <v>73</v>
      </c>
    </row>
    <row r="1856" spans="1:56" x14ac:dyDescent="0.35">
      <c r="A1856">
        <v>447609</v>
      </c>
      <c r="B1856" t="s">
        <v>1444</v>
      </c>
      <c r="D1856" t="s">
        <v>57</v>
      </c>
      <c r="E1856">
        <v>98</v>
      </c>
      <c r="F1856" t="s">
        <v>58</v>
      </c>
      <c r="G1856" t="s">
        <v>59</v>
      </c>
      <c r="H1856" t="s">
        <v>60</v>
      </c>
      <c r="J1856">
        <v>30</v>
      </c>
      <c r="K1856" t="s">
        <v>61</v>
      </c>
      <c r="L1856" t="s">
        <v>74</v>
      </c>
      <c r="M1856" t="s">
        <v>63</v>
      </c>
      <c r="N1856" t="s">
        <v>64</v>
      </c>
      <c r="P1856" t="s">
        <v>65</v>
      </c>
      <c r="R1856">
        <v>42.2</v>
      </c>
      <c r="T1856">
        <v>38.5</v>
      </c>
      <c r="V1856">
        <v>46.4</v>
      </c>
      <c r="W1856" t="s">
        <v>66</v>
      </c>
      <c r="X1856" t="s">
        <v>67</v>
      </c>
      <c r="Y1856" t="s">
        <v>67</v>
      </c>
      <c r="Z1856" t="s">
        <v>68</v>
      </c>
      <c r="AB1856">
        <v>4</v>
      </c>
      <c r="AC1856" t="s">
        <v>61</v>
      </c>
      <c r="AJ1856" t="s">
        <v>69</v>
      </c>
      <c r="AY1856" t="s">
        <v>286</v>
      </c>
      <c r="AZ1856">
        <v>12448</v>
      </c>
      <c r="BA1856" t="s">
        <v>287</v>
      </c>
      <c r="BB1856" t="s">
        <v>288</v>
      </c>
      <c r="BC1856">
        <v>1984</v>
      </c>
      <c r="BD1856" t="s">
        <v>73</v>
      </c>
    </row>
    <row r="1857" spans="1:56" x14ac:dyDescent="0.35">
      <c r="A1857">
        <v>454897</v>
      </c>
      <c r="B1857" t="s">
        <v>1445</v>
      </c>
      <c r="D1857" t="s">
        <v>57</v>
      </c>
      <c r="E1857" t="s">
        <v>810</v>
      </c>
      <c r="F1857" t="s">
        <v>58</v>
      </c>
      <c r="G1857" t="s">
        <v>59</v>
      </c>
      <c r="H1857" t="s">
        <v>60</v>
      </c>
      <c r="J1857">
        <v>32</v>
      </c>
      <c r="K1857" t="s">
        <v>61</v>
      </c>
      <c r="L1857" t="s">
        <v>74</v>
      </c>
      <c r="M1857" t="s">
        <v>63</v>
      </c>
      <c r="N1857" t="s">
        <v>64</v>
      </c>
      <c r="P1857" t="s">
        <v>65</v>
      </c>
      <c r="R1857">
        <v>0.92</v>
      </c>
      <c r="T1857">
        <v>0.85</v>
      </c>
      <c r="V1857">
        <v>1</v>
      </c>
      <c r="W1857" t="s">
        <v>66</v>
      </c>
      <c r="X1857" t="s">
        <v>67</v>
      </c>
      <c r="Y1857" t="s">
        <v>67</v>
      </c>
      <c r="Z1857" t="s">
        <v>68</v>
      </c>
      <c r="AB1857">
        <v>4</v>
      </c>
      <c r="AC1857" t="s">
        <v>61</v>
      </c>
      <c r="AJ1857" t="s">
        <v>69</v>
      </c>
      <c r="AY1857" t="s">
        <v>286</v>
      </c>
      <c r="AZ1857">
        <v>12448</v>
      </c>
      <c r="BA1857" t="s">
        <v>287</v>
      </c>
      <c r="BB1857" t="s">
        <v>288</v>
      </c>
      <c r="BC1857">
        <v>1984</v>
      </c>
      <c r="BD1857" t="s">
        <v>73</v>
      </c>
    </row>
    <row r="1858" spans="1:56" x14ac:dyDescent="0.35">
      <c r="A1858">
        <v>454897</v>
      </c>
      <c r="B1858" t="s">
        <v>1445</v>
      </c>
      <c r="D1858" t="s">
        <v>57</v>
      </c>
      <c r="E1858" t="s">
        <v>810</v>
      </c>
      <c r="F1858" t="s">
        <v>58</v>
      </c>
      <c r="G1858" t="s">
        <v>59</v>
      </c>
      <c r="H1858" t="s">
        <v>60</v>
      </c>
      <c r="J1858">
        <v>30</v>
      </c>
      <c r="K1858" t="s">
        <v>61</v>
      </c>
      <c r="L1858" t="s">
        <v>74</v>
      </c>
      <c r="M1858" t="s">
        <v>63</v>
      </c>
      <c r="N1858" t="s">
        <v>64</v>
      </c>
      <c r="P1858" t="s">
        <v>65</v>
      </c>
      <c r="R1858">
        <v>1.1299999999999999</v>
      </c>
      <c r="W1858" t="s">
        <v>66</v>
      </c>
      <c r="X1858" t="s">
        <v>67</v>
      </c>
      <c r="Y1858" t="s">
        <v>67</v>
      </c>
      <c r="Z1858" t="s">
        <v>68</v>
      </c>
      <c r="AB1858">
        <v>4</v>
      </c>
      <c r="AC1858" t="s">
        <v>61</v>
      </c>
      <c r="AJ1858" t="s">
        <v>69</v>
      </c>
      <c r="AY1858" t="s">
        <v>80</v>
      </c>
      <c r="AZ1858">
        <v>12859</v>
      </c>
      <c r="BA1858" t="s">
        <v>81</v>
      </c>
      <c r="BB1858" t="s">
        <v>82</v>
      </c>
      <c r="BC1858">
        <v>1988</v>
      </c>
      <c r="BD1858" t="s">
        <v>73</v>
      </c>
    </row>
    <row r="1859" spans="1:56" x14ac:dyDescent="0.35">
      <c r="A1859">
        <v>454897</v>
      </c>
      <c r="B1859" t="s">
        <v>1445</v>
      </c>
      <c r="D1859" t="s">
        <v>57</v>
      </c>
      <c r="E1859" t="s">
        <v>810</v>
      </c>
      <c r="F1859" t="s">
        <v>58</v>
      </c>
      <c r="G1859" t="s">
        <v>59</v>
      </c>
      <c r="H1859" t="s">
        <v>60</v>
      </c>
      <c r="J1859">
        <v>28</v>
      </c>
      <c r="K1859" t="s">
        <v>61</v>
      </c>
      <c r="L1859" t="s">
        <v>74</v>
      </c>
      <c r="M1859" t="s">
        <v>63</v>
      </c>
      <c r="N1859" t="s">
        <v>64</v>
      </c>
      <c r="P1859" t="s">
        <v>65</v>
      </c>
      <c r="R1859">
        <v>0.76</v>
      </c>
      <c r="T1859">
        <v>0.65</v>
      </c>
      <c r="V1859">
        <v>0.88</v>
      </c>
      <c r="W1859" t="s">
        <v>66</v>
      </c>
      <c r="X1859" t="s">
        <v>67</v>
      </c>
      <c r="Y1859" t="s">
        <v>67</v>
      </c>
      <c r="Z1859" t="s">
        <v>68</v>
      </c>
      <c r="AB1859">
        <v>4</v>
      </c>
      <c r="AC1859" t="s">
        <v>61</v>
      </c>
      <c r="AJ1859" t="s">
        <v>69</v>
      </c>
      <c r="AY1859" t="s">
        <v>263</v>
      </c>
      <c r="AZ1859">
        <v>12858</v>
      </c>
      <c r="BA1859" t="s">
        <v>264</v>
      </c>
      <c r="BB1859" t="s">
        <v>265</v>
      </c>
      <c r="BC1859">
        <v>1986</v>
      </c>
      <c r="BD1859" t="s">
        <v>73</v>
      </c>
    </row>
    <row r="1860" spans="1:56" x14ac:dyDescent="0.35">
      <c r="A1860">
        <v>459596</v>
      </c>
      <c r="B1860" t="s">
        <v>1446</v>
      </c>
      <c r="D1860" t="s">
        <v>57</v>
      </c>
      <c r="E1860">
        <v>98</v>
      </c>
      <c r="F1860" t="s">
        <v>58</v>
      </c>
      <c r="G1860" t="s">
        <v>59</v>
      </c>
      <c r="H1860" t="s">
        <v>60</v>
      </c>
      <c r="J1860">
        <v>34</v>
      </c>
      <c r="K1860" t="s">
        <v>61</v>
      </c>
      <c r="L1860" t="s">
        <v>74</v>
      </c>
      <c r="M1860" t="s">
        <v>63</v>
      </c>
      <c r="N1860" t="s">
        <v>64</v>
      </c>
      <c r="P1860" t="s">
        <v>65</v>
      </c>
      <c r="R1860">
        <v>38.4</v>
      </c>
      <c r="T1860">
        <v>35.9</v>
      </c>
      <c r="V1860">
        <v>41.1</v>
      </c>
      <c r="W1860" t="s">
        <v>66</v>
      </c>
      <c r="X1860" t="s">
        <v>67</v>
      </c>
      <c r="Y1860" t="s">
        <v>67</v>
      </c>
      <c r="Z1860" t="s">
        <v>68</v>
      </c>
      <c r="AB1860">
        <v>4</v>
      </c>
      <c r="AC1860" t="s">
        <v>61</v>
      </c>
      <c r="AJ1860" t="s">
        <v>69</v>
      </c>
      <c r="AY1860" t="s">
        <v>286</v>
      </c>
      <c r="AZ1860">
        <v>12448</v>
      </c>
      <c r="BA1860" t="s">
        <v>287</v>
      </c>
      <c r="BB1860" t="s">
        <v>288</v>
      </c>
      <c r="BC1860">
        <v>1984</v>
      </c>
      <c r="BD1860" t="s">
        <v>73</v>
      </c>
    </row>
    <row r="1861" spans="1:56" x14ac:dyDescent="0.35">
      <c r="A1861">
        <v>464459</v>
      </c>
      <c r="B1861" t="s">
        <v>1447</v>
      </c>
      <c r="D1861" t="s">
        <v>57</v>
      </c>
      <c r="E1861">
        <v>99</v>
      </c>
      <c r="F1861" t="s">
        <v>58</v>
      </c>
      <c r="G1861" t="s">
        <v>59</v>
      </c>
      <c r="H1861" t="s">
        <v>60</v>
      </c>
      <c r="J1861">
        <v>32</v>
      </c>
      <c r="K1861" t="s">
        <v>61</v>
      </c>
      <c r="L1861" t="s">
        <v>74</v>
      </c>
      <c r="M1861" t="s">
        <v>63</v>
      </c>
      <c r="N1861" t="s">
        <v>64</v>
      </c>
      <c r="P1861" t="s">
        <v>65</v>
      </c>
      <c r="R1861">
        <v>67.8</v>
      </c>
      <c r="T1861">
        <v>65.198999999999998</v>
      </c>
      <c r="V1861">
        <v>70.599999999999994</v>
      </c>
      <c r="W1861" t="s">
        <v>66</v>
      </c>
      <c r="X1861" t="s">
        <v>67</v>
      </c>
      <c r="Y1861" t="s">
        <v>67</v>
      </c>
      <c r="Z1861" t="s">
        <v>68</v>
      </c>
      <c r="AB1861">
        <v>4</v>
      </c>
      <c r="AC1861" t="s">
        <v>61</v>
      </c>
      <c r="AJ1861" t="s">
        <v>69</v>
      </c>
      <c r="AY1861" t="s">
        <v>80</v>
      </c>
      <c r="AZ1861">
        <v>12859</v>
      </c>
      <c r="BA1861" t="s">
        <v>81</v>
      </c>
      <c r="BB1861" t="s">
        <v>82</v>
      </c>
      <c r="BC1861">
        <v>1988</v>
      </c>
      <c r="BD1861" t="s">
        <v>73</v>
      </c>
    </row>
    <row r="1862" spans="1:56" x14ac:dyDescent="0.35">
      <c r="A1862">
        <v>464459</v>
      </c>
      <c r="B1862" t="s">
        <v>1447</v>
      </c>
      <c r="D1862" t="s">
        <v>57</v>
      </c>
      <c r="E1862">
        <v>99</v>
      </c>
      <c r="F1862" t="s">
        <v>58</v>
      </c>
      <c r="G1862" t="s">
        <v>59</v>
      </c>
      <c r="H1862" t="s">
        <v>60</v>
      </c>
      <c r="J1862">
        <v>30</v>
      </c>
      <c r="K1862" t="s">
        <v>61</v>
      </c>
      <c r="L1862" t="s">
        <v>74</v>
      </c>
      <c r="M1862" t="s">
        <v>63</v>
      </c>
      <c r="N1862" t="s">
        <v>64</v>
      </c>
      <c r="P1862" t="s">
        <v>65</v>
      </c>
      <c r="R1862">
        <v>59</v>
      </c>
      <c r="T1862">
        <v>55.4</v>
      </c>
      <c r="V1862">
        <v>62.8</v>
      </c>
      <c r="W1862" t="s">
        <v>66</v>
      </c>
      <c r="X1862" t="s">
        <v>67</v>
      </c>
      <c r="Y1862" t="s">
        <v>67</v>
      </c>
      <c r="Z1862" t="s">
        <v>68</v>
      </c>
      <c r="AB1862">
        <v>4</v>
      </c>
      <c r="AC1862" t="s">
        <v>61</v>
      </c>
      <c r="AJ1862" t="s">
        <v>69</v>
      </c>
      <c r="AY1862" t="s">
        <v>80</v>
      </c>
      <c r="AZ1862">
        <v>12859</v>
      </c>
      <c r="BA1862" t="s">
        <v>81</v>
      </c>
      <c r="BB1862" t="s">
        <v>82</v>
      </c>
      <c r="BC1862">
        <v>1988</v>
      </c>
      <c r="BD1862" t="s">
        <v>73</v>
      </c>
    </row>
    <row r="1863" spans="1:56" x14ac:dyDescent="0.35">
      <c r="A1863">
        <v>464482</v>
      </c>
      <c r="B1863" t="s">
        <v>1448</v>
      </c>
      <c r="D1863" t="s">
        <v>57</v>
      </c>
      <c r="E1863">
        <v>99</v>
      </c>
      <c r="F1863" t="s">
        <v>58</v>
      </c>
      <c r="G1863" t="s">
        <v>59</v>
      </c>
      <c r="H1863" t="s">
        <v>60</v>
      </c>
      <c r="J1863">
        <v>32</v>
      </c>
      <c r="K1863" t="s">
        <v>61</v>
      </c>
      <c r="L1863" t="s">
        <v>74</v>
      </c>
      <c r="M1863" t="s">
        <v>63</v>
      </c>
      <c r="N1863" t="s">
        <v>64</v>
      </c>
      <c r="P1863" t="s">
        <v>65</v>
      </c>
      <c r="R1863">
        <v>17</v>
      </c>
      <c r="T1863">
        <v>15</v>
      </c>
      <c r="V1863">
        <v>19.399999999999999</v>
      </c>
      <c r="W1863" t="s">
        <v>66</v>
      </c>
      <c r="X1863" t="s">
        <v>67</v>
      </c>
      <c r="Y1863" t="s">
        <v>67</v>
      </c>
      <c r="Z1863" t="s">
        <v>68</v>
      </c>
      <c r="AB1863">
        <v>4</v>
      </c>
      <c r="AC1863" t="s">
        <v>61</v>
      </c>
      <c r="AJ1863" t="s">
        <v>69</v>
      </c>
      <c r="AY1863" t="s">
        <v>75</v>
      </c>
      <c r="AZ1863">
        <v>3217</v>
      </c>
      <c r="BA1863" t="s">
        <v>76</v>
      </c>
      <c r="BB1863" t="s">
        <v>77</v>
      </c>
      <c r="BC1863">
        <v>1990</v>
      </c>
      <c r="BD1863" t="s">
        <v>73</v>
      </c>
    </row>
    <row r="1864" spans="1:56" x14ac:dyDescent="0.35">
      <c r="A1864">
        <v>464493</v>
      </c>
      <c r="B1864" t="s">
        <v>1449</v>
      </c>
      <c r="D1864" t="s">
        <v>85</v>
      </c>
      <c r="E1864" t="s">
        <v>86</v>
      </c>
      <c r="F1864" t="s">
        <v>58</v>
      </c>
      <c r="G1864" t="s">
        <v>59</v>
      </c>
      <c r="H1864" t="s">
        <v>60</v>
      </c>
      <c r="I1864" t="s">
        <v>129</v>
      </c>
      <c r="J1864" t="s">
        <v>86</v>
      </c>
      <c r="K1864" t="s">
        <v>196</v>
      </c>
      <c r="L1864" t="s">
        <v>62</v>
      </c>
      <c r="M1864" t="s">
        <v>63</v>
      </c>
      <c r="N1864" t="s">
        <v>64</v>
      </c>
      <c r="P1864" t="s">
        <v>100</v>
      </c>
      <c r="R1864">
        <v>110</v>
      </c>
      <c r="W1864" t="s">
        <v>66</v>
      </c>
      <c r="X1864" t="s">
        <v>67</v>
      </c>
      <c r="Y1864" t="s">
        <v>67</v>
      </c>
      <c r="Z1864" t="s">
        <v>68</v>
      </c>
      <c r="AB1864">
        <v>4</v>
      </c>
      <c r="AC1864" t="s">
        <v>61</v>
      </c>
      <c r="AJ1864" t="s">
        <v>69</v>
      </c>
      <c r="AY1864" t="s">
        <v>338</v>
      </c>
      <c r="AZ1864">
        <v>719</v>
      </c>
      <c r="BA1864" t="s">
        <v>339</v>
      </c>
      <c r="BB1864" t="s">
        <v>340</v>
      </c>
      <c r="BC1864">
        <v>1976</v>
      </c>
      <c r="BD1864" t="s">
        <v>341</v>
      </c>
    </row>
    <row r="1865" spans="1:56" x14ac:dyDescent="0.35">
      <c r="A1865">
        <v>470826</v>
      </c>
      <c r="B1865" t="s">
        <v>1450</v>
      </c>
      <c r="D1865" t="s">
        <v>57</v>
      </c>
      <c r="E1865">
        <v>99</v>
      </c>
      <c r="F1865" t="s">
        <v>58</v>
      </c>
      <c r="G1865" t="s">
        <v>59</v>
      </c>
      <c r="H1865" t="s">
        <v>60</v>
      </c>
      <c r="J1865">
        <v>28</v>
      </c>
      <c r="K1865" t="s">
        <v>61</v>
      </c>
      <c r="L1865" t="s">
        <v>74</v>
      </c>
      <c r="M1865" t="s">
        <v>63</v>
      </c>
      <c r="N1865" t="s">
        <v>64</v>
      </c>
      <c r="P1865" t="s">
        <v>65</v>
      </c>
      <c r="R1865">
        <v>102</v>
      </c>
      <c r="T1865">
        <v>95.4</v>
      </c>
      <c r="V1865">
        <v>109</v>
      </c>
      <c r="W1865" t="s">
        <v>66</v>
      </c>
      <c r="X1865" t="s">
        <v>67</v>
      </c>
      <c r="Y1865" t="s">
        <v>67</v>
      </c>
      <c r="Z1865" t="s">
        <v>68</v>
      </c>
      <c r="AB1865">
        <v>4</v>
      </c>
      <c r="AC1865" t="s">
        <v>61</v>
      </c>
      <c r="AJ1865" t="s">
        <v>69</v>
      </c>
      <c r="AY1865" t="s">
        <v>80</v>
      </c>
      <c r="AZ1865">
        <v>12859</v>
      </c>
      <c r="BA1865" t="s">
        <v>81</v>
      </c>
      <c r="BB1865" t="s">
        <v>82</v>
      </c>
      <c r="BC1865">
        <v>1988</v>
      </c>
      <c r="BD1865" t="s">
        <v>73</v>
      </c>
    </row>
    <row r="1866" spans="1:56" x14ac:dyDescent="0.35">
      <c r="A1866">
        <v>471772</v>
      </c>
      <c r="B1866" t="s">
        <v>1451</v>
      </c>
      <c r="D1866" t="s">
        <v>57</v>
      </c>
      <c r="E1866" t="s">
        <v>79</v>
      </c>
      <c r="F1866" t="s">
        <v>58</v>
      </c>
      <c r="G1866" t="s">
        <v>59</v>
      </c>
      <c r="H1866" t="s">
        <v>60</v>
      </c>
      <c r="J1866">
        <v>28</v>
      </c>
      <c r="K1866" t="s">
        <v>61</v>
      </c>
      <c r="L1866" t="s">
        <v>74</v>
      </c>
      <c r="M1866" t="s">
        <v>63</v>
      </c>
      <c r="N1866" t="s">
        <v>64</v>
      </c>
      <c r="P1866" t="s">
        <v>65</v>
      </c>
      <c r="R1866">
        <v>1.71</v>
      </c>
      <c r="T1866">
        <v>1.53</v>
      </c>
      <c r="V1866">
        <v>1.91</v>
      </c>
      <c r="W1866" t="s">
        <v>66</v>
      </c>
      <c r="X1866" t="s">
        <v>67</v>
      </c>
      <c r="Y1866" t="s">
        <v>67</v>
      </c>
      <c r="Z1866" t="s">
        <v>68</v>
      </c>
      <c r="AB1866">
        <v>4</v>
      </c>
      <c r="AC1866" t="s">
        <v>61</v>
      </c>
      <c r="AJ1866" t="s">
        <v>69</v>
      </c>
      <c r="AY1866" t="s">
        <v>141</v>
      </c>
      <c r="AZ1866">
        <v>12447</v>
      </c>
      <c r="BA1866" t="s">
        <v>142</v>
      </c>
      <c r="BB1866" t="s">
        <v>143</v>
      </c>
      <c r="BC1866">
        <v>1985</v>
      </c>
      <c r="BD1866" t="s">
        <v>73</v>
      </c>
    </row>
    <row r="1867" spans="1:56" x14ac:dyDescent="0.35">
      <c r="A1867">
        <v>471772</v>
      </c>
      <c r="B1867" t="s">
        <v>1451</v>
      </c>
      <c r="D1867" t="s">
        <v>57</v>
      </c>
      <c r="E1867" t="s">
        <v>79</v>
      </c>
      <c r="F1867" t="s">
        <v>58</v>
      </c>
      <c r="G1867" t="s">
        <v>59</v>
      </c>
      <c r="H1867" t="s">
        <v>60</v>
      </c>
      <c r="J1867">
        <v>30</v>
      </c>
      <c r="K1867" t="s">
        <v>61</v>
      </c>
      <c r="L1867" t="s">
        <v>74</v>
      </c>
      <c r="M1867" t="s">
        <v>63</v>
      </c>
      <c r="N1867" t="s">
        <v>64</v>
      </c>
      <c r="P1867" t="s">
        <v>65</v>
      </c>
      <c r="R1867">
        <v>1.3</v>
      </c>
      <c r="T1867">
        <v>1.19</v>
      </c>
      <c r="V1867">
        <v>1.41</v>
      </c>
      <c r="W1867" t="s">
        <v>66</v>
      </c>
      <c r="X1867" t="s">
        <v>67</v>
      </c>
      <c r="Y1867" t="s">
        <v>67</v>
      </c>
      <c r="Z1867" t="s">
        <v>68</v>
      </c>
      <c r="AB1867">
        <v>4</v>
      </c>
      <c r="AC1867" t="s">
        <v>61</v>
      </c>
      <c r="AJ1867" t="s">
        <v>69</v>
      </c>
      <c r="AY1867" t="s">
        <v>141</v>
      </c>
      <c r="AZ1867">
        <v>12447</v>
      </c>
      <c r="BA1867" t="s">
        <v>142</v>
      </c>
      <c r="BB1867" t="s">
        <v>143</v>
      </c>
      <c r="BC1867">
        <v>1985</v>
      </c>
      <c r="BD1867" t="s">
        <v>73</v>
      </c>
    </row>
    <row r="1868" spans="1:56" x14ac:dyDescent="0.35">
      <c r="A1868">
        <v>475207</v>
      </c>
      <c r="B1868" t="s">
        <v>1452</v>
      </c>
      <c r="D1868" t="s">
        <v>85</v>
      </c>
      <c r="E1868" t="s">
        <v>79</v>
      </c>
      <c r="F1868" t="s">
        <v>58</v>
      </c>
      <c r="G1868" t="s">
        <v>59</v>
      </c>
      <c r="H1868" t="s">
        <v>60</v>
      </c>
      <c r="J1868" t="s">
        <v>86</v>
      </c>
      <c r="L1868" t="s">
        <v>190</v>
      </c>
      <c r="M1868" t="s">
        <v>63</v>
      </c>
      <c r="N1868" t="s">
        <v>64</v>
      </c>
      <c r="P1868" t="s">
        <v>65</v>
      </c>
      <c r="R1868">
        <v>10.199999999999999</v>
      </c>
      <c r="W1868" t="s">
        <v>66</v>
      </c>
      <c r="X1868" t="s">
        <v>67</v>
      </c>
      <c r="Y1868" t="s">
        <v>67</v>
      </c>
      <c r="Z1868" t="s">
        <v>68</v>
      </c>
      <c r="AB1868">
        <v>4</v>
      </c>
      <c r="AC1868" t="s">
        <v>61</v>
      </c>
      <c r="AJ1868" t="s">
        <v>69</v>
      </c>
      <c r="AY1868" t="s">
        <v>1371</v>
      </c>
      <c r="AZ1868">
        <v>17881</v>
      </c>
      <c r="BA1868" t="s">
        <v>1372</v>
      </c>
      <c r="BB1868" t="s">
        <v>1373</v>
      </c>
      <c r="BC1868">
        <v>1997</v>
      </c>
      <c r="BD1868" t="s">
        <v>90</v>
      </c>
    </row>
    <row r="1869" spans="1:56" x14ac:dyDescent="0.35">
      <c r="A1869">
        <v>496117</v>
      </c>
      <c r="B1869" t="s">
        <v>1453</v>
      </c>
      <c r="D1869" t="s">
        <v>85</v>
      </c>
      <c r="E1869" t="s">
        <v>86</v>
      </c>
      <c r="F1869" t="s">
        <v>58</v>
      </c>
      <c r="G1869" t="s">
        <v>59</v>
      </c>
      <c r="H1869" t="s">
        <v>60</v>
      </c>
      <c r="I1869" t="s">
        <v>129</v>
      </c>
      <c r="J1869" t="s">
        <v>86</v>
      </c>
      <c r="K1869" t="s">
        <v>196</v>
      </c>
      <c r="L1869" t="s">
        <v>62</v>
      </c>
      <c r="M1869" t="s">
        <v>63</v>
      </c>
      <c r="N1869" t="s">
        <v>64</v>
      </c>
      <c r="P1869" t="s">
        <v>100</v>
      </c>
      <c r="R1869">
        <v>14</v>
      </c>
      <c r="W1869" t="s">
        <v>66</v>
      </c>
      <c r="X1869" t="s">
        <v>67</v>
      </c>
      <c r="Y1869" t="s">
        <v>67</v>
      </c>
      <c r="Z1869" t="s">
        <v>68</v>
      </c>
      <c r="AB1869">
        <v>4</v>
      </c>
      <c r="AC1869" t="s">
        <v>61</v>
      </c>
      <c r="AJ1869" t="s">
        <v>69</v>
      </c>
      <c r="AY1869" t="s">
        <v>338</v>
      </c>
      <c r="AZ1869">
        <v>719</v>
      </c>
      <c r="BA1869" t="s">
        <v>339</v>
      </c>
      <c r="BB1869" t="s">
        <v>340</v>
      </c>
      <c r="BC1869">
        <v>1976</v>
      </c>
      <c r="BD1869" t="s">
        <v>341</v>
      </c>
    </row>
    <row r="1870" spans="1:56" x14ac:dyDescent="0.35">
      <c r="A1870">
        <v>496162</v>
      </c>
      <c r="B1870" t="s">
        <v>1454</v>
      </c>
      <c r="D1870" t="s">
        <v>57</v>
      </c>
      <c r="E1870">
        <v>98</v>
      </c>
      <c r="F1870" t="s">
        <v>58</v>
      </c>
      <c r="G1870" t="s">
        <v>59</v>
      </c>
      <c r="H1870" t="s">
        <v>60</v>
      </c>
      <c r="J1870">
        <v>28</v>
      </c>
      <c r="K1870" t="s">
        <v>61</v>
      </c>
      <c r="L1870" t="s">
        <v>74</v>
      </c>
      <c r="M1870" t="s">
        <v>63</v>
      </c>
      <c r="N1870" t="s">
        <v>64</v>
      </c>
      <c r="P1870" t="s">
        <v>65</v>
      </c>
      <c r="R1870">
        <v>81.7</v>
      </c>
      <c r="T1870">
        <v>74.099999999999994</v>
      </c>
      <c r="V1870">
        <v>90.2</v>
      </c>
      <c r="W1870" t="s">
        <v>66</v>
      </c>
      <c r="X1870" t="s">
        <v>67</v>
      </c>
      <c r="Y1870" t="s">
        <v>67</v>
      </c>
      <c r="Z1870" t="s">
        <v>68</v>
      </c>
      <c r="AB1870">
        <v>4</v>
      </c>
      <c r="AC1870" t="s">
        <v>61</v>
      </c>
      <c r="AJ1870" t="s">
        <v>69</v>
      </c>
      <c r="AY1870" t="s">
        <v>80</v>
      </c>
      <c r="AZ1870">
        <v>12859</v>
      </c>
      <c r="BA1870" t="s">
        <v>81</v>
      </c>
      <c r="BB1870" t="s">
        <v>82</v>
      </c>
      <c r="BC1870">
        <v>1988</v>
      </c>
      <c r="BD1870" t="s">
        <v>73</v>
      </c>
    </row>
    <row r="1871" spans="1:56" x14ac:dyDescent="0.35">
      <c r="A1871">
        <v>497198</v>
      </c>
      <c r="B1871" t="s">
        <v>1455</v>
      </c>
      <c r="C1871" t="s">
        <v>195</v>
      </c>
      <c r="D1871" t="s">
        <v>85</v>
      </c>
      <c r="E1871" t="s">
        <v>86</v>
      </c>
      <c r="F1871" t="s">
        <v>58</v>
      </c>
      <c r="G1871" t="s">
        <v>59</v>
      </c>
      <c r="H1871" t="s">
        <v>60</v>
      </c>
      <c r="J1871" t="s">
        <v>86</v>
      </c>
      <c r="K1871" t="s">
        <v>61</v>
      </c>
      <c r="L1871" t="s">
        <v>62</v>
      </c>
      <c r="M1871" t="s">
        <v>63</v>
      </c>
      <c r="N1871" t="s">
        <v>64</v>
      </c>
      <c r="P1871" t="s">
        <v>201</v>
      </c>
      <c r="Q1871" t="s">
        <v>435</v>
      </c>
      <c r="R1871">
        <v>850</v>
      </c>
      <c r="S1871" t="s">
        <v>435</v>
      </c>
      <c r="T1871">
        <v>310</v>
      </c>
      <c r="V1871">
        <v>1220</v>
      </c>
      <c r="W1871" t="s">
        <v>66</v>
      </c>
      <c r="X1871" t="s">
        <v>67</v>
      </c>
      <c r="Y1871" t="s">
        <v>67</v>
      </c>
      <c r="Z1871" t="s">
        <v>68</v>
      </c>
      <c r="AB1871">
        <v>4</v>
      </c>
      <c r="AC1871" t="s">
        <v>61</v>
      </c>
      <c r="AJ1871" t="s">
        <v>69</v>
      </c>
      <c r="AY1871" t="s">
        <v>1456</v>
      </c>
      <c r="AZ1871">
        <v>18272</v>
      </c>
      <c r="BA1871" t="s">
        <v>1457</v>
      </c>
      <c r="BB1871" t="s">
        <v>1458</v>
      </c>
      <c r="BC1871">
        <v>1997</v>
      </c>
      <c r="BD1871" t="s">
        <v>1459</v>
      </c>
    </row>
    <row r="1872" spans="1:56" x14ac:dyDescent="0.35">
      <c r="A1872">
        <v>497370</v>
      </c>
      <c r="B1872" t="s">
        <v>1460</v>
      </c>
      <c r="D1872" t="s">
        <v>57</v>
      </c>
      <c r="E1872">
        <v>97</v>
      </c>
      <c r="F1872" t="s">
        <v>58</v>
      </c>
      <c r="G1872" t="s">
        <v>59</v>
      </c>
      <c r="H1872" t="s">
        <v>60</v>
      </c>
      <c r="J1872">
        <v>27</v>
      </c>
      <c r="K1872" t="s">
        <v>61</v>
      </c>
      <c r="L1872" t="s">
        <v>74</v>
      </c>
      <c r="M1872" t="s">
        <v>63</v>
      </c>
      <c r="N1872" t="s">
        <v>64</v>
      </c>
      <c r="P1872" t="s">
        <v>65</v>
      </c>
      <c r="R1872">
        <v>228</v>
      </c>
      <c r="W1872" t="s">
        <v>66</v>
      </c>
      <c r="X1872" t="s">
        <v>67</v>
      </c>
      <c r="Y1872" t="s">
        <v>67</v>
      </c>
      <c r="Z1872" t="s">
        <v>68</v>
      </c>
      <c r="AB1872">
        <v>4</v>
      </c>
      <c r="AC1872" t="s">
        <v>61</v>
      </c>
      <c r="AJ1872" t="s">
        <v>69</v>
      </c>
      <c r="AY1872" t="s">
        <v>80</v>
      </c>
      <c r="AZ1872">
        <v>12859</v>
      </c>
      <c r="BA1872" t="s">
        <v>81</v>
      </c>
      <c r="BB1872" t="s">
        <v>82</v>
      </c>
      <c r="BC1872">
        <v>1988</v>
      </c>
      <c r="BD1872" t="s">
        <v>73</v>
      </c>
    </row>
    <row r="1873" spans="1:56" x14ac:dyDescent="0.35">
      <c r="A1873">
        <v>498668</v>
      </c>
      <c r="B1873" t="s">
        <v>1461</v>
      </c>
      <c r="D1873" t="s">
        <v>57</v>
      </c>
      <c r="E1873">
        <v>99</v>
      </c>
      <c r="F1873" t="s">
        <v>58</v>
      </c>
      <c r="G1873" t="s">
        <v>59</v>
      </c>
      <c r="H1873" t="s">
        <v>60</v>
      </c>
      <c r="J1873">
        <v>29</v>
      </c>
      <c r="K1873" t="s">
        <v>61</v>
      </c>
      <c r="L1873" t="s">
        <v>74</v>
      </c>
      <c r="M1873" t="s">
        <v>63</v>
      </c>
      <c r="N1873" t="s">
        <v>64</v>
      </c>
      <c r="P1873" t="s">
        <v>65</v>
      </c>
      <c r="R1873">
        <v>10</v>
      </c>
      <c r="T1873">
        <v>8.6</v>
      </c>
      <c r="V1873">
        <v>11.7</v>
      </c>
      <c r="W1873" t="s">
        <v>66</v>
      </c>
      <c r="X1873" t="s">
        <v>67</v>
      </c>
      <c r="Y1873" t="s">
        <v>67</v>
      </c>
      <c r="Z1873" t="s">
        <v>68</v>
      </c>
      <c r="AB1873">
        <v>4</v>
      </c>
      <c r="AC1873" t="s">
        <v>61</v>
      </c>
      <c r="AJ1873" t="s">
        <v>69</v>
      </c>
      <c r="AY1873" t="s">
        <v>80</v>
      </c>
      <c r="AZ1873">
        <v>12859</v>
      </c>
      <c r="BA1873" t="s">
        <v>81</v>
      </c>
      <c r="BB1873" t="s">
        <v>82</v>
      </c>
      <c r="BC1873">
        <v>1988</v>
      </c>
      <c r="BD1873" t="s">
        <v>73</v>
      </c>
    </row>
    <row r="1874" spans="1:56" x14ac:dyDescent="0.35">
      <c r="A1874">
        <v>499832</v>
      </c>
      <c r="B1874" t="s">
        <v>1462</v>
      </c>
      <c r="D1874" t="s">
        <v>57</v>
      </c>
      <c r="E1874">
        <v>99</v>
      </c>
      <c r="F1874" t="s">
        <v>58</v>
      </c>
      <c r="G1874" t="s">
        <v>59</v>
      </c>
      <c r="H1874" t="s">
        <v>60</v>
      </c>
      <c r="J1874">
        <v>33</v>
      </c>
      <c r="K1874" t="s">
        <v>61</v>
      </c>
      <c r="L1874" t="s">
        <v>74</v>
      </c>
      <c r="M1874" t="s">
        <v>63</v>
      </c>
      <c r="N1874" t="s">
        <v>64</v>
      </c>
      <c r="P1874" t="s">
        <v>65</v>
      </c>
      <c r="R1874">
        <v>322</v>
      </c>
      <c r="W1874" t="s">
        <v>66</v>
      </c>
      <c r="X1874" t="s">
        <v>67</v>
      </c>
      <c r="Y1874" t="s">
        <v>67</v>
      </c>
      <c r="Z1874" t="s">
        <v>68</v>
      </c>
      <c r="AB1874">
        <v>4</v>
      </c>
      <c r="AC1874" t="s">
        <v>61</v>
      </c>
      <c r="AJ1874" t="s">
        <v>69</v>
      </c>
      <c r="AY1874" t="s">
        <v>263</v>
      </c>
      <c r="AZ1874">
        <v>12858</v>
      </c>
      <c r="BA1874" t="s">
        <v>264</v>
      </c>
      <c r="BB1874" t="s">
        <v>265</v>
      </c>
      <c r="BC1874">
        <v>1986</v>
      </c>
      <c r="BD1874" t="s">
        <v>73</v>
      </c>
    </row>
    <row r="1875" spans="1:56" x14ac:dyDescent="0.35">
      <c r="A1875">
        <v>500221</v>
      </c>
      <c r="B1875" t="s">
        <v>1463</v>
      </c>
      <c r="D1875" t="s">
        <v>57</v>
      </c>
      <c r="E1875">
        <v>99</v>
      </c>
      <c r="F1875" t="s">
        <v>58</v>
      </c>
      <c r="G1875" t="s">
        <v>59</v>
      </c>
      <c r="H1875" t="s">
        <v>60</v>
      </c>
      <c r="J1875">
        <v>32</v>
      </c>
      <c r="K1875" t="s">
        <v>61</v>
      </c>
      <c r="L1875" t="s">
        <v>74</v>
      </c>
      <c r="M1875" t="s">
        <v>63</v>
      </c>
      <c r="N1875" t="s">
        <v>64</v>
      </c>
      <c r="P1875" t="s">
        <v>65</v>
      </c>
      <c r="R1875">
        <v>16.399999999999999</v>
      </c>
      <c r="T1875">
        <v>14.6</v>
      </c>
      <c r="V1875">
        <v>18.2</v>
      </c>
      <c r="W1875" t="s">
        <v>66</v>
      </c>
      <c r="X1875" t="s">
        <v>67</v>
      </c>
      <c r="Y1875" t="s">
        <v>67</v>
      </c>
      <c r="Z1875" t="s">
        <v>68</v>
      </c>
      <c r="AB1875">
        <v>4</v>
      </c>
      <c r="AC1875" t="s">
        <v>61</v>
      </c>
      <c r="AJ1875" t="s">
        <v>69</v>
      </c>
      <c r="AY1875" t="s">
        <v>263</v>
      </c>
      <c r="AZ1875">
        <v>12858</v>
      </c>
      <c r="BA1875" t="s">
        <v>264</v>
      </c>
      <c r="BB1875" t="s">
        <v>265</v>
      </c>
      <c r="BC1875">
        <v>1986</v>
      </c>
      <c r="BD1875" t="s">
        <v>73</v>
      </c>
    </row>
    <row r="1876" spans="1:56" x14ac:dyDescent="0.35">
      <c r="A1876">
        <v>500287</v>
      </c>
      <c r="B1876" t="s">
        <v>1464</v>
      </c>
      <c r="C1876" t="s">
        <v>91</v>
      </c>
      <c r="D1876" t="s">
        <v>85</v>
      </c>
      <c r="E1876">
        <v>98</v>
      </c>
      <c r="F1876" t="s">
        <v>58</v>
      </c>
      <c r="G1876" t="s">
        <v>59</v>
      </c>
      <c r="H1876" t="s">
        <v>60</v>
      </c>
      <c r="J1876" t="s">
        <v>86</v>
      </c>
      <c r="L1876" t="s">
        <v>62</v>
      </c>
      <c r="M1876" t="s">
        <v>63</v>
      </c>
      <c r="N1876" t="s">
        <v>64</v>
      </c>
      <c r="P1876" t="s">
        <v>65</v>
      </c>
      <c r="R1876">
        <v>2.8</v>
      </c>
      <c r="W1876" t="s">
        <v>66</v>
      </c>
      <c r="X1876" t="s">
        <v>67</v>
      </c>
      <c r="Y1876" t="s">
        <v>67</v>
      </c>
      <c r="Z1876" t="s">
        <v>68</v>
      </c>
      <c r="AB1876">
        <v>4</v>
      </c>
      <c r="AC1876" t="s">
        <v>61</v>
      </c>
      <c r="AJ1876" t="s">
        <v>69</v>
      </c>
      <c r="AY1876" t="s">
        <v>157</v>
      </c>
      <c r="AZ1876">
        <v>2893</v>
      </c>
      <c r="BA1876" t="s">
        <v>158</v>
      </c>
      <c r="BB1876" t="s">
        <v>159</v>
      </c>
      <c r="BC1876">
        <v>1962</v>
      </c>
      <c r="BD1876" t="s">
        <v>90</v>
      </c>
    </row>
    <row r="1877" spans="1:56" x14ac:dyDescent="0.35">
      <c r="A1877">
        <v>502567</v>
      </c>
      <c r="B1877" t="s">
        <v>1465</v>
      </c>
      <c r="D1877" t="s">
        <v>57</v>
      </c>
      <c r="E1877">
        <v>98</v>
      </c>
      <c r="F1877" t="s">
        <v>58</v>
      </c>
      <c r="G1877" t="s">
        <v>59</v>
      </c>
      <c r="H1877" t="s">
        <v>60</v>
      </c>
      <c r="J1877">
        <v>30</v>
      </c>
      <c r="K1877" t="s">
        <v>61</v>
      </c>
      <c r="L1877" t="s">
        <v>74</v>
      </c>
      <c r="M1877" t="s">
        <v>63</v>
      </c>
      <c r="N1877" t="s">
        <v>64</v>
      </c>
      <c r="P1877" t="s">
        <v>65</v>
      </c>
      <c r="R1877">
        <v>31</v>
      </c>
      <c r="T1877">
        <v>29.4</v>
      </c>
      <c r="V1877">
        <v>32.598999999999997</v>
      </c>
      <c r="W1877" t="s">
        <v>66</v>
      </c>
      <c r="X1877" t="s">
        <v>67</v>
      </c>
      <c r="Y1877" t="s">
        <v>67</v>
      </c>
      <c r="Z1877" t="s">
        <v>68</v>
      </c>
      <c r="AB1877">
        <v>4</v>
      </c>
      <c r="AC1877" t="s">
        <v>61</v>
      </c>
      <c r="AJ1877" t="s">
        <v>69</v>
      </c>
      <c r="AY1877" t="s">
        <v>286</v>
      </c>
      <c r="AZ1877">
        <v>12448</v>
      </c>
      <c r="BA1877" t="s">
        <v>287</v>
      </c>
      <c r="BB1877" t="s">
        <v>288</v>
      </c>
      <c r="BC1877">
        <v>1984</v>
      </c>
      <c r="BD1877" t="s">
        <v>73</v>
      </c>
    </row>
    <row r="1878" spans="1:56" x14ac:dyDescent="0.35">
      <c r="A1878">
        <v>506967</v>
      </c>
      <c r="B1878" t="s">
        <v>1466</v>
      </c>
      <c r="D1878" t="s">
        <v>57</v>
      </c>
      <c r="E1878" t="s">
        <v>86</v>
      </c>
      <c r="F1878" t="s">
        <v>58</v>
      </c>
      <c r="G1878" t="s">
        <v>59</v>
      </c>
      <c r="H1878" t="s">
        <v>60</v>
      </c>
      <c r="J1878" t="s">
        <v>86</v>
      </c>
      <c r="L1878" t="s">
        <v>62</v>
      </c>
      <c r="M1878" t="s">
        <v>63</v>
      </c>
      <c r="N1878" t="s">
        <v>64</v>
      </c>
      <c r="O1878" t="s">
        <v>267</v>
      </c>
      <c r="P1878" t="s">
        <v>65</v>
      </c>
      <c r="R1878">
        <v>40.6</v>
      </c>
      <c r="T1878">
        <v>31.4</v>
      </c>
      <c r="V1878">
        <v>54.2</v>
      </c>
      <c r="W1878" t="s">
        <v>66</v>
      </c>
      <c r="X1878" t="s">
        <v>67</v>
      </c>
      <c r="Y1878" t="s">
        <v>67</v>
      </c>
      <c r="Z1878" t="s">
        <v>68</v>
      </c>
      <c r="AB1878">
        <v>4</v>
      </c>
      <c r="AC1878" t="s">
        <v>61</v>
      </c>
      <c r="AJ1878" t="s">
        <v>69</v>
      </c>
      <c r="AY1878" t="s">
        <v>268</v>
      </c>
      <c r="AZ1878">
        <v>2965</v>
      </c>
      <c r="BA1878" t="s">
        <v>269</v>
      </c>
      <c r="BB1878" t="s">
        <v>270</v>
      </c>
      <c r="BC1878">
        <v>1981</v>
      </c>
      <c r="BD1878" t="s">
        <v>90</v>
      </c>
    </row>
    <row r="1879" spans="1:56" x14ac:dyDescent="0.35">
      <c r="A1879">
        <v>512561</v>
      </c>
      <c r="B1879" t="s">
        <v>1467</v>
      </c>
      <c r="D1879" t="s">
        <v>57</v>
      </c>
      <c r="E1879">
        <v>97</v>
      </c>
      <c r="F1879" t="s">
        <v>58</v>
      </c>
      <c r="G1879" t="s">
        <v>59</v>
      </c>
      <c r="H1879" t="s">
        <v>60</v>
      </c>
      <c r="J1879">
        <v>31</v>
      </c>
      <c r="K1879" t="s">
        <v>61</v>
      </c>
      <c r="L1879" t="s">
        <v>74</v>
      </c>
      <c r="M1879" t="s">
        <v>63</v>
      </c>
      <c r="N1879" t="s">
        <v>64</v>
      </c>
      <c r="P1879" t="s">
        <v>65</v>
      </c>
      <c r="R1879">
        <v>7010</v>
      </c>
      <c r="T1879">
        <v>6480</v>
      </c>
      <c r="V1879">
        <v>7580</v>
      </c>
      <c r="W1879" t="s">
        <v>66</v>
      </c>
      <c r="X1879" t="s">
        <v>67</v>
      </c>
      <c r="Y1879" t="s">
        <v>67</v>
      </c>
      <c r="Z1879" t="s">
        <v>68</v>
      </c>
      <c r="AB1879">
        <v>4</v>
      </c>
      <c r="AC1879" t="s">
        <v>61</v>
      </c>
      <c r="AJ1879" t="s">
        <v>69</v>
      </c>
      <c r="AY1879" t="s">
        <v>75</v>
      </c>
      <c r="AZ1879">
        <v>3217</v>
      </c>
      <c r="BA1879" t="s">
        <v>76</v>
      </c>
      <c r="BB1879" t="s">
        <v>77</v>
      </c>
      <c r="BC1879">
        <v>1990</v>
      </c>
      <c r="BD1879" t="s">
        <v>73</v>
      </c>
    </row>
    <row r="1880" spans="1:56" x14ac:dyDescent="0.35">
      <c r="A1880">
        <v>513780</v>
      </c>
      <c r="B1880" t="s">
        <v>1468</v>
      </c>
      <c r="C1880" t="s">
        <v>195</v>
      </c>
      <c r="D1880" t="s">
        <v>57</v>
      </c>
      <c r="E1880" t="s">
        <v>86</v>
      </c>
      <c r="F1880" t="s">
        <v>58</v>
      </c>
      <c r="G1880" t="s">
        <v>59</v>
      </c>
      <c r="H1880" t="s">
        <v>60</v>
      </c>
      <c r="I1880" t="s">
        <v>1469</v>
      </c>
      <c r="J1880" t="s">
        <v>289</v>
      </c>
      <c r="K1880" t="s">
        <v>184</v>
      </c>
      <c r="L1880" t="s">
        <v>62</v>
      </c>
      <c r="M1880" t="s">
        <v>63</v>
      </c>
      <c r="N1880" t="s">
        <v>64</v>
      </c>
      <c r="O1880" t="s">
        <v>1470</v>
      </c>
      <c r="P1880" t="s">
        <v>201</v>
      </c>
      <c r="R1880">
        <v>2658</v>
      </c>
      <c r="W1880" t="s">
        <v>66</v>
      </c>
      <c r="X1880" t="s">
        <v>67</v>
      </c>
      <c r="Y1880" t="s">
        <v>67</v>
      </c>
      <c r="Z1880" t="s">
        <v>68</v>
      </c>
      <c r="AB1880">
        <v>4</v>
      </c>
      <c r="AC1880" t="s">
        <v>61</v>
      </c>
      <c r="AJ1880" t="s">
        <v>69</v>
      </c>
      <c r="AY1880" t="s">
        <v>1471</v>
      </c>
      <c r="AZ1880">
        <v>76100</v>
      </c>
      <c r="BA1880" t="s">
        <v>1472</v>
      </c>
      <c r="BB1880" t="s">
        <v>1473</v>
      </c>
      <c r="BC1880">
        <v>1998</v>
      </c>
      <c r="BD1880" t="s">
        <v>185</v>
      </c>
    </row>
    <row r="1881" spans="1:56" x14ac:dyDescent="0.35">
      <c r="A1881">
        <v>513780</v>
      </c>
      <c r="B1881" t="s">
        <v>1468</v>
      </c>
      <c r="D1881" t="s">
        <v>85</v>
      </c>
      <c r="E1881" t="s">
        <v>86</v>
      </c>
      <c r="F1881" t="s">
        <v>58</v>
      </c>
      <c r="G1881" t="s">
        <v>59</v>
      </c>
      <c r="H1881" t="s">
        <v>60</v>
      </c>
      <c r="I1881" t="s">
        <v>1469</v>
      </c>
      <c r="J1881" t="s">
        <v>289</v>
      </c>
      <c r="K1881" t="s">
        <v>184</v>
      </c>
      <c r="L1881" t="s">
        <v>62</v>
      </c>
      <c r="M1881" t="s">
        <v>63</v>
      </c>
      <c r="N1881" t="s">
        <v>64</v>
      </c>
      <c r="P1881" t="s">
        <v>201</v>
      </c>
      <c r="R1881">
        <v>2658</v>
      </c>
      <c r="W1881" t="s">
        <v>66</v>
      </c>
      <c r="X1881" t="s">
        <v>67</v>
      </c>
      <c r="Y1881" t="s">
        <v>67</v>
      </c>
      <c r="Z1881" t="s">
        <v>68</v>
      </c>
      <c r="AB1881">
        <v>4</v>
      </c>
      <c r="AC1881" t="s">
        <v>61</v>
      </c>
      <c r="AJ1881" t="s">
        <v>69</v>
      </c>
      <c r="AY1881" t="s">
        <v>1474</v>
      </c>
      <c r="AZ1881">
        <v>9180</v>
      </c>
      <c r="BA1881" t="s">
        <v>1475</v>
      </c>
      <c r="BB1881" t="s">
        <v>1476</v>
      </c>
      <c r="BC1881">
        <v>1992</v>
      </c>
      <c r="BD1881" t="s">
        <v>185</v>
      </c>
    </row>
    <row r="1882" spans="1:56" x14ac:dyDescent="0.35">
      <c r="A1882">
        <v>513815</v>
      </c>
      <c r="B1882" t="s">
        <v>1477</v>
      </c>
      <c r="D1882" t="s">
        <v>57</v>
      </c>
      <c r="E1882">
        <v>98</v>
      </c>
      <c r="F1882" t="s">
        <v>58</v>
      </c>
      <c r="G1882" t="s">
        <v>59</v>
      </c>
      <c r="H1882" t="s">
        <v>60</v>
      </c>
      <c r="J1882">
        <v>29</v>
      </c>
      <c r="K1882" t="s">
        <v>61</v>
      </c>
      <c r="L1882" t="s">
        <v>74</v>
      </c>
      <c r="M1882" t="s">
        <v>63</v>
      </c>
      <c r="N1882" t="s">
        <v>64</v>
      </c>
      <c r="P1882" t="s">
        <v>65</v>
      </c>
      <c r="R1882">
        <v>6.91</v>
      </c>
      <c r="W1882" t="s">
        <v>66</v>
      </c>
      <c r="X1882" t="s">
        <v>67</v>
      </c>
      <c r="Y1882" t="s">
        <v>67</v>
      </c>
      <c r="Z1882" t="s">
        <v>68</v>
      </c>
      <c r="AB1882">
        <v>4</v>
      </c>
      <c r="AC1882" t="s">
        <v>61</v>
      </c>
      <c r="AJ1882" t="s">
        <v>69</v>
      </c>
      <c r="AY1882" t="s">
        <v>263</v>
      </c>
      <c r="AZ1882">
        <v>12858</v>
      </c>
      <c r="BA1882" t="s">
        <v>264</v>
      </c>
      <c r="BB1882" t="s">
        <v>265</v>
      </c>
      <c r="BC1882">
        <v>1986</v>
      </c>
      <c r="BD1882" t="s">
        <v>73</v>
      </c>
    </row>
    <row r="1883" spans="1:56" x14ac:dyDescent="0.35">
      <c r="A1883">
        <v>514103</v>
      </c>
      <c r="B1883" t="s">
        <v>1478</v>
      </c>
      <c r="D1883" t="s">
        <v>57</v>
      </c>
      <c r="E1883" t="s">
        <v>79</v>
      </c>
      <c r="F1883" t="s">
        <v>58</v>
      </c>
      <c r="G1883" t="s">
        <v>59</v>
      </c>
      <c r="H1883" t="s">
        <v>60</v>
      </c>
      <c r="J1883">
        <v>32</v>
      </c>
      <c r="K1883" t="s">
        <v>61</v>
      </c>
      <c r="L1883" t="s">
        <v>74</v>
      </c>
      <c r="M1883" t="s">
        <v>63</v>
      </c>
      <c r="N1883" t="s">
        <v>64</v>
      </c>
      <c r="P1883" t="s">
        <v>65</v>
      </c>
      <c r="R1883">
        <v>2.38</v>
      </c>
      <c r="T1883">
        <v>2.23</v>
      </c>
      <c r="V1883">
        <v>2.54</v>
      </c>
      <c r="W1883" t="s">
        <v>66</v>
      </c>
      <c r="X1883" t="s">
        <v>67</v>
      </c>
      <c r="Y1883" t="s">
        <v>67</v>
      </c>
      <c r="Z1883" t="s">
        <v>68</v>
      </c>
      <c r="AB1883">
        <v>4</v>
      </c>
      <c r="AC1883" t="s">
        <v>61</v>
      </c>
      <c r="AJ1883" t="s">
        <v>69</v>
      </c>
      <c r="AY1883" t="s">
        <v>141</v>
      </c>
      <c r="AZ1883">
        <v>12447</v>
      </c>
      <c r="BA1883" t="s">
        <v>142</v>
      </c>
      <c r="BB1883" t="s">
        <v>143</v>
      </c>
      <c r="BC1883">
        <v>1985</v>
      </c>
      <c r="BD1883" t="s">
        <v>73</v>
      </c>
    </row>
    <row r="1884" spans="1:56" x14ac:dyDescent="0.35">
      <c r="A1884">
        <v>525826</v>
      </c>
      <c r="B1884" t="s">
        <v>1479</v>
      </c>
      <c r="D1884" t="s">
        <v>57</v>
      </c>
      <c r="E1884">
        <v>97</v>
      </c>
      <c r="F1884" t="s">
        <v>58</v>
      </c>
      <c r="G1884" t="s">
        <v>59</v>
      </c>
      <c r="H1884" t="s">
        <v>60</v>
      </c>
      <c r="J1884">
        <v>29</v>
      </c>
      <c r="K1884" t="s">
        <v>61</v>
      </c>
      <c r="L1884" t="s">
        <v>74</v>
      </c>
      <c r="M1884" t="s">
        <v>63</v>
      </c>
      <c r="N1884" t="s">
        <v>64</v>
      </c>
      <c r="P1884" t="s">
        <v>65</v>
      </c>
      <c r="R1884">
        <v>3.5</v>
      </c>
      <c r="T1884">
        <v>3.3</v>
      </c>
      <c r="V1884">
        <v>3.71</v>
      </c>
      <c r="W1884" t="s">
        <v>66</v>
      </c>
      <c r="X1884" t="s">
        <v>67</v>
      </c>
      <c r="Y1884" t="s">
        <v>67</v>
      </c>
      <c r="Z1884" t="s">
        <v>68</v>
      </c>
      <c r="AB1884">
        <v>4</v>
      </c>
      <c r="AC1884" t="s">
        <v>61</v>
      </c>
      <c r="AJ1884" t="s">
        <v>69</v>
      </c>
      <c r="AY1884" t="s">
        <v>80</v>
      </c>
      <c r="AZ1884">
        <v>12859</v>
      </c>
      <c r="BA1884" t="s">
        <v>81</v>
      </c>
      <c r="BB1884" t="s">
        <v>82</v>
      </c>
      <c r="BC1884">
        <v>1988</v>
      </c>
      <c r="BD1884" t="s">
        <v>73</v>
      </c>
    </row>
    <row r="1885" spans="1:56" x14ac:dyDescent="0.35">
      <c r="A1885">
        <v>527606</v>
      </c>
      <c r="B1885" t="s">
        <v>1480</v>
      </c>
      <c r="D1885" t="s">
        <v>57</v>
      </c>
      <c r="E1885">
        <v>99</v>
      </c>
      <c r="F1885" t="s">
        <v>58</v>
      </c>
      <c r="G1885" t="s">
        <v>59</v>
      </c>
      <c r="H1885" t="s">
        <v>60</v>
      </c>
      <c r="J1885">
        <v>29</v>
      </c>
      <c r="K1885" t="s">
        <v>61</v>
      </c>
      <c r="L1885" t="s">
        <v>74</v>
      </c>
      <c r="M1885" t="s">
        <v>63</v>
      </c>
      <c r="N1885" t="s">
        <v>64</v>
      </c>
      <c r="P1885" t="s">
        <v>65</v>
      </c>
      <c r="R1885">
        <v>13</v>
      </c>
      <c r="T1885">
        <v>12</v>
      </c>
      <c r="V1885">
        <v>14.1</v>
      </c>
      <c r="W1885" t="s">
        <v>66</v>
      </c>
      <c r="X1885" t="s">
        <v>67</v>
      </c>
      <c r="Y1885" t="s">
        <v>67</v>
      </c>
      <c r="Z1885" t="s">
        <v>68</v>
      </c>
      <c r="AB1885">
        <v>4</v>
      </c>
      <c r="AC1885" t="s">
        <v>61</v>
      </c>
      <c r="AJ1885" t="s">
        <v>69</v>
      </c>
      <c r="AY1885" t="s">
        <v>75</v>
      </c>
      <c r="AZ1885">
        <v>3217</v>
      </c>
      <c r="BA1885" t="s">
        <v>76</v>
      </c>
      <c r="BB1885" t="s">
        <v>77</v>
      </c>
      <c r="BC1885">
        <v>1990</v>
      </c>
      <c r="BD1885" t="s">
        <v>73</v>
      </c>
    </row>
    <row r="1886" spans="1:56" x14ac:dyDescent="0.35">
      <c r="A1886">
        <v>528290</v>
      </c>
      <c r="B1886" t="s">
        <v>1481</v>
      </c>
      <c r="D1886" t="s">
        <v>85</v>
      </c>
      <c r="E1886" t="s">
        <v>86</v>
      </c>
      <c r="F1886" t="s">
        <v>58</v>
      </c>
      <c r="G1886" t="s">
        <v>59</v>
      </c>
      <c r="H1886" t="s">
        <v>60</v>
      </c>
      <c r="I1886" t="s">
        <v>129</v>
      </c>
      <c r="J1886" t="s">
        <v>86</v>
      </c>
      <c r="L1886" t="s">
        <v>62</v>
      </c>
      <c r="M1886" t="s">
        <v>63</v>
      </c>
      <c r="N1886" t="s">
        <v>64</v>
      </c>
      <c r="P1886" t="s">
        <v>65</v>
      </c>
      <c r="R1886">
        <v>0.6</v>
      </c>
      <c r="T1886">
        <v>0.3</v>
      </c>
      <c r="V1886">
        <v>1.1000000000000001</v>
      </c>
      <c r="W1886" t="s">
        <v>66</v>
      </c>
      <c r="X1886" t="s">
        <v>67</v>
      </c>
      <c r="Y1886" t="s">
        <v>67</v>
      </c>
      <c r="Z1886" t="s">
        <v>68</v>
      </c>
      <c r="AB1886">
        <v>4</v>
      </c>
      <c r="AC1886" t="s">
        <v>61</v>
      </c>
      <c r="AJ1886" t="s">
        <v>69</v>
      </c>
      <c r="AY1886" t="s">
        <v>718</v>
      </c>
      <c r="AZ1886">
        <v>10141</v>
      </c>
      <c r="BA1886" t="s">
        <v>719</v>
      </c>
      <c r="BB1886" t="s">
        <v>720</v>
      </c>
      <c r="BC1886">
        <v>1983</v>
      </c>
      <c r="BD1886" t="s">
        <v>721</v>
      </c>
    </row>
    <row r="1887" spans="1:56" x14ac:dyDescent="0.35">
      <c r="A1887">
        <v>529191</v>
      </c>
      <c r="B1887" t="s">
        <v>1482</v>
      </c>
      <c r="D1887" t="s">
        <v>57</v>
      </c>
      <c r="E1887">
        <v>98</v>
      </c>
      <c r="F1887" t="s">
        <v>58</v>
      </c>
      <c r="G1887" t="s">
        <v>59</v>
      </c>
      <c r="H1887" t="s">
        <v>60</v>
      </c>
      <c r="J1887" t="s">
        <v>86</v>
      </c>
      <c r="K1887" t="s">
        <v>61</v>
      </c>
      <c r="L1887" t="s">
        <v>74</v>
      </c>
      <c r="M1887" t="s">
        <v>63</v>
      </c>
      <c r="N1887" t="s">
        <v>64</v>
      </c>
      <c r="O1887">
        <v>6</v>
      </c>
      <c r="P1887" t="s">
        <v>65</v>
      </c>
      <c r="R1887">
        <v>44.7</v>
      </c>
      <c r="W1887" t="s">
        <v>66</v>
      </c>
      <c r="X1887" t="s">
        <v>67</v>
      </c>
      <c r="Y1887" t="s">
        <v>67</v>
      </c>
      <c r="Z1887" t="s">
        <v>68</v>
      </c>
      <c r="AB1887">
        <v>4</v>
      </c>
      <c r="AC1887" t="s">
        <v>61</v>
      </c>
      <c r="AJ1887" t="s">
        <v>69</v>
      </c>
      <c r="AY1887" t="s">
        <v>286</v>
      </c>
      <c r="AZ1887">
        <v>12448</v>
      </c>
      <c r="BA1887" t="s">
        <v>287</v>
      </c>
      <c r="BB1887" t="s">
        <v>288</v>
      </c>
      <c r="BC1887">
        <v>1984</v>
      </c>
      <c r="BD1887" t="s">
        <v>1035</v>
      </c>
    </row>
    <row r="1888" spans="1:56" x14ac:dyDescent="0.35">
      <c r="A1888">
        <v>529204</v>
      </c>
      <c r="B1888" t="s">
        <v>1483</v>
      </c>
      <c r="D1888" t="s">
        <v>57</v>
      </c>
      <c r="E1888">
        <v>99</v>
      </c>
      <c r="F1888" t="s">
        <v>58</v>
      </c>
      <c r="G1888" t="s">
        <v>59</v>
      </c>
      <c r="H1888" t="s">
        <v>60</v>
      </c>
      <c r="J1888" t="s">
        <v>86</v>
      </c>
      <c r="K1888" t="s">
        <v>61</v>
      </c>
      <c r="L1888" t="s">
        <v>74</v>
      </c>
      <c r="M1888" t="s">
        <v>63</v>
      </c>
      <c r="N1888" t="s">
        <v>64</v>
      </c>
      <c r="O1888">
        <v>6</v>
      </c>
      <c r="P1888" t="s">
        <v>65</v>
      </c>
      <c r="R1888">
        <v>52.8</v>
      </c>
      <c r="T1888">
        <v>48.7</v>
      </c>
      <c r="V1888">
        <v>57.4</v>
      </c>
      <c r="W1888" t="s">
        <v>66</v>
      </c>
      <c r="X1888" t="s">
        <v>67</v>
      </c>
      <c r="Y1888" t="s">
        <v>67</v>
      </c>
      <c r="Z1888" t="s">
        <v>68</v>
      </c>
      <c r="AB1888">
        <v>4</v>
      </c>
      <c r="AC1888" t="s">
        <v>61</v>
      </c>
      <c r="AJ1888" t="s">
        <v>69</v>
      </c>
      <c r="AY1888" t="s">
        <v>286</v>
      </c>
      <c r="AZ1888">
        <v>12448</v>
      </c>
      <c r="BA1888" t="s">
        <v>287</v>
      </c>
      <c r="BB1888" t="s">
        <v>288</v>
      </c>
      <c r="BC1888">
        <v>1984</v>
      </c>
      <c r="BD1888" t="s">
        <v>363</v>
      </c>
    </row>
    <row r="1889" spans="1:56" x14ac:dyDescent="0.35">
      <c r="A1889">
        <v>532321</v>
      </c>
      <c r="B1889" t="s">
        <v>1484</v>
      </c>
      <c r="D1889" t="s">
        <v>57</v>
      </c>
      <c r="E1889" t="s">
        <v>79</v>
      </c>
      <c r="F1889" t="s">
        <v>58</v>
      </c>
      <c r="G1889" t="s">
        <v>59</v>
      </c>
      <c r="H1889" t="s">
        <v>60</v>
      </c>
      <c r="J1889">
        <v>33</v>
      </c>
      <c r="K1889" t="s">
        <v>61</v>
      </c>
      <c r="L1889" t="s">
        <v>74</v>
      </c>
      <c r="M1889" t="s">
        <v>63</v>
      </c>
      <c r="N1889" t="s">
        <v>64</v>
      </c>
      <c r="P1889" t="s">
        <v>65</v>
      </c>
      <c r="R1889">
        <v>484</v>
      </c>
      <c r="T1889">
        <v>420</v>
      </c>
      <c r="V1889">
        <v>558</v>
      </c>
      <c r="W1889" t="s">
        <v>66</v>
      </c>
      <c r="X1889" t="s">
        <v>67</v>
      </c>
      <c r="Y1889" t="s">
        <v>67</v>
      </c>
      <c r="Z1889" t="s">
        <v>68</v>
      </c>
      <c r="AB1889">
        <v>4</v>
      </c>
      <c r="AC1889" t="s">
        <v>61</v>
      </c>
      <c r="AJ1889" t="s">
        <v>69</v>
      </c>
      <c r="AY1889" t="s">
        <v>141</v>
      </c>
      <c r="AZ1889">
        <v>12447</v>
      </c>
      <c r="BA1889" t="s">
        <v>142</v>
      </c>
      <c r="BB1889" t="s">
        <v>143</v>
      </c>
      <c r="BC1889">
        <v>1985</v>
      </c>
      <c r="BD1889" t="s">
        <v>73</v>
      </c>
    </row>
    <row r="1890" spans="1:56" x14ac:dyDescent="0.35">
      <c r="A1890">
        <v>532321</v>
      </c>
      <c r="B1890" t="s">
        <v>1484</v>
      </c>
      <c r="C1890" t="s">
        <v>195</v>
      </c>
      <c r="D1890" t="s">
        <v>85</v>
      </c>
      <c r="E1890" t="s">
        <v>86</v>
      </c>
      <c r="F1890" t="s">
        <v>58</v>
      </c>
      <c r="G1890" t="s">
        <v>59</v>
      </c>
      <c r="H1890" t="s">
        <v>60</v>
      </c>
      <c r="I1890" t="s">
        <v>129</v>
      </c>
      <c r="J1890" t="s">
        <v>86</v>
      </c>
      <c r="L1890" t="s">
        <v>62</v>
      </c>
      <c r="M1890" t="s">
        <v>63</v>
      </c>
      <c r="N1890" t="s">
        <v>64</v>
      </c>
      <c r="O1890">
        <v>5</v>
      </c>
      <c r="P1890" t="s">
        <v>65</v>
      </c>
      <c r="Q1890" t="s">
        <v>153</v>
      </c>
      <c r="R1890">
        <v>100</v>
      </c>
      <c r="W1890" t="s">
        <v>66</v>
      </c>
      <c r="X1890" t="s">
        <v>67</v>
      </c>
      <c r="Y1890" t="s">
        <v>67</v>
      </c>
      <c r="Z1890" t="s">
        <v>68</v>
      </c>
      <c r="AB1890">
        <v>4</v>
      </c>
      <c r="AC1890" t="s">
        <v>61</v>
      </c>
      <c r="AJ1890" t="s">
        <v>69</v>
      </c>
      <c r="AY1890" t="s">
        <v>298</v>
      </c>
      <c r="AZ1890">
        <v>11951</v>
      </c>
      <c r="BA1890" t="s">
        <v>299</v>
      </c>
      <c r="BB1890" t="s">
        <v>300</v>
      </c>
      <c r="BC1890">
        <v>1986</v>
      </c>
      <c r="BD1890" t="s">
        <v>90</v>
      </c>
    </row>
    <row r="1891" spans="1:56" x14ac:dyDescent="0.35">
      <c r="A1891">
        <v>534521</v>
      </c>
      <c r="B1891" t="s">
        <v>1485</v>
      </c>
      <c r="D1891" t="s">
        <v>57</v>
      </c>
      <c r="E1891" t="s">
        <v>86</v>
      </c>
      <c r="F1891" t="s">
        <v>58</v>
      </c>
      <c r="G1891" t="s">
        <v>59</v>
      </c>
      <c r="H1891" t="s">
        <v>60</v>
      </c>
      <c r="J1891" t="s">
        <v>86</v>
      </c>
      <c r="K1891" t="s">
        <v>61</v>
      </c>
      <c r="L1891" t="s">
        <v>74</v>
      </c>
      <c r="M1891" t="s">
        <v>63</v>
      </c>
      <c r="N1891" t="s">
        <v>64</v>
      </c>
      <c r="P1891" t="s">
        <v>65</v>
      </c>
      <c r="R1891">
        <v>2.2000000000000002</v>
      </c>
      <c r="T1891">
        <v>1.9</v>
      </c>
      <c r="V1891">
        <v>2.4</v>
      </c>
      <c r="W1891" t="s">
        <v>66</v>
      </c>
      <c r="X1891" t="s">
        <v>67</v>
      </c>
      <c r="Y1891" t="s">
        <v>67</v>
      </c>
      <c r="Z1891" t="s">
        <v>68</v>
      </c>
      <c r="AB1891">
        <v>4</v>
      </c>
      <c r="AC1891" t="s">
        <v>61</v>
      </c>
      <c r="AJ1891" t="s">
        <v>69</v>
      </c>
      <c r="AY1891" t="s">
        <v>124</v>
      </c>
      <c r="AZ1891">
        <v>2189</v>
      </c>
      <c r="BA1891" t="s">
        <v>125</v>
      </c>
      <c r="BB1891" t="s">
        <v>126</v>
      </c>
      <c r="BC1891">
        <v>1981</v>
      </c>
      <c r="BD1891" t="s">
        <v>127</v>
      </c>
    </row>
    <row r="1892" spans="1:56" x14ac:dyDescent="0.35">
      <c r="A1892">
        <v>534521</v>
      </c>
      <c r="B1892" t="s">
        <v>1485</v>
      </c>
      <c r="D1892" t="s">
        <v>57</v>
      </c>
      <c r="E1892" t="s">
        <v>86</v>
      </c>
      <c r="F1892" t="s">
        <v>58</v>
      </c>
      <c r="G1892" t="s">
        <v>59</v>
      </c>
      <c r="H1892" t="s">
        <v>60</v>
      </c>
      <c r="J1892">
        <v>29</v>
      </c>
      <c r="K1892" t="s">
        <v>61</v>
      </c>
      <c r="L1892" t="s">
        <v>74</v>
      </c>
      <c r="M1892" t="s">
        <v>63</v>
      </c>
      <c r="N1892" t="s">
        <v>64</v>
      </c>
      <c r="P1892" t="s">
        <v>65</v>
      </c>
      <c r="R1892">
        <v>1.54</v>
      </c>
      <c r="T1892">
        <v>1.4</v>
      </c>
      <c r="V1892">
        <v>1.7</v>
      </c>
      <c r="W1892" t="s">
        <v>66</v>
      </c>
      <c r="X1892" t="s">
        <v>67</v>
      </c>
      <c r="Y1892" t="s">
        <v>67</v>
      </c>
      <c r="Z1892" t="s">
        <v>68</v>
      </c>
      <c r="AB1892">
        <v>4</v>
      </c>
      <c r="AC1892" t="s">
        <v>61</v>
      </c>
      <c r="AJ1892" t="s">
        <v>69</v>
      </c>
      <c r="AY1892" t="s">
        <v>141</v>
      </c>
      <c r="AZ1892">
        <v>12447</v>
      </c>
      <c r="BA1892" t="s">
        <v>142</v>
      </c>
      <c r="BB1892" t="s">
        <v>143</v>
      </c>
      <c r="BC1892">
        <v>1985</v>
      </c>
      <c r="BD1892" t="s">
        <v>73</v>
      </c>
    </row>
    <row r="1893" spans="1:56" x14ac:dyDescent="0.35">
      <c r="A1893">
        <v>534521</v>
      </c>
      <c r="B1893" t="s">
        <v>1485</v>
      </c>
      <c r="D1893" t="s">
        <v>57</v>
      </c>
      <c r="E1893" t="s">
        <v>86</v>
      </c>
      <c r="F1893" t="s">
        <v>58</v>
      </c>
      <c r="G1893" t="s">
        <v>59</v>
      </c>
      <c r="H1893" t="s">
        <v>60</v>
      </c>
      <c r="J1893" t="s">
        <v>86</v>
      </c>
      <c r="K1893" t="s">
        <v>61</v>
      </c>
      <c r="L1893" t="s">
        <v>74</v>
      </c>
      <c r="M1893" t="s">
        <v>63</v>
      </c>
      <c r="N1893" t="s">
        <v>64</v>
      </c>
      <c r="O1893">
        <v>6</v>
      </c>
      <c r="P1893" t="s">
        <v>65</v>
      </c>
      <c r="R1893">
        <v>1.54</v>
      </c>
      <c r="T1893">
        <v>1.4</v>
      </c>
      <c r="V1893">
        <v>1.7</v>
      </c>
      <c r="W1893" t="s">
        <v>66</v>
      </c>
      <c r="X1893" t="s">
        <v>67</v>
      </c>
      <c r="Y1893" t="s">
        <v>67</v>
      </c>
      <c r="Z1893" t="s">
        <v>68</v>
      </c>
      <c r="AB1893">
        <v>4</v>
      </c>
      <c r="AC1893" t="s">
        <v>61</v>
      </c>
      <c r="AJ1893" t="s">
        <v>69</v>
      </c>
      <c r="AY1893" t="s">
        <v>120</v>
      </c>
      <c r="AZ1893">
        <v>14097</v>
      </c>
      <c r="BA1893" t="s">
        <v>121</v>
      </c>
      <c r="BB1893" t="s">
        <v>122</v>
      </c>
      <c r="BC1893">
        <v>1989</v>
      </c>
      <c r="BD1893" t="s">
        <v>123</v>
      </c>
    </row>
    <row r="1894" spans="1:56" x14ac:dyDescent="0.35">
      <c r="A1894">
        <v>534521</v>
      </c>
      <c r="B1894" t="s">
        <v>1485</v>
      </c>
      <c r="D1894" t="s">
        <v>57</v>
      </c>
      <c r="E1894" t="s">
        <v>86</v>
      </c>
      <c r="F1894" t="s">
        <v>58</v>
      </c>
      <c r="G1894" t="s">
        <v>59</v>
      </c>
      <c r="H1894" t="s">
        <v>60</v>
      </c>
      <c r="J1894" t="s">
        <v>86</v>
      </c>
      <c r="K1894" t="s">
        <v>61</v>
      </c>
      <c r="L1894" t="s">
        <v>74</v>
      </c>
      <c r="M1894" t="s">
        <v>63</v>
      </c>
      <c r="N1894" t="s">
        <v>64</v>
      </c>
      <c r="P1894" t="s">
        <v>65</v>
      </c>
      <c r="R1894">
        <v>1.9</v>
      </c>
      <c r="T1894">
        <v>1.7</v>
      </c>
      <c r="V1894">
        <v>2.1</v>
      </c>
      <c r="W1894" t="s">
        <v>66</v>
      </c>
      <c r="X1894" t="s">
        <v>67</v>
      </c>
      <c r="Y1894" t="s">
        <v>67</v>
      </c>
      <c r="Z1894" t="s">
        <v>68</v>
      </c>
      <c r="AB1894">
        <v>4</v>
      </c>
      <c r="AC1894" t="s">
        <v>61</v>
      </c>
      <c r="AJ1894" t="s">
        <v>69</v>
      </c>
      <c r="AY1894" t="s">
        <v>124</v>
      </c>
      <c r="AZ1894">
        <v>2189</v>
      </c>
      <c r="BA1894" t="s">
        <v>125</v>
      </c>
      <c r="BB1894" t="s">
        <v>126</v>
      </c>
      <c r="BC1894">
        <v>1981</v>
      </c>
      <c r="BD1894" t="s">
        <v>127</v>
      </c>
    </row>
    <row r="1895" spans="1:56" x14ac:dyDescent="0.35">
      <c r="A1895">
        <v>534521</v>
      </c>
      <c r="B1895" t="s">
        <v>1485</v>
      </c>
      <c r="D1895" t="s">
        <v>57</v>
      </c>
      <c r="E1895" t="s">
        <v>86</v>
      </c>
      <c r="F1895" t="s">
        <v>58</v>
      </c>
      <c r="G1895" t="s">
        <v>59</v>
      </c>
      <c r="H1895" t="s">
        <v>60</v>
      </c>
      <c r="J1895">
        <v>31</v>
      </c>
      <c r="K1895" t="s">
        <v>61</v>
      </c>
      <c r="L1895" t="s">
        <v>74</v>
      </c>
      <c r="M1895" t="s">
        <v>63</v>
      </c>
      <c r="N1895" t="s">
        <v>64</v>
      </c>
      <c r="P1895" t="s">
        <v>65</v>
      </c>
      <c r="R1895">
        <v>1.95</v>
      </c>
      <c r="T1895">
        <v>1.81</v>
      </c>
      <c r="V1895">
        <v>2.09</v>
      </c>
      <c r="W1895" t="s">
        <v>66</v>
      </c>
      <c r="X1895" t="s">
        <v>67</v>
      </c>
      <c r="Y1895" t="s">
        <v>67</v>
      </c>
      <c r="Z1895" t="s">
        <v>68</v>
      </c>
      <c r="AB1895">
        <v>4</v>
      </c>
      <c r="AC1895" t="s">
        <v>61</v>
      </c>
      <c r="AJ1895" t="s">
        <v>69</v>
      </c>
      <c r="AY1895" t="s">
        <v>141</v>
      </c>
      <c r="AZ1895">
        <v>12447</v>
      </c>
      <c r="BA1895" t="s">
        <v>142</v>
      </c>
      <c r="BB1895" t="s">
        <v>143</v>
      </c>
      <c r="BC1895">
        <v>1985</v>
      </c>
      <c r="BD1895" t="s">
        <v>73</v>
      </c>
    </row>
    <row r="1896" spans="1:56" x14ac:dyDescent="0.35">
      <c r="A1896">
        <v>534521</v>
      </c>
      <c r="B1896" t="s">
        <v>1485</v>
      </c>
      <c r="D1896" t="s">
        <v>57</v>
      </c>
      <c r="E1896" t="s">
        <v>128</v>
      </c>
      <c r="F1896" t="s">
        <v>58</v>
      </c>
      <c r="G1896" t="s">
        <v>59</v>
      </c>
      <c r="H1896" t="s">
        <v>60</v>
      </c>
      <c r="I1896" t="s">
        <v>129</v>
      </c>
      <c r="J1896" t="s">
        <v>86</v>
      </c>
      <c r="K1896" t="s">
        <v>61</v>
      </c>
      <c r="L1896" t="s">
        <v>74</v>
      </c>
      <c r="M1896" t="s">
        <v>63</v>
      </c>
      <c r="N1896" t="s">
        <v>64</v>
      </c>
      <c r="P1896" t="s">
        <v>65</v>
      </c>
      <c r="R1896">
        <v>2.72</v>
      </c>
      <c r="W1896" t="s">
        <v>66</v>
      </c>
      <c r="X1896" t="s">
        <v>67</v>
      </c>
      <c r="Y1896" t="s">
        <v>67</v>
      </c>
      <c r="Z1896" t="s">
        <v>68</v>
      </c>
      <c r="AB1896">
        <v>4</v>
      </c>
      <c r="AC1896" t="s">
        <v>61</v>
      </c>
      <c r="AJ1896" t="s">
        <v>69</v>
      </c>
      <c r="AY1896" t="s">
        <v>134</v>
      </c>
      <c r="AZ1896">
        <v>15031</v>
      </c>
      <c r="BA1896" t="s">
        <v>135</v>
      </c>
      <c r="BB1896" t="s">
        <v>136</v>
      </c>
      <c r="BC1896">
        <v>1995</v>
      </c>
      <c r="BD1896" t="s">
        <v>133</v>
      </c>
    </row>
    <row r="1897" spans="1:56" x14ac:dyDescent="0.35">
      <c r="A1897">
        <v>538681</v>
      </c>
      <c r="B1897" t="s">
        <v>1486</v>
      </c>
      <c r="D1897" t="s">
        <v>57</v>
      </c>
      <c r="E1897">
        <v>97</v>
      </c>
      <c r="F1897" t="s">
        <v>58</v>
      </c>
      <c r="G1897" t="s">
        <v>59</v>
      </c>
      <c r="H1897" t="s">
        <v>60</v>
      </c>
      <c r="J1897">
        <v>26</v>
      </c>
      <c r="K1897" t="s">
        <v>61</v>
      </c>
      <c r="L1897" t="s">
        <v>74</v>
      </c>
      <c r="M1897" t="s">
        <v>63</v>
      </c>
      <c r="N1897" t="s">
        <v>64</v>
      </c>
      <c r="P1897" t="s">
        <v>65</v>
      </c>
      <c r="R1897">
        <v>1.71</v>
      </c>
      <c r="T1897">
        <v>1.59</v>
      </c>
      <c r="V1897">
        <v>1.83</v>
      </c>
      <c r="W1897" t="s">
        <v>66</v>
      </c>
      <c r="X1897" t="s">
        <v>67</v>
      </c>
      <c r="Y1897" t="s">
        <v>67</v>
      </c>
      <c r="Z1897" t="s">
        <v>68</v>
      </c>
      <c r="AB1897">
        <v>4</v>
      </c>
      <c r="AC1897" t="s">
        <v>61</v>
      </c>
      <c r="AJ1897" t="s">
        <v>69</v>
      </c>
      <c r="AY1897" t="s">
        <v>263</v>
      </c>
      <c r="AZ1897">
        <v>12858</v>
      </c>
      <c r="BA1897" t="s">
        <v>264</v>
      </c>
      <c r="BB1897" t="s">
        <v>265</v>
      </c>
      <c r="BC1897">
        <v>1986</v>
      </c>
      <c r="BD1897" t="s">
        <v>73</v>
      </c>
    </row>
    <row r="1898" spans="1:56" x14ac:dyDescent="0.35">
      <c r="A1898">
        <v>540727</v>
      </c>
      <c r="B1898" t="s">
        <v>1487</v>
      </c>
      <c r="D1898" t="s">
        <v>85</v>
      </c>
      <c r="E1898" t="s">
        <v>86</v>
      </c>
      <c r="F1898" t="s">
        <v>58</v>
      </c>
      <c r="G1898" t="s">
        <v>59</v>
      </c>
      <c r="H1898" t="s">
        <v>60</v>
      </c>
      <c r="J1898" t="s">
        <v>86</v>
      </c>
      <c r="L1898" t="s">
        <v>62</v>
      </c>
      <c r="M1898" t="s">
        <v>63</v>
      </c>
      <c r="N1898" t="s">
        <v>64</v>
      </c>
      <c r="O1898">
        <v>6</v>
      </c>
      <c r="P1898" t="s">
        <v>100</v>
      </c>
      <c r="Q1898" t="s">
        <v>153</v>
      </c>
      <c r="R1898">
        <v>100</v>
      </c>
      <c r="W1898" t="s">
        <v>66</v>
      </c>
      <c r="X1898" t="s">
        <v>67</v>
      </c>
      <c r="Y1898" t="s">
        <v>67</v>
      </c>
      <c r="Z1898" t="s">
        <v>68</v>
      </c>
      <c r="AB1898">
        <v>4</v>
      </c>
      <c r="AC1898" t="s">
        <v>61</v>
      </c>
      <c r="AJ1898" t="s">
        <v>69</v>
      </c>
      <c r="AY1898" t="s">
        <v>173</v>
      </c>
      <c r="AZ1898">
        <v>167113</v>
      </c>
      <c r="BA1898" t="s">
        <v>174</v>
      </c>
      <c r="BB1898" t="s">
        <v>175</v>
      </c>
      <c r="BC1898">
        <v>1974</v>
      </c>
      <c r="BD1898" t="s">
        <v>90</v>
      </c>
    </row>
    <row r="1899" spans="1:56" x14ac:dyDescent="0.35">
      <c r="A1899">
        <v>540885</v>
      </c>
      <c r="B1899" t="s">
        <v>1488</v>
      </c>
      <c r="D1899" t="s">
        <v>57</v>
      </c>
      <c r="E1899" t="s">
        <v>79</v>
      </c>
      <c r="F1899" t="s">
        <v>58</v>
      </c>
      <c r="G1899" t="s">
        <v>59</v>
      </c>
      <c r="H1899" t="s">
        <v>60</v>
      </c>
      <c r="J1899">
        <v>30</v>
      </c>
      <c r="K1899" t="s">
        <v>61</v>
      </c>
      <c r="L1899" t="s">
        <v>74</v>
      </c>
      <c r="M1899" t="s">
        <v>63</v>
      </c>
      <c r="N1899" t="s">
        <v>64</v>
      </c>
      <c r="P1899" t="s">
        <v>65</v>
      </c>
      <c r="R1899">
        <v>327</v>
      </c>
      <c r="T1899">
        <v>296</v>
      </c>
      <c r="V1899">
        <v>362</v>
      </c>
      <c r="W1899" t="s">
        <v>66</v>
      </c>
      <c r="X1899" t="s">
        <v>67</v>
      </c>
      <c r="Y1899" t="s">
        <v>67</v>
      </c>
      <c r="Z1899" t="s">
        <v>68</v>
      </c>
      <c r="AB1899">
        <v>4</v>
      </c>
      <c r="AC1899" t="s">
        <v>61</v>
      </c>
      <c r="AJ1899" t="s">
        <v>69</v>
      </c>
      <c r="AY1899" t="s">
        <v>75</v>
      </c>
      <c r="AZ1899">
        <v>3217</v>
      </c>
      <c r="BA1899" t="s">
        <v>76</v>
      </c>
      <c r="BB1899" t="s">
        <v>77</v>
      </c>
      <c r="BC1899">
        <v>1990</v>
      </c>
      <c r="BD1899" t="s">
        <v>73</v>
      </c>
    </row>
    <row r="1900" spans="1:56" x14ac:dyDescent="0.35">
      <c r="A1900">
        <v>541093</v>
      </c>
      <c r="B1900" t="s">
        <v>1489</v>
      </c>
      <c r="D1900" t="s">
        <v>85</v>
      </c>
      <c r="E1900" t="s">
        <v>86</v>
      </c>
      <c r="F1900" t="s">
        <v>58</v>
      </c>
      <c r="G1900" t="s">
        <v>59</v>
      </c>
      <c r="H1900" t="s">
        <v>60</v>
      </c>
      <c r="J1900" t="s">
        <v>86</v>
      </c>
      <c r="L1900" t="s">
        <v>62</v>
      </c>
      <c r="M1900" t="s">
        <v>63</v>
      </c>
      <c r="N1900" t="s">
        <v>64</v>
      </c>
      <c r="P1900" t="s">
        <v>201</v>
      </c>
      <c r="R1900">
        <v>3.7</v>
      </c>
      <c r="W1900" t="s">
        <v>66</v>
      </c>
      <c r="X1900" t="s">
        <v>67</v>
      </c>
      <c r="Y1900" t="s">
        <v>67</v>
      </c>
      <c r="Z1900" t="s">
        <v>68</v>
      </c>
      <c r="AB1900">
        <v>4</v>
      </c>
      <c r="AC1900" t="s">
        <v>61</v>
      </c>
      <c r="AJ1900" t="s">
        <v>69</v>
      </c>
      <c r="AY1900" t="s">
        <v>275</v>
      </c>
      <c r="AZ1900">
        <v>2042</v>
      </c>
      <c r="BA1900" t="s">
        <v>1490</v>
      </c>
      <c r="BB1900" t="s">
        <v>1491</v>
      </c>
      <c r="BC1900">
        <v>1960</v>
      </c>
      <c r="BD1900" t="s">
        <v>90</v>
      </c>
    </row>
    <row r="1901" spans="1:56" x14ac:dyDescent="0.35">
      <c r="A1901">
        <v>541731</v>
      </c>
      <c r="B1901" t="s">
        <v>1492</v>
      </c>
      <c r="D1901" t="s">
        <v>57</v>
      </c>
      <c r="E1901" t="s">
        <v>86</v>
      </c>
      <c r="F1901" t="s">
        <v>58</v>
      </c>
      <c r="G1901" t="s">
        <v>59</v>
      </c>
      <c r="H1901" t="s">
        <v>60</v>
      </c>
      <c r="J1901" t="s">
        <v>86</v>
      </c>
      <c r="L1901" t="s">
        <v>74</v>
      </c>
      <c r="M1901" t="s">
        <v>63</v>
      </c>
      <c r="N1901" t="s">
        <v>64</v>
      </c>
      <c r="P1901" t="s">
        <v>65</v>
      </c>
      <c r="R1901">
        <v>7.8</v>
      </c>
      <c r="W1901" t="s">
        <v>66</v>
      </c>
      <c r="X1901" t="s">
        <v>67</v>
      </c>
      <c r="Y1901" t="s">
        <v>67</v>
      </c>
      <c r="Z1901" t="s">
        <v>68</v>
      </c>
      <c r="AB1901">
        <v>4</v>
      </c>
      <c r="AC1901" t="s">
        <v>61</v>
      </c>
      <c r="AJ1901" t="s">
        <v>69</v>
      </c>
      <c r="AY1901" t="s">
        <v>364</v>
      </c>
      <c r="AZ1901">
        <v>10183</v>
      </c>
      <c r="BA1901" t="s">
        <v>365</v>
      </c>
      <c r="BB1901" t="s">
        <v>366</v>
      </c>
      <c r="BC1901">
        <v>1983</v>
      </c>
      <c r="BD1901" t="s">
        <v>90</v>
      </c>
    </row>
    <row r="1902" spans="1:56" x14ac:dyDescent="0.35">
      <c r="A1902">
        <v>541731</v>
      </c>
      <c r="B1902" t="s">
        <v>1492</v>
      </c>
      <c r="D1902" t="s">
        <v>57</v>
      </c>
      <c r="E1902">
        <v>98</v>
      </c>
      <c r="F1902" t="s">
        <v>58</v>
      </c>
      <c r="G1902" t="s">
        <v>59</v>
      </c>
      <c r="H1902" t="s">
        <v>60</v>
      </c>
      <c r="J1902">
        <v>28</v>
      </c>
      <c r="K1902" t="s">
        <v>61</v>
      </c>
      <c r="L1902" t="s">
        <v>74</v>
      </c>
      <c r="M1902" t="s">
        <v>63</v>
      </c>
      <c r="N1902" t="s">
        <v>64</v>
      </c>
      <c r="O1902">
        <v>6</v>
      </c>
      <c r="P1902" t="s">
        <v>65</v>
      </c>
      <c r="R1902">
        <v>8.0299999999999994</v>
      </c>
      <c r="T1902">
        <v>6.95</v>
      </c>
      <c r="V1902">
        <v>9.2799999999999994</v>
      </c>
      <c r="W1902" t="s">
        <v>66</v>
      </c>
      <c r="X1902" t="s">
        <v>67</v>
      </c>
      <c r="Y1902" t="s">
        <v>67</v>
      </c>
      <c r="Z1902" t="s">
        <v>68</v>
      </c>
      <c r="AB1902">
        <v>4</v>
      </c>
      <c r="AC1902" t="s">
        <v>61</v>
      </c>
      <c r="AJ1902" t="s">
        <v>69</v>
      </c>
      <c r="AY1902" t="s">
        <v>263</v>
      </c>
      <c r="AZ1902">
        <v>12858</v>
      </c>
      <c r="BA1902" t="s">
        <v>264</v>
      </c>
      <c r="BB1902" t="s">
        <v>265</v>
      </c>
      <c r="BC1902">
        <v>1986</v>
      </c>
      <c r="BD1902" t="s">
        <v>73</v>
      </c>
    </row>
    <row r="1903" spans="1:56" x14ac:dyDescent="0.35">
      <c r="A1903">
        <v>541731</v>
      </c>
      <c r="B1903" t="s">
        <v>1492</v>
      </c>
      <c r="D1903" t="s">
        <v>57</v>
      </c>
      <c r="E1903">
        <v>98</v>
      </c>
      <c r="F1903" t="s">
        <v>58</v>
      </c>
      <c r="G1903" t="s">
        <v>59</v>
      </c>
      <c r="H1903" t="s">
        <v>60</v>
      </c>
      <c r="J1903">
        <v>30</v>
      </c>
      <c r="K1903" t="s">
        <v>61</v>
      </c>
      <c r="L1903" t="s">
        <v>74</v>
      </c>
      <c r="M1903" t="s">
        <v>63</v>
      </c>
      <c r="N1903" t="s">
        <v>64</v>
      </c>
      <c r="O1903">
        <v>6</v>
      </c>
      <c r="P1903" t="s">
        <v>65</v>
      </c>
      <c r="R1903">
        <v>7.8</v>
      </c>
      <c r="W1903" t="s">
        <v>66</v>
      </c>
      <c r="X1903" t="s">
        <v>67</v>
      </c>
      <c r="Y1903" t="s">
        <v>67</v>
      </c>
      <c r="Z1903" t="s">
        <v>68</v>
      </c>
      <c r="AB1903">
        <v>4</v>
      </c>
      <c r="AC1903" t="s">
        <v>61</v>
      </c>
      <c r="AJ1903" t="s">
        <v>69</v>
      </c>
      <c r="AY1903" t="s">
        <v>958</v>
      </c>
      <c r="AZ1903">
        <v>12124</v>
      </c>
      <c r="BA1903" t="s">
        <v>959</v>
      </c>
      <c r="BB1903" t="s">
        <v>960</v>
      </c>
      <c r="BC1903">
        <v>1987</v>
      </c>
      <c r="BD1903" t="s">
        <v>73</v>
      </c>
    </row>
    <row r="1904" spans="1:56" x14ac:dyDescent="0.35">
      <c r="A1904">
        <v>541731</v>
      </c>
      <c r="B1904" t="s">
        <v>1492</v>
      </c>
      <c r="D1904" t="s">
        <v>57</v>
      </c>
      <c r="E1904" t="s">
        <v>86</v>
      </c>
      <c r="F1904" t="s">
        <v>58</v>
      </c>
      <c r="G1904" t="s">
        <v>59</v>
      </c>
      <c r="H1904" t="s">
        <v>60</v>
      </c>
      <c r="J1904" t="s">
        <v>86</v>
      </c>
      <c r="L1904" t="s">
        <v>62</v>
      </c>
      <c r="M1904" t="s">
        <v>63</v>
      </c>
      <c r="N1904" t="s">
        <v>64</v>
      </c>
      <c r="O1904" t="s">
        <v>267</v>
      </c>
      <c r="P1904" t="s">
        <v>65</v>
      </c>
      <c r="R1904">
        <v>12.7</v>
      </c>
      <c r="T1904">
        <v>9.6999999999999993</v>
      </c>
      <c r="V1904">
        <v>16.2</v>
      </c>
      <c r="W1904" t="s">
        <v>66</v>
      </c>
      <c r="X1904" t="s">
        <v>67</v>
      </c>
      <c r="Y1904" t="s">
        <v>67</v>
      </c>
      <c r="Z1904" t="s">
        <v>68</v>
      </c>
      <c r="AB1904">
        <v>4</v>
      </c>
      <c r="AC1904" t="s">
        <v>61</v>
      </c>
      <c r="AJ1904" t="s">
        <v>69</v>
      </c>
      <c r="AY1904" t="s">
        <v>268</v>
      </c>
      <c r="AZ1904">
        <v>2965</v>
      </c>
      <c r="BA1904" t="s">
        <v>269</v>
      </c>
      <c r="BB1904" t="s">
        <v>270</v>
      </c>
      <c r="BC1904">
        <v>1981</v>
      </c>
      <c r="BD1904" t="s">
        <v>90</v>
      </c>
    </row>
    <row r="1905" spans="1:56" x14ac:dyDescent="0.35">
      <c r="A1905">
        <v>541731</v>
      </c>
      <c r="B1905" t="s">
        <v>1492</v>
      </c>
      <c r="E1905" t="s">
        <v>86</v>
      </c>
      <c r="F1905" t="s">
        <v>58</v>
      </c>
      <c r="G1905" t="s">
        <v>59</v>
      </c>
      <c r="H1905" t="s">
        <v>60</v>
      </c>
      <c r="I1905" t="s">
        <v>129</v>
      </c>
      <c r="J1905" t="s">
        <v>86</v>
      </c>
      <c r="K1905" t="s">
        <v>61</v>
      </c>
      <c r="L1905" t="s">
        <v>74</v>
      </c>
      <c r="M1905" t="s">
        <v>63</v>
      </c>
      <c r="N1905" t="s">
        <v>64</v>
      </c>
      <c r="P1905" t="s">
        <v>100</v>
      </c>
      <c r="R1905">
        <v>9.1199999999999992</v>
      </c>
      <c r="T1905">
        <v>7.57</v>
      </c>
      <c r="V1905">
        <v>11</v>
      </c>
      <c r="W1905" t="s">
        <v>66</v>
      </c>
      <c r="X1905" t="s">
        <v>67</v>
      </c>
      <c r="Y1905" t="s">
        <v>67</v>
      </c>
      <c r="Z1905" t="s">
        <v>68</v>
      </c>
      <c r="AB1905">
        <v>4</v>
      </c>
      <c r="AC1905" t="s">
        <v>61</v>
      </c>
      <c r="AJ1905" t="s">
        <v>69</v>
      </c>
      <c r="AY1905" t="s">
        <v>422</v>
      </c>
      <c r="AZ1905">
        <v>14128</v>
      </c>
      <c r="BA1905" t="s">
        <v>423</v>
      </c>
      <c r="BB1905" t="s">
        <v>424</v>
      </c>
      <c r="BC1905">
        <v>1985</v>
      </c>
      <c r="BD1905" t="s">
        <v>833</v>
      </c>
    </row>
    <row r="1906" spans="1:56" x14ac:dyDescent="0.35">
      <c r="A1906">
        <v>542756</v>
      </c>
      <c r="B1906" t="s">
        <v>1493</v>
      </c>
      <c r="D1906" t="s">
        <v>57</v>
      </c>
      <c r="E1906" t="s">
        <v>86</v>
      </c>
      <c r="F1906" t="s">
        <v>58</v>
      </c>
      <c r="G1906" t="s">
        <v>59</v>
      </c>
      <c r="H1906" t="s">
        <v>60</v>
      </c>
      <c r="J1906" t="s">
        <v>86</v>
      </c>
      <c r="L1906" t="s">
        <v>74</v>
      </c>
      <c r="M1906" t="s">
        <v>63</v>
      </c>
      <c r="N1906" t="s">
        <v>64</v>
      </c>
      <c r="O1906">
        <v>6</v>
      </c>
      <c r="P1906" t="s">
        <v>65</v>
      </c>
      <c r="R1906">
        <v>1.4</v>
      </c>
      <c r="T1906">
        <v>1.2</v>
      </c>
      <c r="V1906">
        <v>1.5</v>
      </c>
      <c r="W1906" t="s">
        <v>66</v>
      </c>
      <c r="X1906" t="s">
        <v>67</v>
      </c>
      <c r="Y1906" t="s">
        <v>67</v>
      </c>
      <c r="Z1906" t="s">
        <v>68</v>
      </c>
      <c r="AB1906">
        <v>4</v>
      </c>
      <c r="AC1906" t="s">
        <v>61</v>
      </c>
      <c r="AJ1906" t="s">
        <v>69</v>
      </c>
      <c r="AY1906" t="s">
        <v>351</v>
      </c>
      <c r="AZ1906">
        <v>9994</v>
      </c>
      <c r="BA1906" t="s">
        <v>352</v>
      </c>
      <c r="BB1906" t="s">
        <v>353</v>
      </c>
      <c r="BC1906">
        <v>1982</v>
      </c>
      <c r="BD1906" t="s">
        <v>90</v>
      </c>
    </row>
    <row r="1907" spans="1:56" x14ac:dyDescent="0.35">
      <c r="A1907">
        <v>542756</v>
      </c>
      <c r="B1907" t="s">
        <v>1493</v>
      </c>
      <c r="D1907" t="s">
        <v>57</v>
      </c>
      <c r="E1907" t="s">
        <v>86</v>
      </c>
      <c r="F1907" t="s">
        <v>58</v>
      </c>
      <c r="G1907" t="s">
        <v>59</v>
      </c>
      <c r="H1907" t="s">
        <v>60</v>
      </c>
      <c r="J1907" t="s">
        <v>86</v>
      </c>
      <c r="L1907" t="s">
        <v>62</v>
      </c>
      <c r="M1907" t="s">
        <v>63</v>
      </c>
      <c r="N1907" t="s">
        <v>64</v>
      </c>
      <c r="O1907">
        <v>6</v>
      </c>
      <c r="P1907" t="s">
        <v>65</v>
      </c>
      <c r="R1907">
        <v>1.6</v>
      </c>
      <c r="T1907">
        <v>1.4</v>
      </c>
      <c r="V1907">
        <v>1.9</v>
      </c>
      <c r="W1907" t="s">
        <v>66</v>
      </c>
      <c r="X1907" t="s">
        <v>67</v>
      </c>
      <c r="Y1907" t="s">
        <v>67</v>
      </c>
      <c r="Z1907" t="s">
        <v>68</v>
      </c>
      <c r="AB1907">
        <v>4</v>
      </c>
      <c r="AC1907" t="s">
        <v>61</v>
      </c>
      <c r="AJ1907" t="s">
        <v>69</v>
      </c>
      <c r="AY1907" t="s">
        <v>351</v>
      </c>
      <c r="AZ1907">
        <v>9994</v>
      </c>
      <c r="BA1907" t="s">
        <v>352</v>
      </c>
      <c r="BB1907" t="s">
        <v>353</v>
      </c>
      <c r="BC1907">
        <v>1982</v>
      </c>
      <c r="BD1907" t="s">
        <v>90</v>
      </c>
    </row>
    <row r="1908" spans="1:56" x14ac:dyDescent="0.35">
      <c r="A1908">
        <v>542756</v>
      </c>
      <c r="B1908" t="s">
        <v>1493</v>
      </c>
      <c r="E1908">
        <v>100</v>
      </c>
      <c r="F1908" t="s">
        <v>58</v>
      </c>
      <c r="G1908" t="s">
        <v>59</v>
      </c>
      <c r="H1908" t="s">
        <v>60</v>
      </c>
      <c r="J1908" t="s">
        <v>86</v>
      </c>
      <c r="L1908" t="s">
        <v>62</v>
      </c>
      <c r="M1908" t="s">
        <v>63</v>
      </c>
      <c r="N1908" t="s">
        <v>64</v>
      </c>
      <c r="P1908" t="s">
        <v>65</v>
      </c>
      <c r="R1908">
        <v>4.0999999999999996</v>
      </c>
      <c r="T1908">
        <v>3.39</v>
      </c>
      <c r="V1908">
        <v>4.97</v>
      </c>
      <c r="W1908" t="s">
        <v>66</v>
      </c>
      <c r="X1908" t="s">
        <v>67</v>
      </c>
      <c r="Y1908" t="s">
        <v>67</v>
      </c>
      <c r="Z1908" t="s">
        <v>68</v>
      </c>
      <c r="AB1908">
        <v>4</v>
      </c>
      <c r="AC1908" t="s">
        <v>61</v>
      </c>
      <c r="AJ1908" t="s">
        <v>69</v>
      </c>
      <c r="AY1908" t="s">
        <v>96</v>
      </c>
      <c r="AZ1908">
        <v>6797</v>
      </c>
      <c r="BA1908" t="s">
        <v>97</v>
      </c>
      <c r="BB1908" t="s">
        <v>98</v>
      </c>
      <c r="BC1908">
        <v>1986</v>
      </c>
      <c r="BD1908" t="s">
        <v>90</v>
      </c>
    </row>
    <row r="1909" spans="1:56" x14ac:dyDescent="0.35">
      <c r="A1909">
        <v>542756</v>
      </c>
      <c r="B1909" t="s">
        <v>1493</v>
      </c>
      <c r="D1909" t="s">
        <v>57</v>
      </c>
      <c r="E1909">
        <v>95</v>
      </c>
      <c r="F1909" t="s">
        <v>58</v>
      </c>
      <c r="G1909" t="s">
        <v>59</v>
      </c>
      <c r="H1909" t="s">
        <v>60</v>
      </c>
      <c r="J1909">
        <v>30</v>
      </c>
      <c r="K1909" t="s">
        <v>61</v>
      </c>
      <c r="L1909" t="s">
        <v>74</v>
      </c>
      <c r="M1909" t="s">
        <v>63</v>
      </c>
      <c r="N1909" t="s">
        <v>64</v>
      </c>
      <c r="P1909" t="s">
        <v>65</v>
      </c>
      <c r="R1909">
        <v>0.23899999999999999</v>
      </c>
      <c r="T1909">
        <v>0.21099999999999999</v>
      </c>
      <c r="V1909">
        <v>0.27100000000000002</v>
      </c>
      <c r="W1909" t="s">
        <v>66</v>
      </c>
      <c r="X1909" t="s">
        <v>67</v>
      </c>
      <c r="Y1909" t="s">
        <v>67</v>
      </c>
      <c r="Z1909" t="s">
        <v>68</v>
      </c>
      <c r="AB1909">
        <v>4</v>
      </c>
      <c r="AC1909" t="s">
        <v>61</v>
      </c>
      <c r="AJ1909" t="s">
        <v>69</v>
      </c>
      <c r="AY1909" t="s">
        <v>75</v>
      </c>
      <c r="AZ1909">
        <v>3217</v>
      </c>
      <c r="BA1909" t="s">
        <v>76</v>
      </c>
      <c r="BB1909" t="s">
        <v>77</v>
      </c>
      <c r="BC1909">
        <v>1990</v>
      </c>
      <c r="BD1909" t="s">
        <v>73</v>
      </c>
    </row>
    <row r="1910" spans="1:56" x14ac:dyDescent="0.35">
      <c r="A1910">
        <v>542756</v>
      </c>
      <c r="B1910" t="s">
        <v>1493</v>
      </c>
      <c r="D1910" t="s">
        <v>85</v>
      </c>
      <c r="E1910" t="s">
        <v>86</v>
      </c>
      <c r="F1910" t="s">
        <v>58</v>
      </c>
      <c r="G1910" t="s">
        <v>59</v>
      </c>
      <c r="H1910" t="s">
        <v>60</v>
      </c>
      <c r="J1910">
        <v>1</v>
      </c>
      <c r="K1910" t="s">
        <v>387</v>
      </c>
      <c r="L1910" t="s">
        <v>62</v>
      </c>
      <c r="M1910" t="s">
        <v>63</v>
      </c>
      <c r="N1910" t="s">
        <v>64</v>
      </c>
      <c r="P1910" t="s">
        <v>100</v>
      </c>
      <c r="R1910">
        <v>2.3199999999999998</v>
      </c>
      <c r="T1910">
        <v>1.52</v>
      </c>
      <c r="V1910">
        <v>2.68</v>
      </c>
      <c r="W1910" t="s">
        <v>66</v>
      </c>
      <c r="X1910" t="s">
        <v>67</v>
      </c>
      <c r="Y1910" t="s">
        <v>67</v>
      </c>
      <c r="Z1910" t="s">
        <v>68</v>
      </c>
      <c r="AB1910">
        <v>4</v>
      </c>
      <c r="AC1910" t="s">
        <v>61</v>
      </c>
      <c r="AJ1910" t="s">
        <v>69</v>
      </c>
      <c r="AY1910" t="s">
        <v>388</v>
      </c>
      <c r="AZ1910">
        <v>45758</v>
      </c>
      <c r="BA1910" t="s">
        <v>389</v>
      </c>
      <c r="BB1910" t="s">
        <v>390</v>
      </c>
      <c r="BC1910">
        <v>1982</v>
      </c>
      <c r="BD1910" t="s">
        <v>391</v>
      </c>
    </row>
    <row r="1911" spans="1:56" x14ac:dyDescent="0.35">
      <c r="A1911">
        <v>544183</v>
      </c>
      <c r="B1911" t="s">
        <v>1494</v>
      </c>
      <c r="D1911" t="s">
        <v>57</v>
      </c>
      <c r="E1911" t="s">
        <v>86</v>
      </c>
      <c r="F1911" t="s">
        <v>58</v>
      </c>
      <c r="G1911" t="s">
        <v>59</v>
      </c>
      <c r="H1911" t="s">
        <v>60</v>
      </c>
      <c r="J1911" t="s">
        <v>86</v>
      </c>
      <c r="L1911" t="s">
        <v>62</v>
      </c>
      <c r="M1911" t="s">
        <v>63</v>
      </c>
      <c r="N1911" t="s">
        <v>64</v>
      </c>
      <c r="O1911" t="s">
        <v>267</v>
      </c>
      <c r="P1911" t="s">
        <v>1296</v>
      </c>
      <c r="R1911">
        <v>32.200000000000003</v>
      </c>
      <c r="T1911">
        <v>24</v>
      </c>
      <c r="V1911">
        <v>44.1</v>
      </c>
      <c r="W1911" t="s">
        <v>66</v>
      </c>
      <c r="X1911" t="s">
        <v>67</v>
      </c>
      <c r="Y1911" t="s">
        <v>67</v>
      </c>
      <c r="Z1911" t="s">
        <v>68</v>
      </c>
      <c r="AB1911">
        <v>4</v>
      </c>
      <c r="AC1911" t="s">
        <v>61</v>
      </c>
      <c r="AJ1911" t="s">
        <v>69</v>
      </c>
      <c r="AY1911" t="s">
        <v>268</v>
      </c>
      <c r="AZ1911">
        <v>2965</v>
      </c>
      <c r="BA1911" t="s">
        <v>269</v>
      </c>
      <c r="BB1911" t="s">
        <v>270</v>
      </c>
      <c r="BC1911">
        <v>1981</v>
      </c>
      <c r="BD1911" t="s">
        <v>90</v>
      </c>
    </row>
    <row r="1912" spans="1:56" x14ac:dyDescent="0.35">
      <c r="A1912">
        <v>544401</v>
      </c>
      <c r="B1912" t="s">
        <v>1495</v>
      </c>
      <c r="D1912" t="s">
        <v>57</v>
      </c>
      <c r="E1912">
        <v>97</v>
      </c>
      <c r="F1912" t="s">
        <v>58</v>
      </c>
      <c r="G1912" t="s">
        <v>59</v>
      </c>
      <c r="H1912" t="s">
        <v>60</v>
      </c>
      <c r="J1912">
        <v>30</v>
      </c>
      <c r="K1912" t="s">
        <v>61</v>
      </c>
      <c r="L1912" t="s">
        <v>74</v>
      </c>
      <c r="M1912" t="s">
        <v>63</v>
      </c>
      <c r="N1912" t="s">
        <v>64</v>
      </c>
      <c r="O1912">
        <v>6</v>
      </c>
      <c r="P1912" t="s">
        <v>65</v>
      </c>
      <c r="R1912">
        <v>3.58</v>
      </c>
      <c r="W1912" t="s">
        <v>66</v>
      </c>
      <c r="X1912" t="s">
        <v>67</v>
      </c>
      <c r="Y1912" t="s">
        <v>67</v>
      </c>
      <c r="Z1912" t="s">
        <v>68</v>
      </c>
      <c r="AB1912">
        <v>4</v>
      </c>
      <c r="AC1912" t="s">
        <v>61</v>
      </c>
      <c r="AJ1912" t="s">
        <v>69</v>
      </c>
      <c r="AY1912" t="s">
        <v>286</v>
      </c>
      <c r="AZ1912">
        <v>12448</v>
      </c>
      <c r="BA1912" t="s">
        <v>287</v>
      </c>
      <c r="BB1912" t="s">
        <v>288</v>
      </c>
      <c r="BC1912">
        <v>1984</v>
      </c>
      <c r="BD1912" t="s">
        <v>73</v>
      </c>
    </row>
    <row r="1913" spans="1:56" x14ac:dyDescent="0.35">
      <c r="A1913">
        <v>552410</v>
      </c>
      <c r="B1913" t="s">
        <v>1496</v>
      </c>
      <c r="D1913" t="s">
        <v>57</v>
      </c>
      <c r="E1913">
        <v>99</v>
      </c>
      <c r="F1913" t="s">
        <v>58</v>
      </c>
      <c r="G1913" t="s">
        <v>59</v>
      </c>
      <c r="H1913" t="s">
        <v>60</v>
      </c>
      <c r="J1913">
        <v>31</v>
      </c>
      <c r="K1913" t="s">
        <v>61</v>
      </c>
      <c r="L1913" t="s">
        <v>74</v>
      </c>
      <c r="M1913" t="s">
        <v>63</v>
      </c>
      <c r="N1913" t="s">
        <v>64</v>
      </c>
      <c r="P1913" t="s">
        <v>65</v>
      </c>
      <c r="R1913">
        <v>54.9</v>
      </c>
      <c r="T1913">
        <v>53.5</v>
      </c>
      <c r="V1913">
        <v>56.3</v>
      </c>
      <c r="W1913" t="s">
        <v>66</v>
      </c>
      <c r="X1913" t="s">
        <v>67</v>
      </c>
      <c r="Y1913" t="s">
        <v>67</v>
      </c>
      <c r="Z1913" t="s">
        <v>68</v>
      </c>
      <c r="AB1913">
        <v>4</v>
      </c>
      <c r="AC1913" t="s">
        <v>61</v>
      </c>
      <c r="AJ1913" t="s">
        <v>69</v>
      </c>
      <c r="AY1913" t="s">
        <v>286</v>
      </c>
      <c r="AZ1913">
        <v>12448</v>
      </c>
      <c r="BA1913" t="s">
        <v>287</v>
      </c>
      <c r="BB1913" t="s">
        <v>288</v>
      </c>
      <c r="BC1913">
        <v>1984</v>
      </c>
      <c r="BD1913" t="s">
        <v>73</v>
      </c>
    </row>
    <row r="1914" spans="1:56" x14ac:dyDescent="0.35">
      <c r="A1914">
        <v>552410</v>
      </c>
      <c r="B1914" t="s">
        <v>1496</v>
      </c>
      <c r="D1914" t="s">
        <v>57</v>
      </c>
      <c r="E1914">
        <v>99</v>
      </c>
      <c r="F1914" t="s">
        <v>58</v>
      </c>
      <c r="G1914" t="s">
        <v>59</v>
      </c>
      <c r="H1914" t="s">
        <v>60</v>
      </c>
      <c r="J1914" t="s">
        <v>86</v>
      </c>
      <c r="L1914" t="s">
        <v>74</v>
      </c>
      <c r="M1914" t="s">
        <v>63</v>
      </c>
      <c r="N1914" t="s">
        <v>64</v>
      </c>
      <c r="P1914" t="s">
        <v>65</v>
      </c>
      <c r="R1914">
        <v>87.8</v>
      </c>
      <c r="T1914">
        <v>80</v>
      </c>
      <c r="V1914">
        <v>96.4</v>
      </c>
      <c r="W1914" t="s">
        <v>66</v>
      </c>
      <c r="X1914" t="s">
        <v>67</v>
      </c>
      <c r="Y1914" t="s">
        <v>67</v>
      </c>
      <c r="Z1914" t="s">
        <v>68</v>
      </c>
      <c r="AB1914">
        <v>4</v>
      </c>
      <c r="AC1914" t="s">
        <v>61</v>
      </c>
      <c r="AJ1914" t="s">
        <v>69</v>
      </c>
      <c r="AY1914" t="s">
        <v>263</v>
      </c>
      <c r="AZ1914">
        <v>12858</v>
      </c>
      <c r="BA1914" t="s">
        <v>264</v>
      </c>
      <c r="BB1914" t="s">
        <v>265</v>
      </c>
      <c r="BC1914">
        <v>1986</v>
      </c>
      <c r="BD1914" t="s">
        <v>90</v>
      </c>
    </row>
    <row r="1915" spans="1:56" x14ac:dyDescent="0.35">
      <c r="A1915">
        <v>552896</v>
      </c>
      <c r="B1915" t="s">
        <v>1497</v>
      </c>
      <c r="D1915" t="s">
        <v>57</v>
      </c>
      <c r="E1915" t="s">
        <v>86</v>
      </c>
      <c r="F1915" t="s">
        <v>58</v>
      </c>
      <c r="G1915" t="s">
        <v>59</v>
      </c>
      <c r="H1915" t="s">
        <v>60</v>
      </c>
      <c r="J1915">
        <v>30</v>
      </c>
      <c r="K1915" t="s">
        <v>61</v>
      </c>
      <c r="L1915" t="s">
        <v>74</v>
      </c>
      <c r="M1915" t="s">
        <v>63</v>
      </c>
      <c r="N1915" t="s">
        <v>64</v>
      </c>
      <c r="P1915" t="s">
        <v>65</v>
      </c>
      <c r="R1915">
        <v>12.5</v>
      </c>
      <c r="W1915" t="s">
        <v>66</v>
      </c>
      <c r="X1915" t="s">
        <v>67</v>
      </c>
      <c r="Y1915" t="s">
        <v>67</v>
      </c>
      <c r="Z1915" t="s">
        <v>68</v>
      </c>
      <c r="AB1915">
        <v>4</v>
      </c>
      <c r="AC1915" t="s">
        <v>61</v>
      </c>
      <c r="AJ1915" t="s">
        <v>69</v>
      </c>
      <c r="AY1915" t="s">
        <v>138</v>
      </c>
      <c r="AZ1915">
        <v>5940</v>
      </c>
      <c r="BA1915" t="s">
        <v>356</v>
      </c>
      <c r="BB1915" t="s">
        <v>1498</v>
      </c>
      <c r="BC1915">
        <v>1980</v>
      </c>
      <c r="BD1915" t="s">
        <v>73</v>
      </c>
    </row>
    <row r="1916" spans="1:56" x14ac:dyDescent="0.35">
      <c r="A1916">
        <v>552896</v>
      </c>
      <c r="B1916" t="s">
        <v>1497</v>
      </c>
      <c r="D1916" t="s">
        <v>57</v>
      </c>
      <c r="E1916">
        <v>98</v>
      </c>
      <c r="F1916" t="s">
        <v>58</v>
      </c>
      <c r="G1916" t="s">
        <v>59</v>
      </c>
      <c r="H1916" t="s">
        <v>60</v>
      </c>
      <c r="J1916">
        <v>29</v>
      </c>
      <c r="K1916" t="s">
        <v>61</v>
      </c>
      <c r="L1916" t="s">
        <v>74</v>
      </c>
      <c r="M1916" t="s">
        <v>63</v>
      </c>
      <c r="N1916" t="s">
        <v>64</v>
      </c>
      <c r="P1916" t="s">
        <v>65</v>
      </c>
      <c r="R1916">
        <v>16.600000000000001</v>
      </c>
      <c r="T1916">
        <v>15</v>
      </c>
      <c r="V1916">
        <v>18.399999999999999</v>
      </c>
      <c r="W1916" t="s">
        <v>66</v>
      </c>
      <c r="X1916" t="s">
        <v>67</v>
      </c>
      <c r="Y1916" t="s">
        <v>67</v>
      </c>
      <c r="Z1916" t="s">
        <v>68</v>
      </c>
      <c r="AB1916">
        <v>4</v>
      </c>
      <c r="AC1916" t="s">
        <v>61</v>
      </c>
      <c r="AJ1916" t="s">
        <v>69</v>
      </c>
      <c r="AY1916" t="s">
        <v>246</v>
      </c>
      <c r="AZ1916">
        <v>3771</v>
      </c>
      <c r="BA1916" t="s">
        <v>247</v>
      </c>
      <c r="BB1916" t="s">
        <v>608</v>
      </c>
      <c r="BC1916">
        <v>1981</v>
      </c>
      <c r="BD1916" t="s">
        <v>73</v>
      </c>
    </row>
    <row r="1917" spans="1:56" x14ac:dyDescent="0.35">
      <c r="A1917">
        <v>555168</v>
      </c>
      <c r="B1917" t="s">
        <v>1499</v>
      </c>
      <c r="D1917" t="s">
        <v>57</v>
      </c>
      <c r="E1917">
        <v>99</v>
      </c>
      <c r="F1917" t="s">
        <v>58</v>
      </c>
      <c r="G1917" t="s">
        <v>59</v>
      </c>
      <c r="H1917" t="s">
        <v>60</v>
      </c>
      <c r="J1917">
        <v>34</v>
      </c>
      <c r="K1917" t="s">
        <v>61</v>
      </c>
      <c r="L1917" t="s">
        <v>74</v>
      </c>
      <c r="M1917" t="s">
        <v>63</v>
      </c>
      <c r="N1917" t="s">
        <v>64</v>
      </c>
      <c r="P1917" t="s">
        <v>65</v>
      </c>
      <c r="R1917">
        <v>10.1</v>
      </c>
      <c r="W1917" t="s">
        <v>66</v>
      </c>
      <c r="X1917" t="s">
        <v>67</v>
      </c>
      <c r="Y1917" t="s">
        <v>67</v>
      </c>
      <c r="Z1917" t="s">
        <v>68</v>
      </c>
      <c r="AB1917">
        <v>4</v>
      </c>
      <c r="AC1917" t="s">
        <v>61</v>
      </c>
      <c r="AJ1917" t="s">
        <v>69</v>
      </c>
      <c r="AY1917" t="s">
        <v>75</v>
      </c>
      <c r="AZ1917">
        <v>3217</v>
      </c>
      <c r="BA1917" t="s">
        <v>76</v>
      </c>
      <c r="BB1917" t="s">
        <v>77</v>
      </c>
      <c r="BC1917">
        <v>1990</v>
      </c>
      <c r="BD1917" t="s">
        <v>73</v>
      </c>
    </row>
    <row r="1918" spans="1:56" x14ac:dyDescent="0.35">
      <c r="A1918">
        <v>556887</v>
      </c>
      <c r="B1918" t="s">
        <v>1500</v>
      </c>
      <c r="D1918" t="s">
        <v>57</v>
      </c>
      <c r="E1918">
        <v>99.998000000000005</v>
      </c>
      <c r="F1918" t="s">
        <v>58</v>
      </c>
      <c r="G1918" t="s">
        <v>59</v>
      </c>
      <c r="H1918" t="s">
        <v>60</v>
      </c>
      <c r="I1918" t="s">
        <v>129</v>
      </c>
      <c r="J1918" t="s">
        <v>86</v>
      </c>
      <c r="K1918" t="s">
        <v>61</v>
      </c>
      <c r="L1918" t="s">
        <v>74</v>
      </c>
      <c r="M1918" t="s">
        <v>63</v>
      </c>
      <c r="N1918" t="s">
        <v>64</v>
      </c>
      <c r="O1918">
        <v>6</v>
      </c>
      <c r="P1918" t="s">
        <v>65</v>
      </c>
      <c r="Q1918" t="s">
        <v>153</v>
      </c>
      <c r="R1918">
        <v>3320</v>
      </c>
      <c r="W1918" t="s">
        <v>66</v>
      </c>
      <c r="X1918" t="s">
        <v>67</v>
      </c>
      <c r="Y1918" t="s">
        <v>67</v>
      </c>
      <c r="Z1918" t="s">
        <v>68</v>
      </c>
      <c r="AB1918">
        <v>4</v>
      </c>
      <c r="AC1918" t="s">
        <v>61</v>
      </c>
      <c r="AJ1918" t="s">
        <v>69</v>
      </c>
      <c r="AY1918" t="s">
        <v>181</v>
      </c>
      <c r="AZ1918">
        <v>17395</v>
      </c>
      <c r="BA1918" t="s">
        <v>182</v>
      </c>
      <c r="BB1918" t="s">
        <v>183</v>
      </c>
      <c r="BC1918">
        <v>1993</v>
      </c>
      <c r="BD1918" t="s">
        <v>1501</v>
      </c>
    </row>
    <row r="1919" spans="1:56" x14ac:dyDescent="0.35">
      <c r="A1919">
        <v>557346</v>
      </c>
      <c r="B1919" t="s">
        <v>1502</v>
      </c>
      <c r="D1919" t="s">
        <v>85</v>
      </c>
      <c r="E1919" t="s">
        <v>86</v>
      </c>
      <c r="F1919" t="s">
        <v>58</v>
      </c>
      <c r="G1919" t="s">
        <v>59</v>
      </c>
      <c r="H1919" t="s">
        <v>60</v>
      </c>
      <c r="J1919" t="s">
        <v>86</v>
      </c>
      <c r="L1919" t="s">
        <v>62</v>
      </c>
      <c r="M1919" t="s">
        <v>63</v>
      </c>
      <c r="N1919" t="s">
        <v>64</v>
      </c>
      <c r="P1919" t="s">
        <v>201</v>
      </c>
      <c r="R1919">
        <v>0.88</v>
      </c>
      <c r="T1919">
        <v>0.48</v>
      </c>
      <c r="V1919">
        <v>1.1399999999999999</v>
      </c>
      <c r="W1919" t="s">
        <v>66</v>
      </c>
      <c r="X1919" t="s">
        <v>67</v>
      </c>
      <c r="Y1919" t="s">
        <v>67</v>
      </c>
      <c r="Z1919" t="s">
        <v>68</v>
      </c>
      <c r="AB1919">
        <v>4</v>
      </c>
      <c r="AC1919" t="s">
        <v>61</v>
      </c>
      <c r="AJ1919" t="s">
        <v>69</v>
      </c>
      <c r="AY1919" t="s">
        <v>168</v>
      </c>
      <c r="AZ1919">
        <v>2033</v>
      </c>
      <c r="BA1919" t="s">
        <v>1385</v>
      </c>
      <c r="BB1919" t="s">
        <v>1386</v>
      </c>
      <c r="BC1919">
        <v>1966</v>
      </c>
      <c r="BD1919" t="s">
        <v>90</v>
      </c>
    </row>
    <row r="1920" spans="1:56" x14ac:dyDescent="0.35">
      <c r="A1920">
        <v>563122</v>
      </c>
      <c r="B1920" t="s">
        <v>1503</v>
      </c>
      <c r="E1920">
        <v>100</v>
      </c>
      <c r="F1920" t="s">
        <v>58</v>
      </c>
      <c r="G1920" t="s">
        <v>59</v>
      </c>
      <c r="H1920" t="s">
        <v>60</v>
      </c>
      <c r="I1920" t="s">
        <v>705</v>
      </c>
      <c r="J1920" t="s">
        <v>86</v>
      </c>
      <c r="L1920" t="s">
        <v>62</v>
      </c>
      <c r="M1920" t="s">
        <v>63</v>
      </c>
      <c r="N1920" t="s">
        <v>64</v>
      </c>
      <c r="P1920" t="s">
        <v>65</v>
      </c>
      <c r="R1920">
        <v>0.72</v>
      </c>
      <c r="W1920" t="s">
        <v>66</v>
      </c>
      <c r="X1920" t="s">
        <v>67</v>
      </c>
      <c r="Y1920" t="s">
        <v>67</v>
      </c>
      <c r="Z1920" t="s">
        <v>68</v>
      </c>
      <c r="AB1920">
        <v>4</v>
      </c>
      <c r="AC1920" t="s">
        <v>61</v>
      </c>
      <c r="AJ1920" t="s">
        <v>69</v>
      </c>
      <c r="AY1920" t="s">
        <v>96</v>
      </c>
      <c r="AZ1920">
        <v>6797</v>
      </c>
      <c r="BA1920" t="s">
        <v>97</v>
      </c>
      <c r="BB1920" t="s">
        <v>98</v>
      </c>
      <c r="BC1920">
        <v>1986</v>
      </c>
      <c r="BD1920" t="s">
        <v>90</v>
      </c>
    </row>
    <row r="1921" spans="1:56" x14ac:dyDescent="0.35">
      <c r="A1921">
        <v>563122</v>
      </c>
      <c r="B1921" t="s">
        <v>1503</v>
      </c>
      <c r="C1921" t="s">
        <v>91</v>
      </c>
      <c r="D1921" t="s">
        <v>85</v>
      </c>
      <c r="E1921" t="s">
        <v>86</v>
      </c>
      <c r="F1921" t="s">
        <v>58</v>
      </c>
      <c r="G1921" t="s">
        <v>59</v>
      </c>
      <c r="H1921" t="s">
        <v>60</v>
      </c>
      <c r="J1921" t="s">
        <v>86</v>
      </c>
      <c r="L1921" t="s">
        <v>62</v>
      </c>
      <c r="M1921" t="s">
        <v>63</v>
      </c>
      <c r="N1921" t="s">
        <v>64</v>
      </c>
      <c r="P1921" t="s">
        <v>65</v>
      </c>
      <c r="R1921">
        <v>2.4</v>
      </c>
      <c r="T1921">
        <v>1.2</v>
      </c>
      <c r="V1921">
        <v>7.7</v>
      </c>
      <c r="W1921" t="s">
        <v>66</v>
      </c>
      <c r="X1921" t="s">
        <v>67</v>
      </c>
      <c r="Y1921" t="s">
        <v>67</v>
      </c>
      <c r="Z1921" t="s">
        <v>68</v>
      </c>
      <c r="AB1921">
        <v>4</v>
      </c>
      <c r="AC1921" t="s">
        <v>61</v>
      </c>
      <c r="AJ1921" t="s">
        <v>69</v>
      </c>
      <c r="AY1921" t="s">
        <v>168</v>
      </c>
      <c r="AZ1921">
        <v>8096</v>
      </c>
      <c r="BA1921" t="s">
        <v>169</v>
      </c>
      <c r="BB1921" t="s">
        <v>170</v>
      </c>
      <c r="BC1921">
        <v>1966</v>
      </c>
      <c r="BD1921" t="s">
        <v>90</v>
      </c>
    </row>
    <row r="1922" spans="1:56" x14ac:dyDescent="0.35">
      <c r="A1922">
        <v>563122</v>
      </c>
      <c r="B1922" t="s">
        <v>1503</v>
      </c>
      <c r="E1922">
        <v>100</v>
      </c>
      <c r="F1922" t="s">
        <v>58</v>
      </c>
      <c r="G1922" t="s">
        <v>59</v>
      </c>
      <c r="H1922" t="s">
        <v>60</v>
      </c>
      <c r="I1922" t="s">
        <v>705</v>
      </c>
      <c r="J1922" t="s">
        <v>86</v>
      </c>
      <c r="L1922" t="s">
        <v>62</v>
      </c>
      <c r="M1922" t="s">
        <v>63</v>
      </c>
      <c r="N1922" t="s">
        <v>64</v>
      </c>
      <c r="P1922" t="s">
        <v>65</v>
      </c>
      <c r="R1922">
        <v>0.72</v>
      </c>
      <c r="W1922" t="s">
        <v>66</v>
      </c>
      <c r="X1922" t="s">
        <v>67</v>
      </c>
      <c r="Y1922" t="s">
        <v>67</v>
      </c>
      <c r="Z1922" t="s">
        <v>68</v>
      </c>
      <c r="AB1922">
        <v>4</v>
      </c>
      <c r="AC1922" t="s">
        <v>61</v>
      </c>
      <c r="AJ1922" t="s">
        <v>69</v>
      </c>
      <c r="AY1922" t="s">
        <v>116</v>
      </c>
      <c r="AZ1922">
        <v>344</v>
      </c>
      <c r="BA1922" t="s">
        <v>117</v>
      </c>
      <c r="BB1922" t="s">
        <v>118</v>
      </c>
      <c r="BC1922">
        <v>1992</v>
      </c>
      <c r="BD1922" t="s">
        <v>90</v>
      </c>
    </row>
    <row r="1923" spans="1:56" x14ac:dyDescent="0.35">
      <c r="A1923">
        <v>563804</v>
      </c>
      <c r="B1923" t="s">
        <v>1504</v>
      </c>
      <c r="D1923" t="s">
        <v>57</v>
      </c>
      <c r="E1923">
        <v>98</v>
      </c>
      <c r="F1923" t="s">
        <v>58</v>
      </c>
      <c r="G1923" t="s">
        <v>59</v>
      </c>
      <c r="H1923" t="s">
        <v>60</v>
      </c>
      <c r="J1923">
        <v>30</v>
      </c>
      <c r="K1923" t="s">
        <v>61</v>
      </c>
      <c r="L1923" t="s">
        <v>74</v>
      </c>
      <c r="M1923" t="s">
        <v>63</v>
      </c>
      <c r="N1923" t="s">
        <v>64</v>
      </c>
      <c r="P1923" t="s">
        <v>65</v>
      </c>
      <c r="R1923">
        <v>864</v>
      </c>
      <c r="T1923">
        <v>813</v>
      </c>
      <c r="V1923">
        <v>918</v>
      </c>
      <c r="W1923" t="s">
        <v>66</v>
      </c>
      <c r="X1923" t="s">
        <v>67</v>
      </c>
      <c r="Y1923" t="s">
        <v>67</v>
      </c>
      <c r="Z1923" t="s">
        <v>68</v>
      </c>
      <c r="AB1923">
        <v>4</v>
      </c>
      <c r="AC1923" t="s">
        <v>61</v>
      </c>
      <c r="AJ1923" t="s">
        <v>69</v>
      </c>
      <c r="AY1923" t="s">
        <v>286</v>
      </c>
      <c r="AZ1923">
        <v>12448</v>
      </c>
      <c r="BA1923" t="s">
        <v>287</v>
      </c>
      <c r="BB1923" t="s">
        <v>288</v>
      </c>
      <c r="BC1923">
        <v>1984</v>
      </c>
      <c r="BD1923" t="s">
        <v>73</v>
      </c>
    </row>
    <row r="1924" spans="1:56" x14ac:dyDescent="0.35">
      <c r="A1924">
        <v>569642</v>
      </c>
      <c r="B1924" t="s">
        <v>1505</v>
      </c>
      <c r="D1924" t="s">
        <v>85</v>
      </c>
      <c r="E1924" t="s">
        <v>86</v>
      </c>
      <c r="F1924" t="s">
        <v>58</v>
      </c>
      <c r="G1924" t="s">
        <v>59</v>
      </c>
      <c r="H1924" t="s">
        <v>60</v>
      </c>
      <c r="J1924" t="s">
        <v>86</v>
      </c>
      <c r="L1924" t="s">
        <v>62</v>
      </c>
      <c r="M1924" t="s">
        <v>63</v>
      </c>
      <c r="N1924" t="s">
        <v>64</v>
      </c>
      <c r="P1924" t="s">
        <v>100</v>
      </c>
      <c r="R1924">
        <v>0.12</v>
      </c>
      <c r="W1924" t="s">
        <v>66</v>
      </c>
      <c r="X1924" t="s">
        <v>67</v>
      </c>
      <c r="Y1924" t="s">
        <v>67</v>
      </c>
      <c r="Z1924" t="s">
        <v>68</v>
      </c>
      <c r="AB1924">
        <v>4</v>
      </c>
      <c r="AC1924" t="s">
        <v>61</v>
      </c>
      <c r="AJ1924" t="s">
        <v>69</v>
      </c>
      <c r="AY1924" t="s">
        <v>1243</v>
      </c>
      <c r="AZ1924">
        <v>5789</v>
      </c>
      <c r="BA1924" t="s">
        <v>1244</v>
      </c>
      <c r="BB1924" t="s">
        <v>1245</v>
      </c>
      <c r="BC1924">
        <v>1974</v>
      </c>
      <c r="BD1924" t="s">
        <v>90</v>
      </c>
    </row>
    <row r="1925" spans="1:56" x14ac:dyDescent="0.35">
      <c r="A1925">
        <v>569642</v>
      </c>
      <c r="B1925" t="s">
        <v>1505</v>
      </c>
      <c r="D1925" t="s">
        <v>85</v>
      </c>
      <c r="E1925">
        <v>15</v>
      </c>
      <c r="F1925" t="s">
        <v>58</v>
      </c>
      <c r="G1925" t="s">
        <v>59</v>
      </c>
      <c r="H1925" t="s">
        <v>60</v>
      </c>
      <c r="J1925" t="s">
        <v>86</v>
      </c>
      <c r="L1925" t="s">
        <v>62</v>
      </c>
      <c r="M1925" t="s">
        <v>63</v>
      </c>
      <c r="N1925" t="s">
        <v>64</v>
      </c>
      <c r="P1925" t="s">
        <v>100</v>
      </c>
      <c r="R1925">
        <v>0.12</v>
      </c>
      <c r="W1925" t="s">
        <v>66</v>
      </c>
      <c r="X1925" t="s">
        <v>67</v>
      </c>
      <c r="Y1925" t="s">
        <v>67</v>
      </c>
      <c r="Z1925" t="s">
        <v>68</v>
      </c>
      <c r="AB1925">
        <v>4</v>
      </c>
      <c r="AC1925" t="s">
        <v>61</v>
      </c>
      <c r="AJ1925" t="s">
        <v>69</v>
      </c>
      <c r="AY1925" t="s">
        <v>1246</v>
      </c>
      <c r="AZ1925">
        <v>6969</v>
      </c>
      <c r="BA1925" t="s">
        <v>1247</v>
      </c>
      <c r="BB1925" t="s">
        <v>1248</v>
      </c>
      <c r="BC1925">
        <v>1973</v>
      </c>
      <c r="BD1925" t="s">
        <v>90</v>
      </c>
    </row>
    <row r="1926" spans="1:56" x14ac:dyDescent="0.35">
      <c r="A1926">
        <v>570241</v>
      </c>
      <c r="B1926" t="s">
        <v>1506</v>
      </c>
      <c r="D1926" t="s">
        <v>85</v>
      </c>
      <c r="E1926" t="s">
        <v>86</v>
      </c>
      <c r="F1926" t="s">
        <v>58</v>
      </c>
      <c r="G1926" t="s">
        <v>59</v>
      </c>
      <c r="H1926" t="s">
        <v>60</v>
      </c>
      <c r="I1926" t="s">
        <v>129</v>
      </c>
      <c r="J1926" t="s">
        <v>86</v>
      </c>
      <c r="L1926" t="s">
        <v>62</v>
      </c>
      <c r="M1926" t="s">
        <v>63</v>
      </c>
      <c r="N1926" t="s">
        <v>64</v>
      </c>
      <c r="P1926" t="s">
        <v>65</v>
      </c>
      <c r="R1926">
        <v>24.3</v>
      </c>
      <c r="T1926">
        <v>16.100000000000001</v>
      </c>
      <c r="V1926">
        <v>32.200000000000003</v>
      </c>
      <c r="W1926" t="s">
        <v>66</v>
      </c>
      <c r="X1926" t="s">
        <v>67</v>
      </c>
      <c r="Y1926" t="s">
        <v>67</v>
      </c>
      <c r="Z1926" t="s">
        <v>68</v>
      </c>
      <c r="AB1926">
        <v>4</v>
      </c>
      <c r="AC1926" t="s">
        <v>61</v>
      </c>
      <c r="AJ1926" t="s">
        <v>69</v>
      </c>
      <c r="AY1926" t="s">
        <v>718</v>
      </c>
      <c r="AZ1926">
        <v>10141</v>
      </c>
      <c r="BA1926" t="s">
        <v>719</v>
      </c>
      <c r="BB1926" t="s">
        <v>720</v>
      </c>
      <c r="BC1926">
        <v>1983</v>
      </c>
      <c r="BD1926" t="s">
        <v>721</v>
      </c>
    </row>
    <row r="1927" spans="1:56" x14ac:dyDescent="0.35">
      <c r="A1927">
        <v>573568</v>
      </c>
      <c r="B1927" t="s">
        <v>1507</v>
      </c>
      <c r="D1927" t="s">
        <v>57</v>
      </c>
      <c r="E1927">
        <v>80</v>
      </c>
      <c r="F1927" t="s">
        <v>58</v>
      </c>
      <c r="G1927" t="s">
        <v>59</v>
      </c>
      <c r="H1927" t="s">
        <v>60</v>
      </c>
      <c r="J1927">
        <v>29</v>
      </c>
      <c r="K1927" t="s">
        <v>61</v>
      </c>
      <c r="L1927" t="s">
        <v>74</v>
      </c>
      <c r="M1927" t="s">
        <v>63</v>
      </c>
      <c r="N1927" t="s">
        <v>64</v>
      </c>
      <c r="P1927" t="s">
        <v>65</v>
      </c>
      <c r="R1927">
        <v>39.700000000000003</v>
      </c>
      <c r="T1927">
        <v>35.5</v>
      </c>
      <c r="V1927">
        <v>44.4</v>
      </c>
      <c r="W1927" t="s">
        <v>66</v>
      </c>
      <c r="X1927" t="s">
        <v>67</v>
      </c>
      <c r="Y1927" t="s">
        <v>67</v>
      </c>
      <c r="Z1927" t="s">
        <v>68</v>
      </c>
      <c r="AB1927">
        <v>4</v>
      </c>
      <c r="AC1927" t="s">
        <v>61</v>
      </c>
      <c r="AJ1927" t="s">
        <v>69</v>
      </c>
      <c r="AY1927" t="s">
        <v>75</v>
      </c>
      <c r="AZ1927">
        <v>3217</v>
      </c>
      <c r="BA1927" t="s">
        <v>76</v>
      </c>
      <c r="BB1927" t="s">
        <v>77</v>
      </c>
      <c r="BC1927">
        <v>1990</v>
      </c>
      <c r="BD1927" t="s">
        <v>73</v>
      </c>
    </row>
    <row r="1928" spans="1:56" x14ac:dyDescent="0.35">
      <c r="A1928">
        <v>573568</v>
      </c>
      <c r="B1928" t="s">
        <v>1507</v>
      </c>
      <c r="D1928" t="s">
        <v>57</v>
      </c>
      <c r="E1928" t="s">
        <v>128</v>
      </c>
      <c r="F1928" t="s">
        <v>58</v>
      </c>
      <c r="G1928" t="s">
        <v>59</v>
      </c>
      <c r="H1928" t="s">
        <v>60</v>
      </c>
      <c r="I1928" t="s">
        <v>129</v>
      </c>
      <c r="J1928" t="s">
        <v>86</v>
      </c>
      <c r="K1928" t="s">
        <v>61</v>
      </c>
      <c r="L1928" t="s">
        <v>74</v>
      </c>
      <c r="M1928" t="s">
        <v>63</v>
      </c>
      <c r="N1928" t="s">
        <v>64</v>
      </c>
      <c r="P1928" t="s">
        <v>65</v>
      </c>
      <c r="R1928">
        <v>39.700000000000003</v>
      </c>
      <c r="W1928" t="s">
        <v>66</v>
      </c>
      <c r="X1928" t="s">
        <v>67</v>
      </c>
      <c r="Y1928" t="s">
        <v>67</v>
      </c>
      <c r="Z1928" t="s">
        <v>68</v>
      </c>
      <c r="AB1928">
        <v>4</v>
      </c>
      <c r="AC1928" t="s">
        <v>61</v>
      </c>
      <c r="AJ1928" t="s">
        <v>69</v>
      </c>
      <c r="AY1928" t="s">
        <v>134</v>
      </c>
      <c r="AZ1928">
        <v>15031</v>
      </c>
      <c r="BA1928" t="s">
        <v>135</v>
      </c>
      <c r="BB1928" t="s">
        <v>136</v>
      </c>
      <c r="BC1928">
        <v>1995</v>
      </c>
      <c r="BD1928" t="s">
        <v>133</v>
      </c>
    </row>
    <row r="1929" spans="1:56" x14ac:dyDescent="0.35">
      <c r="A1929">
        <v>576261</v>
      </c>
      <c r="B1929" t="s">
        <v>1508</v>
      </c>
      <c r="D1929" t="s">
        <v>57</v>
      </c>
      <c r="E1929" t="s">
        <v>86</v>
      </c>
      <c r="F1929" t="s">
        <v>58</v>
      </c>
      <c r="G1929" t="s">
        <v>59</v>
      </c>
      <c r="H1929" t="s">
        <v>60</v>
      </c>
      <c r="J1929" t="s">
        <v>86</v>
      </c>
      <c r="K1929" t="s">
        <v>61</v>
      </c>
      <c r="L1929" t="s">
        <v>74</v>
      </c>
      <c r="M1929" t="s">
        <v>63</v>
      </c>
      <c r="N1929" t="s">
        <v>64</v>
      </c>
      <c r="P1929" t="s">
        <v>65</v>
      </c>
      <c r="Q1929" t="s">
        <v>153</v>
      </c>
      <c r="R1929">
        <v>27</v>
      </c>
      <c r="W1929" t="s">
        <v>66</v>
      </c>
      <c r="X1929" t="s">
        <v>67</v>
      </c>
      <c r="Y1929" t="s">
        <v>67</v>
      </c>
      <c r="Z1929" t="s">
        <v>68</v>
      </c>
      <c r="AB1929">
        <v>4</v>
      </c>
      <c r="AC1929" t="s">
        <v>61</v>
      </c>
      <c r="AJ1929" t="s">
        <v>69</v>
      </c>
      <c r="AY1929" t="s">
        <v>124</v>
      </c>
      <c r="AZ1929">
        <v>2189</v>
      </c>
      <c r="BA1929" t="s">
        <v>125</v>
      </c>
      <c r="BB1929" t="s">
        <v>126</v>
      </c>
      <c r="BC1929">
        <v>1981</v>
      </c>
      <c r="BD1929" t="s">
        <v>127</v>
      </c>
    </row>
    <row r="1930" spans="1:56" x14ac:dyDescent="0.35">
      <c r="A1930">
        <v>578461</v>
      </c>
      <c r="B1930" t="s">
        <v>1509</v>
      </c>
      <c r="D1930" t="s">
        <v>85</v>
      </c>
      <c r="E1930" t="s">
        <v>86</v>
      </c>
      <c r="F1930" t="s">
        <v>58</v>
      </c>
      <c r="G1930" t="s">
        <v>59</v>
      </c>
      <c r="H1930" t="s">
        <v>60</v>
      </c>
      <c r="I1930" t="s">
        <v>129</v>
      </c>
      <c r="J1930" t="s">
        <v>86</v>
      </c>
      <c r="L1930" t="s">
        <v>62</v>
      </c>
      <c r="M1930" t="s">
        <v>63</v>
      </c>
      <c r="N1930" t="s">
        <v>64</v>
      </c>
      <c r="P1930" t="s">
        <v>100</v>
      </c>
      <c r="R1930">
        <v>25.5</v>
      </c>
      <c r="W1930" t="s">
        <v>66</v>
      </c>
      <c r="X1930" t="s">
        <v>67</v>
      </c>
      <c r="Y1930" t="s">
        <v>67</v>
      </c>
      <c r="Z1930" t="s">
        <v>68</v>
      </c>
      <c r="AB1930">
        <v>4</v>
      </c>
      <c r="AC1930" t="s">
        <v>61</v>
      </c>
      <c r="AJ1930" t="s">
        <v>69</v>
      </c>
      <c r="AY1930" t="s">
        <v>722</v>
      </c>
      <c r="AZ1930">
        <v>5087</v>
      </c>
      <c r="BA1930" t="s">
        <v>723</v>
      </c>
      <c r="BB1930" t="s">
        <v>724</v>
      </c>
      <c r="BC1930">
        <v>1979</v>
      </c>
      <c r="BD1930" t="s">
        <v>90</v>
      </c>
    </row>
    <row r="1931" spans="1:56" x14ac:dyDescent="0.35">
      <c r="A1931">
        <v>578461</v>
      </c>
      <c r="B1931" t="s">
        <v>1509</v>
      </c>
      <c r="D1931" t="s">
        <v>85</v>
      </c>
      <c r="E1931" t="s">
        <v>86</v>
      </c>
      <c r="F1931" t="s">
        <v>58</v>
      </c>
      <c r="G1931" t="s">
        <v>59</v>
      </c>
      <c r="H1931" t="s">
        <v>60</v>
      </c>
      <c r="I1931" t="s">
        <v>129</v>
      </c>
      <c r="J1931" t="s">
        <v>86</v>
      </c>
      <c r="L1931" t="s">
        <v>62</v>
      </c>
      <c r="M1931" t="s">
        <v>63</v>
      </c>
      <c r="N1931" t="s">
        <v>64</v>
      </c>
      <c r="P1931" t="s">
        <v>65</v>
      </c>
      <c r="R1931">
        <v>24.2</v>
      </c>
      <c r="T1931">
        <v>21.8</v>
      </c>
      <c r="V1931">
        <v>27.4</v>
      </c>
      <c r="W1931" t="s">
        <v>66</v>
      </c>
      <c r="X1931" t="s">
        <v>67</v>
      </c>
      <c r="Y1931" t="s">
        <v>67</v>
      </c>
      <c r="Z1931" t="s">
        <v>68</v>
      </c>
      <c r="AB1931">
        <v>4</v>
      </c>
      <c r="AC1931" t="s">
        <v>61</v>
      </c>
      <c r="AJ1931" t="s">
        <v>69</v>
      </c>
      <c r="AY1931" t="s">
        <v>718</v>
      </c>
      <c r="AZ1931">
        <v>10141</v>
      </c>
      <c r="BA1931" t="s">
        <v>719</v>
      </c>
      <c r="BB1931" t="s">
        <v>720</v>
      </c>
      <c r="BC1931">
        <v>1983</v>
      </c>
      <c r="BD1931" t="s">
        <v>721</v>
      </c>
    </row>
    <row r="1932" spans="1:56" x14ac:dyDescent="0.35">
      <c r="A1932">
        <v>583539</v>
      </c>
      <c r="B1932" t="s">
        <v>1510</v>
      </c>
      <c r="D1932" t="s">
        <v>57</v>
      </c>
      <c r="E1932" t="s">
        <v>407</v>
      </c>
      <c r="F1932" t="s">
        <v>58</v>
      </c>
      <c r="G1932" t="s">
        <v>59</v>
      </c>
      <c r="H1932" t="s">
        <v>60</v>
      </c>
      <c r="J1932">
        <v>3</v>
      </c>
      <c r="K1932" t="s">
        <v>320</v>
      </c>
      <c r="L1932" t="s">
        <v>190</v>
      </c>
      <c r="M1932" t="s">
        <v>63</v>
      </c>
      <c r="N1932" t="s">
        <v>64</v>
      </c>
      <c r="P1932" t="s">
        <v>65</v>
      </c>
      <c r="R1932">
        <v>4.1047609200000004</v>
      </c>
      <c r="T1932">
        <v>3.3262717799999999</v>
      </c>
      <c r="V1932">
        <v>5.0483841199999997</v>
      </c>
      <c r="W1932" t="s">
        <v>66</v>
      </c>
      <c r="X1932" t="s">
        <v>67</v>
      </c>
      <c r="Y1932" t="s">
        <v>67</v>
      </c>
      <c r="Z1932" t="s">
        <v>68</v>
      </c>
      <c r="AB1932">
        <v>4</v>
      </c>
      <c r="AC1932" t="s">
        <v>61</v>
      </c>
      <c r="AJ1932" t="s">
        <v>69</v>
      </c>
      <c r="AY1932" t="s">
        <v>815</v>
      </c>
      <c r="AZ1932">
        <v>7257</v>
      </c>
      <c r="BA1932" t="s">
        <v>816</v>
      </c>
      <c r="BB1932" t="s">
        <v>817</v>
      </c>
      <c r="BC1932">
        <v>1993</v>
      </c>
      <c r="BD1932" t="s">
        <v>324</v>
      </c>
    </row>
    <row r="1933" spans="1:56" x14ac:dyDescent="0.35">
      <c r="A1933">
        <v>583539</v>
      </c>
      <c r="B1933" t="s">
        <v>1510</v>
      </c>
      <c r="D1933" t="s">
        <v>57</v>
      </c>
      <c r="E1933">
        <v>98</v>
      </c>
      <c r="F1933" t="s">
        <v>58</v>
      </c>
      <c r="G1933" t="s">
        <v>59</v>
      </c>
      <c r="H1933" t="s">
        <v>60</v>
      </c>
      <c r="J1933">
        <v>33</v>
      </c>
      <c r="K1933" t="s">
        <v>61</v>
      </c>
      <c r="L1933" t="s">
        <v>74</v>
      </c>
      <c r="M1933" t="s">
        <v>63</v>
      </c>
      <c r="N1933" t="s">
        <v>64</v>
      </c>
      <c r="P1933" t="s">
        <v>65</v>
      </c>
      <c r="R1933">
        <v>4.05</v>
      </c>
      <c r="T1933">
        <v>3.35</v>
      </c>
      <c r="V1933">
        <v>4.8899999999999997</v>
      </c>
      <c r="W1933" t="s">
        <v>66</v>
      </c>
      <c r="X1933" t="s">
        <v>67</v>
      </c>
      <c r="Y1933" t="s">
        <v>67</v>
      </c>
      <c r="Z1933" t="s">
        <v>68</v>
      </c>
      <c r="AB1933">
        <v>4</v>
      </c>
      <c r="AC1933" t="s">
        <v>61</v>
      </c>
      <c r="AJ1933" t="s">
        <v>69</v>
      </c>
      <c r="AY1933" t="s">
        <v>80</v>
      </c>
      <c r="AZ1933">
        <v>12859</v>
      </c>
      <c r="BA1933" t="s">
        <v>81</v>
      </c>
      <c r="BB1933" t="s">
        <v>82</v>
      </c>
      <c r="BC1933">
        <v>1988</v>
      </c>
      <c r="BD1933" t="s">
        <v>73</v>
      </c>
    </row>
    <row r="1934" spans="1:56" x14ac:dyDescent="0.35">
      <c r="A1934">
        <v>584087</v>
      </c>
      <c r="B1934" t="s">
        <v>1511</v>
      </c>
      <c r="C1934" t="s">
        <v>195</v>
      </c>
      <c r="D1934" t="s">
        <v>85</v>
      </c>
      <c r="E1934" t="s">
        <v>86</v>
      </c>
      <c r="F1934" t="s">
        <v>58</v>
      </c>
      <c r="G1934" t="s">
        <v>59</v>
      </c>
      <c r="H1934" t="s">
        <v>60</v>
      </c>
      <c r="J1934" t="s">
        <v>86</v>
      </c>
      <c r="K1934" t="s">
        <v>61</v>
      </c>
      <c r="L1934" t="s">
        <v>62</v>
      </c>
      <c r="M1934" t="s">
        <v>63</v>
      </c>
      <c r="N1934" t="s">
        <v>64</v>
      </c>
      <c r="P1934" t="s">
        <v>201</v>
      </c>
      <c r="Q1934" t="s">
        <v>435</v>
      </c>
      <c r="R1934">
        <v>510</v>
      </c>
      <c r="S1934" t="s">
        <v>435</v>
      </c>
      <c r="T1934">
        <v>310</v>
      </c>
      <c r="V1934">
        <v>750</v>
      </c>
      <c r="W1934" t="s">
        <v>66</v>
      </c>
      <c r="X1934" t="s">
        <v>67</v>
      </c>
      <c r="Y1934" t="s">
        <v>67</v>
      </c>
      <c r="Z1934" t="s">
        <v>68</v>
      </c>
      <c r="AB1934">
        <v>4</v>
      </c>
      <c r="AC1934" t="s">
        <v>61</v>
      </c>
      <c r="AJ1934" t="s">
        <v>69</v>
      </c>
      <c r="AY1934" t="s">
        <v>1456</v>
      </c>
      <c r="AZ1934">
        <v>18272</v>
      </c>
      <c r="BA1934" t="s">
        <v>1457</v>
      </c>
      <c r="BB1934" t="s">
        <v>1458</v>
      </c>
      <c r="BC1934">
        <v>1997</v>
      </c>
      <c r="BD1934" t="s">
        <v>1459</v>
      </c>
    </row>
    <row r="1935" spans="1:56" x14ac:dyDescent="0.35">
      <c r="A1935">
        <v>584792</v>
      </c>
      <c r="B1935" t="s">
        <v>1512</v>
      </c>
      <c r="E1935">
        <v>90</v>
      </c>
      <c r="F1935" t="s">
        <v>58</v>
      </c>
      <c r="G1935" t="s">
        <v>59</v>
      </c>
      <c r="H1935" t="s">
        <v>60</v>
      </c>
      <c r="J1935" t="s">
        <v>86</v>
      </c>
      <c r="L1935" t="s">
        <v>74</v>
      </c>
      <c r="M1935" t="s">
        <v>63</v>
      </c>
      <c r="N1935" t="s">
        <v>64</v>
      </c>
      <c r="P1935" t="s">
        <v>65</v>
      </c>
      <c r="R1935">
        <v>6.9000000000000006E-2</v>
      </c>
      <c r="T1935">
        <v>5.3800000000000001E-2</v>
      </c>
      <c r="V1935">
        <v>8.8400000000000006E-2</v>
      </c>
      <c r="W1935" t="s">
        <v>66</v>
      </c>
      <c r="X1935" t="s">
        <v>67</v>
      </c>
      <c r="Y1935" t="s">
        <v>67</v>
      </c>
      <c r="Z1935" t="s">
        <v>68</v>
      </c>
      <c r="AB1935">
        <v>4</v>
      </c>
      <c r="AC1935" t="s">
        <v>61</v>
      </c>
      <c r="AJ1935" t="s">
        <v>69</v>
      </c>
      <c r="AY1935" t="s">
        <v>96</v>
      </c>
      <c r="AZ1935">
        <v>6797</v>
      </c>
      <c r="BA1935" t="s">
        <v>97</v>
      </c>
      <c r="BB1935" t="s">
        <v>98</v>
      </c>
      <c r="BC1935">
        <v>1986</v>
      </c>
      <c r="BD1935" t="s">
        <v>90</v>
      </c>
    </row>
    <row r="1936" spans="1:56" x14ac:dyDescent="0.35">
      <c r="A1936">
        <v>584792</v>
      </c>
      <c r="B1936" t="s">
        <v>1512</v>
      </c>
      <c r="E1936">
        <v>98</v>
      </c>
      <c r="F1936" t="s">
        <v>58</v>
      </c>
      <c r="G1936" t="s">
        <v>59</v>
      </c>
      <c r="H1936" t="s">
        <v>60</v>
      </c>
      <c r="J1936" t="s">
        <v>86</v>
      </c>
      <c r="L1936" t="s">
        <v>74</v>
      </c>
      <c r="M1936" t="s">
        <v>63</v>
      </c>
      <c r="N1936" t="s">
        <v>64</v>
      </c>
      <c r="P1936" t="s">
        <v>65</v>
      </c>
      <c r="R1936">
        <v>5.2999999999999999E-2</v>
      </c>
      <c r="T1936">
        <v>3.5799999999999998E-2</v>
      </c>
      <c r="V1936">
        <v>7.8299999999999995E-2</v>
      </c>
      <c r="W1936" t="s">
        <v>66</v>
      </c>
      <c r="X1936" t="s">
        <v>67</v>
      </c>
      <c r="Y1936" t="s">
        <v>67</v>
      </c>
      <c r="Z1936" t="s">
        <v>68</v>
      </c>
      <c r="AB1936">
        <v>4</v>
      </c>
      <c r="AC1936" t="s">
        <v>61</v>
      </c>
      <c r="AJ1936" t="s">
        <v>69</v>
      </c>
      <c r="AY1936" t="s">
        <v>96</v>
      </c>
      <c r="AZ1936">
        <v>6797</v>
      </c>
      <c r="BA1936" t="s">
        <v>97</v>
      </c>
      <c r="BB1936" t="s">
        <v>98</v>
      </c>
      <c r="BC1936">
        <v>1986</v>
      </c>
      <c r="BD1936" t="s">
        <v>90</v>
      </c>
    </row>
    <row r="1937" spans="1:56" x14ac:dyDescent="0.35">
      <c r="A1937">
        <v>584792</v>
      </c>
      <c r="B1937" t="s">
        <v>1512</v>
      </c>
      <c r="E1937">
        <v>90</v>
      </c>
      <c r="F1937" t="s">
        <v>58</v>
      </c>
      <c r="G1937" t="s">
        <v>59</v>
      </c>
      <c r="H1937" t="s">
        <v>60</v>
      </c>
      <c r="J1937" t="s">
        <v>86</v>
      </c>
      <c r="L1937" t="s">
        <v>74</v>
      </c>
      <c r="M1937" t="s">
        <v>63</v>
      </c>
      <c r="N1937" t="s">
        <v>64</v>
      </c>
      <c r="P1937" t="s">
        <v>65</v>
      </c>
      <c r="R1937">
        <v>4.8000000000000001E-2</v>
      </c>
      <c r="T1937">
        <v>3.49E-2</v>
      </c>
      <c r="V1937">
        <v>6.6000000000000003E-2</v>
      </c>
      <c r="W1937" t="s">
        <v>66</v>
      </c>
      <c r="X1937" t="s">
        <v>67</v>
      </c>
      <c r="Y1937" t="s">
        <v>67</v>
      </c>
      <c r="Z1937" t="s">
        <v>68</v>
      </c>
      <c r="AB1937">
        <v>4</v>
      </c>
      <c r="AC1937" t="s">
        <v>61</v>
      </c>
      <c r="AJ1937" t="s">
        <v>69</v>
      </c>
      <c r="AY1937" t="s">
        <v>96</v>
      </c>
      <c r="AZ1937">
        <v>6797</v>
      </c>
      <c r="BA1937" t="s">
        <v>97</v>
      </c>
      <c r="BB1937" t="s">
        <v>98</v>
      </c>
      <c r="BC1937">
        <v>1986</v>
      </c>
      <c r="BD1937" t="s">
        <v>90</v>
      </c>
    </row>
    <row r="1938" spans="1:56" x14ac:dyDescent="0.35">
      <c r="A1938">
        <v>584792</v>
      </c>
      <c r="B1938" t="s">
        <v>1512</v>
      </c>
      <c r="E1938">
        <v>98</v>
      </c>
      <c r="F1938" t="s">
        <v>58</v>
      </c>
      <c r="G1938" t="s">
        <v>59</v>
      </c>
      <c r="H1938" t="s">
        <v>60</v>
      </c>
      <c r="J1938" t="s">
        <v>86</v>
      </c>
      <c r="L1938" t="s">
        <v>62</v>
      </c>
      <c r="M1938" t="s">
        <v>63</v>
      </c>
      <c r="N1938" t="s">
        <v>64</v>
      </c>
      <c r="P1938" t="s">
        <v>65</v>
      </c>
      <c r="R1938">
        <v>0.08</v>
      </c>
      <c r="T1938">
        <v>6.59E-2</v>
      </c>
      <c r="V1938">
        <v>9.7100000000000006E-2</v>
      </c>
      <c r="W1938" t="s">
        <v>66</v>
      </c>
      <c r="X1938" t="s">
        <v>67</v>
      </c>
      <c r="Y1938" t="s">
        <v>67</v>
      </c>
      <c r="Z1938" t="s">
        <v>68</v>
      </c>
      <c r="AB1938">
        <v>4</v>
      </c>
      <c r="AC1938" t="s">
        <v>61</v>
      </c>
      <c r="AJ1938" t="s">
        <v>69</v>
      </c>
      <c r="AY1938" t="s">
        <v>96</v>
      </c>
      <c r="AZ1938">
        <v>6797</v>
      </c>
      <c r="BA1938" t="s">
        <v>97</v>
      </c>
      <c r="BB1938" t="s">
        <v>98</v>
      </c>
      <c r="BC1938">
        <v>1986</v>
      </c>
      <c r="BD1938" t="s">
        <v>90</v>
      </c>
    </row>
    <row r="1939" spans="1:56" x14ac:dyDescent="0.35">
      <c r="A1939">
        <v>584849</v>
      </c>
      <c r="B1939" t="s">
        <v>1513</v>
      </c>
      <c r="D1939" t="s">
        <v>57</v>
      </c>
      <c r="E1939" t="s">
        <v>86</v>
      </c>
      <c r="F1939" t="s">
        <v>58</v>
      </c>
      <c r="G1939" t="s">
        <v>59</v>
      </c>
      <c r="H1939" t="s">
        <v>60</v>
      </c>
      <c r="J1939" t="s">
        <v>86</v>
      </c>
      <c r="L1939" t="s">
        <v>62</v>
      </c>
      <c r="M1939" t="s">
        <v>63</v>
      </c>
      <c r="N1939" t="s">
        <v>64</v>
      </c>
      <c r="O1939" t="s">
        <v>267</v>
      </c>
      <c r="P1939" t="s">
        <v>65</v>
      </c>
      <c r="R1939">
        <v>164.5</v>
      </c>
      <c r="T1939">
        <v>108.8</v>
      </c>
      <c r="V1939">
        <v>240.4</v>
      </c>
      <c r="W1939" t="s">
        <v>66</v>
      </c>
      <c r="X1939" t="s">
        <v>67</v>
      </c>
      <c r="Y1939" t="s">
        <v>67</v>
      </c>
      <c r="Z1939" t="s">
        <v>68</v>
      </c>
      <c r="AB1939">
        <v>4</v>
      </c>
      <c r="AC1939" t="s">
        <v>61</v>
      </c>
      <c r="AJ1939" t="s">
        <v>69</v>
      </c>
      <c r="AY1939" t="s">
        <v>268</v>
      </c>
      <c r="AZ1939">
        <v>2965</v>
      </c>
      <c r="BA1939" t="s">
        <v>269</v>
      </c>
      <c r="BB1939" t="s">
        <v>270</v>
      </c>
      <c r="BC1939">
        <v>1981</v>
      </c>
      <c r="BD1939" t="s">
        <v>90</v>
      </c>
    </row>
    <row r="1940" spans="1:56" x14ac:dyDescent="0.35">
      <c r="A1940">
        <v>584849</v>
      </c>
      <c r="B1940" t="s">
        <v>1513</v>
      </c>
      <c r="D1940" t="s">
        <v>57</v>
      </c>
      <c r="E1940" t="s">
        <v>86</v>
      </c>
      <c r="F1940" t="s">
        <v>58</v>
      </c>
      <c r="G1940" t="s">
        <v>59</v>
      </c>
      <c r="H1940" t="s">
        <v>60</v>
      </c>
      <c r="J1940" t="s">
        <v>86</v>
      </c>
      <c r="L1940" t="s">
        <v>62</v>
      </c>
      <c r="M1940" t="s">
        <v>63</v>
      </c>
      <c r="N1940" t="s">
        <v>64</v>
      </c>
      <c r="P1940" t="s">
        <v>65</v>
      </c>
      <c r="R1940">
        <v>164.5</v>
      </c>
      <c r="T1940">
        <v>108.8</v>
      </c>
      <c r="V1940">
        <v>240.4</v>
      </c>
      <c r="W1940" t="s">
        <v>66</v>
      </c>
      <c r="X1940" t="s">
        <v>67</v>
      </c>
      <c r="Y1940" t="s">
        <v>67</v>
      </c>
      <c r="Z1940" t="s">
        <v>68</v>
      </c>
      <c r="AB1940">
        <v>4</v>
      </c>
      <c r="AC1940" t="s">
        <v>61</v>
      </c>
      <c r="AJ1940" t="s">
        <v>69</v>
      </c>
      <c r="AY1940" t="s">
        <v>818</v>
      </c>
      <c r="AZ1940">
        <v>875</v>
      </c>
      <c r="BA1940" t="s">
        <v>819</v>
      </c>
      <c r="BB1940" t="s">
        <v>820</v>
      </c>
      <c r="BC1940">
        <v>1979</v>
      </c>
      <c r="BD1940" t="s">
        <v>90</v>
      </c>
    </row>
    <row r="1941" spans="1:56" x14ac:dyDescent="0.35">
      <c r="A1941">
        <v>584849</v>
      </c>
      <c r="B1941" t="s">
        <v>1513</v>
      </c>
      <c r="D1941" t="s">
        <v>57</v>
      </c>
      <c r="E1941" t="s">
        <v>86</v>
      </c>
      <c r="F1941" t="s">
        <v>58</v>
      </c>
      <c r="G1941" t="s">
        <v>59</v>
      </c>
      <c r="H1941" t="s">
        <v>60</v>
      </c>
      <c r="J1941" t="s">
        <v>86</v>
      </c>
      <c r="L1941" t="s">
        <v>62</v>
      </c>
      <c r="M1941" t="s">
        <v>63</v>
      </c>
      <c r="N1941" t="s">
        <v>64</v>
      </c>
      <c r="P1941" t="s">
        <v>65</v>
      </c>
      <c r="R1941">
        <v>164.5</v>
      </c>
      <c r="T1941">
        <v>108.8</v>
      </c>
      <c r="V1941">
        <v>240.4</v>
      </c>
      <c r="W1941" t="s">
        <v>66</v>
      </c>
      <c r="X1941" t="s">
        <v>67</v>
      </c>
      <c r="Y1941" t="s">
        <v>67</v>
      </c>
      <c r="Z1941" t="s">
        <v>68</v>
      </c>
      <c r="AB1941">
        <v>4</v>
      </c>
      <c r="AC1941" t="s">
        <v>61</v>
      </c>
      <c r="AJ1941" t="s">
        <v>69</v>
      </c>
      <c r="AY1941" t="s">
        <v>818</v>
      </c>
      <c r="AZ1941">
        <v>5735</v>
      </c>
      <c r="BA1941" t="s">
        <v>821</v>
      </c>
      <c r="BB1941" t="s">
        <v>822</v>
      </c>
      <c r="BC1941">
        <v>1978</v>
      </c>
      <c r="BD1941" t="s">
        <v>90</v>
      </c>
    </row>
    <row r="1942" spans="1:56" x14ac:dyDescent="0.35">
      <c r="A1942">
        <v>586629</v>
      </c>
      <c r="B1942" t="s">
        <v>1514</v>
      </c>
      <c r="D1942" t="s">
        <v>57</v>
      </c>
      <c r="E1942" t="s">
        <v>86</v>
      </c>
      <c r="F1942" t="s">
        <v>58</v>
      </c>
      <c r="G1942" t="s">
        <v>59</v>
      </c>
      <c r="H1942" t="s">
        <v>60</v>
      </c>
      <c r="I1942" t="s">
        <v>129</v>
      </c>
      <c r="J1942">
        <v>30</v>
      </c>
      <c r="K1942" t="s">
        <v>61</v>
      </c>
      <c r="L1942" t="s">
        <v>74</v>
      </c>
      <c r="M1942" t="s">
        <v>63</v>
      </c>
      <c r="N1942" t="s">
        <v>64</v>
      </c>
      <c r="O1942">
        <v>6</v>
      </c>
      <c r="P1942" t="s">
        <v>65</v>
      </c>
      <c r="R1942">
        <v>1.21</v>
      </c>
      <c r="T1942">
        <v>1.1100000000000001</v>
      </c>
      <c r="V1942">
        <v>1.33</v>
      </c>
      <c r="W1942" t="s">
        <v>66</v>
      </c>
      <c r="X1942" t="s">
        <v>67</v>
      </c>
      <c r="Y1942" t="s">
        <v>67</v>
      </c>
      <c r="Z1942" t="s">
        <v>68</v>
      </c>
      <c r="AB1942">
        <v>4</v>
      </c>
      <c r="AC1942" t="s">
        <v>61</v>
      </c>
      <c r="AJ1942" t="s">
        <v>69</v>
      </c>
      <c r="AY1942" t="s">
        <v>884</v>
      </c>
      <c r="AZ1942">
        <v>97161</v>
      </c>
      <c r="BA1942" t="s">
        <v>885</v>
      </c>
      <c r="BB1942" t="s">
        <v>886</v>
      </c>
      <c r="BC1942">
        <v>1990</v>
      </c>
      <c r="BD1942" t="s">
        <v>73</v>
      </c>
    </row>
    <row r="1943" spans="1:56" x14ac:dyDescent="0.35">
      <c r="A1943">
        <v>589093</v>
      </c>
      <c r="B1943" t="s">
        <v>1515</v>
      </c>
      <c r="D1943" t="s">
        <v>57</v>
      </c>
      <c r="E1943">
        <v>95</v>
      </c>
      <c r="F1943" t="s">
        <v>58</v>
      </c>
      <c r="G1943" t="s">
        <v>59</v>
      </c>
      <c r="H1943" t="s">
        <v>60</v>
      </c>
      <c r="J1943">
        <v>33</v>
      </c>
      <c r="K1943" t="s">
        <v>61</v>
      </c>
      <c r="L1943" t="s">
        <v>74</v>
      </c>
      <c r="M1943" t="s">
        <v>63</v>
      </c>
      <c r="N1943" t="s">
        <v>64</v>
      </c>
      <c r="P1943" t="s">
        <v>65</v>
      </c>
      <c r="R1943">
        <v>35.9</v>
      </c>
      <c r="W1943" t="s">
        <v>66</v>
      </c>
      <c r="X1943" t="s">
        <v>67</v>
      </c>
      <c r="Y1943" t="s">
        <v>67</v>
      </c>
      <c r="Z1943" t="s">
        <v>68</v>
      </c>
      <c r="AB1943">
        <v>4</v>
      </c>
      <c r="AC1943" t="s">
        <v>61</v>
      </c>
      <c r="AJ1943" t="s">
        <v>69</v>
      </c>
      <c r="AY1943" t="s">
        <v>286</v>
      </c>
      <c r="AZ1943">
        <v>12448</v>
      </c>
      <c r="BA1943" t="s">
        <v>287</v>
      </c>
      <c r="BB1943" t="s">
        <v>288</v>
      </c>
      <c r="BC1943">
        <v>1984</v>
      </c>
      <c r="BD1943" t="s">
        <v>73</v>
      </c>
    </row>
    <row r="1944" spans="1:56" x14ac:dyDescent="0.35">
      <c r="A1944">
        <v>589162</v>
      </c>
      <c r="B1944" t="s">
        <v>1516</v>
      </c>
      <c r="D1944" t="s">
        <v>57</v>
      </c>
      <c r="E1944" t="s">
        <v>79</v>
      </c>
      <c r="F1944" t="s">
        <v>58</v>
      </c>
      <c r="G1944" t="s">
        <v>59</v>
      </c>
      <c r="H1944" t="s">
        <v>60</v>
      </c>
      <c r="J1944">
        <v>32</v>
      </c>
      <c r="K1944" t="s">
        <v>61</v>
      </c>
      <c r="L1944" t="s">
        <v>74</v>
      </c>
      <c r="M1944" t="s">
        <v>63</v>
      </c>
      <c r="N1944" t="s">
        <v>64</v>
      </c>
      <c r="P1944" t="s">
        <v>65</v>
      </c>
      <c r="R1944">
        <v>73</v>
      </c>
      <c r="T1944">
        <v>65.8</v>
      </c>
      <c r="V1944">
        <v>81.099999999999994</v>
      </c>
      <c r="W1944" t="s">
        <v>66</v>
      </c>
      <c r="X1944" t="s">
        <v>67</v>
      </c>
      <c r="Y1944" t="s">
        <v>67</v>
      </c>
      <c r="Z1944" t="s">
        <v>68</v>
      </c>
      <c r="AB1944">
        <v>4</v>
      </c>
      <c r="AC1944" t="s">
        <v>61</v>
      </c>
      <c r="AJ1944" t="s">
        <v>69</v>
      </c>
      <c r="AY1944" t="s">
        <v>263</v>
      </c>
      <c r="AZ1944">
        <v>12858</v>
      </c>
      <c r="BA1944" t="s">
        <v>264</v>
      </c>
      <c r="BB1944" t="s">
        <v>265</v>
      </c>
      <c r="BC1944">
        <v>1986</v>
      </c>
      <c r="BD1944" t="s">
        <v>73</v>
      </c>
    </row>
    <row r="1945" spans="1:56" x14ac:dyDescent="0.35">
      <c r="A1945">
        <v>589162</v>
      </c>
      <c r="B1945" t="s">
        <v>1516</v>
      </c>
      <c r="D1945" t="s">
        <v>57</v>
      </c>
      <c r="E1945" t="s">
        <v>128</v>
      </c>
      <c r="F1945" t="s">
        <v>58</v>
      </c>
      <c r="G1945" t="s">
        <v>59</v>
      </c>
      <c r="H1945" t="s">
        <v>60</v>
      </c>
      <c r="I1945" t="s">
        <v>129</v>
      </c>
      <c r="J1945" t="s">
        <v>86</v>
      </c>
      <c r="K1945" t="s">
        <v>61</v>
      </c>
      <c r="L1945" t="s">
        <v>74</v>
      </c>
      <c r="M1945" t="s">
        <v>63</v>
      </c>
      <c r="N1945" t="s">
        <v>64</v>
      </c>
      <c r="P1945" t="s">
        <v>65</v>
      </c>
      <c r="R1945">
        <v>73</v>
      </c>
      <c r="W1945" t="s">
        <v>66</v>
      </c>
      <c r="X1945" t="s">
        <v>67</v>
      </c>
      <c r="Y1945" t="s">
        <v>67</v>
      </c>
      <c r="Z1945" t="s">
        <v>68</v>
      </c>
      <c r="AB1945">
        <v>4</v>
      </c>
      <c r="AC1945" t="s">
        <v>61</v>
      </c>
      <c r="AJ1945" t="s">
        <v>69</v>
      </c>
      <c r="AY1945" t="s">
        <v>134</v>
      </c>
      <c r="AZ1945">
        <v>15031</v>
      </c>
      <c r="BA1945" t="s">
        <v>135</v>
      </c>
      <c r="BB1945" t="s">
        <v>136</v>
      </c>
      <c r="BC1945">
        <v>1995</v>
      </c>
      <c r="BD1945" t="s">
        <v>133</v>
      </c>
    </row>
    <row r="1946" spans="1:56" x14ac:dyDescent="0.35">
      <c r="A1946">
        <v>590863</v>
      </c>
      <c r="B1946" t="s">
        <v>1517</v>
      </c>
      <c r="D1946" t="s">
        <v>57</v>
      </c>
      <c r="E1946">
        <v>97.3</v>
      </c>
      <c r="F1946" t="s">
        <v>58</v>
      </c>
      <c r="G1946" t="s">
        <v>59</v>
      </c>
      <c r="H1946" t="s">
        <v>60</v>
      </c>
      <c r="J1946">
        <v>30</v>
      </c>
      <c r="K1946" t="s">
        <v>61</v>
      </c>
      <c r="L1946" t="s">
        <v>74</v>
      </c>
      <c r="M1946" t="s">
        <v>63</v>
      </c>
      <c r="N1946" t="s">
        <v>64</v>
      </c>
      <c r="P1946" t="s">
        <v>65</v>
      </c>
      <c r="R1946">
        <v>3.25</v>
      </c>
      <c r="T1946">
        <v>2.98</v>
      </c>
      <c r="V1946">
        <v>3.54</v>
      </c>
      <c r="W1946" t="s">
        <v>66</v>
      </c>
      <c r="X1946" t="s">
        <v>67</v>
      </c>
      <c r="Y1946" t="s">
        <v>67</v>
      </c>
      <c r="Z1946" t="s">
        <v>68</v>
      </c>
      <c r="AB1946">
        <v>4</v>
      </c>
      <c r="AC1946" t="s">
        <v>61</v>
      </c>
      <c r="AJ1946" t="s">
        <v>69</v>
      </c>
      <c r="AY1946" t="s">
        <v>141</v>
      </c>
      <c r="AZ1946">
        <v>12447</v>
      </c>
      <c r="BA1946" t="s">
        <v>142</v>
      </c>
      <c r="BB1946" t="s">
        <v>143</v>
      </c>
      <c r="BC1946">
        <v>1985</v>
      </c>
      <c r="BD1946" t="s">
        <v>73</v>
      </c>
    </row>
    <row r="1947" spans="1:56" x14ac:dyDescent="0.35">
      <c r="A1947">
        <v>591786</v>
      </c>
      <c r="B1947" t="s">
        <v>1518</v>
      </c>
      <c r="D1947" t="s">
        <v>57</v>
      </c>
      <c r="E1947" t="s">
        <v>79</v>
      </c>
      <c r="F1947" t="s">
        <v>58</v>
      </c>
      <c r="G1947" t="s">
        <v>59</v>
      </c>
      <c r="H1947" t="s">
        <v>60</v>
      </c>
      <c r="J1947">
        <v>31</v>
      </c>
      <c r="K1947" t="s">
        <v>61</v>
      </c>
      <c r="L1947" t="s">
        <v>74</v>
      </c>
      <c r="M1947" t="s">
        <v>63</v>
      </c>
      <c r="N1947" t="s">
        <v>64</v>
      </c>
      <c r="P1947" t="s">
        <v>65</v>
      </c>
      <c r="R1947">
        <v>428</v>
      </c>
      <c r="W1947" t="s">
        <v>66</v>
      </c>
      <c r="X1947" t="s">
        <v>67</v>
      </c>
      <c r="Y1947" t="s">
        <v>67</v>
      </c>
      <c r="Z1947" t="s">
        <v>68</v>
      </c>
      <c r="AB1947">
        <v>4</v>
      </c>
      <c r="AC1947" t="s">
        <v>61</v>
      </c>
      <c r="AJ1947" t="s">
        <v>69</v>
      </c>
      <c r="AY1947" t="s">
        <v>263</v>
      </c>
      <c r="AZ1947">
        <v>12858</v>
      </c>
      <c r="BA1947" t="s">
        <v>264</v>
      </c>
      <c r="BB1947" t="s">
        <v>265</v>
      </c>
      <c r="BC1947">
        <v>1986</v>
      </c>
      <c r="BD1947" t="s">
        <v>73</v>
      </c>
    </row>
    <row r="1948" spans="1:56" x14ac:dyDescent="0.35">
      <c r="A1948">
        <v>592461</v>
      </c>
      <c r="B1948" t="s">
        <v>1519</v>
      </c>
      <c r="D1948" t="s">
        <v>57</v>
      </c>
      <c r="E1948">
        <v>99</v>
      </c>
      <c r="F1948" t="s">
        <v>58</v>
      </c>
      <c r="G1948" t="s">
        <v>59</v>
      </c>
      <c r="H1948" t="s">
        <v>60</v>
      </c>
      <c r="J1948">
        <v>30</v>
      </c>
      <c r="K1948" t="s">
        <v>61</v>
      </c>
      <c r="L1948" t="s">
        <v>74</v>
      </c>
      <c r="M1948" t="s">
        <v>63</v>
      </c>
      <c r="N1948" t="s">
        <v>64</v>
      </c>
      <c r="P1948" t="s">
        <v>65</v>
      </c>
      <c r="R1948">
        <v>19.399999999999999</v>
      </c>
      <c r="T1948">
        <v>18.3</v>
      </c>
      <c r="V1948">
        <v>20.5</v>
      </c>
      <c r="W1948" t="s">
        <v>66</v>
      </c>
      <c r="X1948" t="s">
        <v>67</v>
      </c>
      <c r="Y1948" t="s">
        <v>67</v>
      </c>
      <c r="Z1948" t="s">
        <v>68</v>
      </c>
      <c r="AB1948">
        <v>4</v>
      </c>
      <c r="AC1948" t="s">
        <v>61</v>
      </c>
      <c r="AJ1948" t="s">
        <v>69</v>
      </c>
      <c r="AY1948" t="s">
        <v>80</v>
      </c>
      <c r="AZ1948">
        <v>12859</v>
      </c>
      <c r="BA1948" t="s">
        <v>81</v>
      </c>
      <c r="BB1948" t="s">
        <v>82</v>
      </c>
      <c r="BC1948">
        <v>1988</v>
      </c>
      <c r="BD1948" t="s">
        <v>73</v>
      </c>
    </row>
    <row r="1949" spans="1:56" x14ac:dyDescent="0.35">
      <c r="A1949">
        <v>592461</v>
      </c>
      <c r="B1949" t="s">
        <v>1519</v>
      </c>
      <c r="D1949" t="s">
        <v>57</v>
      </c>
      <c r="E1949">
        <v>99</v>
      </c>
      <c r="F1949" t="s">
        <v>58</v>
      </c>
      <c r="G1949" t="s">
        <v>59</v>
      </c>
      <c r="H1949" t="s">
        <v>60</v>
      </c>
      <c r="J1949">
        <v>31</v>
      </c>
      <c r="K1949" t="s">
        <v>61</v>
      </c>
      <c r="L1949" t="s">
        <v>74</v>
      </c>
      <c r="M1949" t="s">
        <v>63</v>
      </c>
      <c r="N1949" t="s">
        <v>64</v>
      </c>
      <c r="P1949" t="s">
        <v>65</v>
      </c>
      <c r="R1949">
        <v>20.6</v>
      </c>
      <c r="T1949">
        <v>18.7</v>
      </c>
      <c r="V1949">
        <v>22.8</v>
      </c>
      <c r="W1949" t="s">
        <v>66</v>
      </c>
      <c r="X1949" t="s">
        <v>67</v>
      </c>
      <c r="Y1949" t="s">
        <v>67</v>
      </c>
      <c r="Z1949" t="s">
        <v>68</v>
      </c>
      <c r="AB1949">
        <v>4</v>
      </c>
      <c r="AC1949" t="s">
        <v>61</v>
      </c>
      <c r="AJ1949" t="s">
        <v>69</v>
      </c>
      <c r="AY1949" t="s">
        <v>80</v>
      </c>
      <c r="AZ1949">
        <v>12859</v>
      </c>
      <c r="BA1949" t="s">
        <v>81</v>
      </c>
      <c r="BB1949" t="s">
        <v>82</v>
      </c>
      <c r="BC1949">
        <v>1988</v>
      </c>
      <c r="BD1949" t="s">
        <v>73</v>
      </c>
    </row>
    <row r="1950" spans="1:56" x14ac:dyDescent="0.35">
      <c r="A1950">
        <v>592858</v>
      </c>
      <c r="B1950" t="s">
        <v>1520</v>
      </c>
      <c r="D1950" t="s">
        <v>57</v>
      </c>
      <c r="E1950" t="s">
        <v>86</v>
      </c>
      <c r="F1950" t="s">
        <v>58</v>
      </c>
      <c r="G1950" t="s">
        <v>59</v>
      </c>
      <c r="H1950" t="s">
        <v>60</v>
      </c>
      <c r="J1950" t="s">
        <v>86</v>
      </c>
      <c r="L1950" t="s">
        <v>62</v>
      </c>
      <c r="M1950" t="s">
        <v>63</v>
      </c>
      <c r="N1950" t="s">
        <v>64</v>
      </c>
      <c r="O1950" t="s">
        <v>267</v>
      </c>
      <c r="P1950" t="s">
        <v>1296</v>
      </c>
      <c r="R1950">
        <v>0.15</v>
      </c>
      <c r="T1950">
        <v>0.08</v>
      </c>
      <c r="V1950">
        <v>0.22</v>
      </c>
      <c r="W1950" t="s">
        <v>66</v>
      </c>
      <c r="X1950" t="s">
        <v>67</v>
      </c>
      <c r="Y1950" t="s">
        <v>67</v>
      </c>
      <c r="Z1950" t="s">
        <v>68</v>
      </c>
      <c r="AB1950">
        <v>4</v>
      </c>
      <c r="AC1950" t="s">
        <v>61</v>
      </c>
      <c r="AJ1950" t="s">
        <v>69</v>
      </c>
      <c r="AY1950" t="s">
        <v>268</v>
      </c>
      <c r="AZ1950">
        <v>2965</v>
      </c>
      <c r="BA1950" t="s">
        <v>269</v>
      </c>
      <c r="BB1950" t="s">
        <v>270</v>
      </c>
      <c r="BC1950">
        <v>1981</v>
      </c>
      <c r="BD1950" t="s">
        <v>90</v>
      </c>
    </row>
    <row r="1951" spans="1:56" x14ac:dyDescent="0.35">
      <c r="A1951">
        <v>593088</v>
      </c>
      <c r="B1951" t="s">
        <v>1521</v>
      </c>
      <c r="D1951" t="s">
        <v>57</v>
      </c>
      <c r="E1951" t="s">
        <v>86</v>
      </c>
      <c r="F1951" t="s">
        <v>58</v>
      </c>
      <c r="G1951" t="s">
        <v>59</v>
      </c>
      <c r="H1951" t="s">
        <v>60</v>
      </c>
      <c r="J1951">
        <v>32</v>
      </c>
      <c r="K1951" t="s">
        <v>61</v>
      </c>
      <c r="L1951" t="s">
        <v>74</v>
      </c>
      <c r="M1951" t="s">
        <v>63</v>
      </c>
      <c r="N1951" t="s">
        <v>64</v>
      </c>
      <c r="P1951" t="s">
        <v>65</v>
      </c>
      <c r="R1951">
        <v>0.36</v>
      </c>
      <c r="T1951">
        <v>0.33</v>
      </c>
      <c r="V1951">
        <v>0.4</v>
      </c>
      <c r="W1951" t="s">
        <v>66</v>
      </c>
      <c r="X1951" t="s">
        <v>67</v>
      </c>
      <c r="Y1951" t="s">
        <v>67</v>
      </c>
      <c r="Z1951" t="s">
        <v>68</v>
      </c>
      <c r="AB1951">
        <v>4</v>
      </c>
      <c r="AC1951" t="s">
        <v>61</v>
      </c>
      <c r="AJ1951" t="s">
        <v>69</v>
      </c>
      <c r="AY1951" t="s">
        <v>80</v>
      </c>
      <c r="AZ1951">
        <v>12859</v>
      </c>
      <c r="BA1951" t="s">
        <v>81</v>
      </c>
      <c r="BB1951" t="s">
        <v>82</v>
      </c>
      <c r="BC1951">
        <v>1988</v>
      </c>
      <c r="BD1951" t="s">
        <v>73</v>
      </c>
    </row>
    <row r="1952" spans="1:56" x14ac:dyDescent="0.35">
      <c r="A1952">
        <v>596850</v>
      </c>
      <c r="B1952" t="s">
        <v>1522</v>
      </c>
      <c r="D1952" t="s">
        <v>57</v>
      </c>
      <c r="E1952" t="s">
        <v>86</v>
      </c>
      <c r="F1952" t="s">
        <v>58</v>
      </c>
      <c r="G1952" t="s">
        <v>59</v>
      </c>
      <c r="H1952" t="s">
        <v>60</v>
      </c>
      <c r="J1952">
        <v>31</v>
      </c>
      <c r="K1952" t="s">
        <v>61</v>
      </c>
      <c r="L1952" t="s">
        <v>74</v>
      </c>
      <c r="M1952" t="s">
        <v>63</v>
      </c>
      <c r="N1952" t="s">
        <v>64</v>
      </c>
      <c r="P1952" t="s">
        <v>65</v>
      </c>
      <c r="R1952">
        <v>0.12</v>
      </c>
      <c r="W1952" t="s">
        <v>66</v>
      </c>
      <c r="X1952" t="s">
        <v>67</v>
      </c>
      <c r="Y1952" t="s">
        <v>67</v>
      </c>
      <c r="Z1952" t="s">
        <v>68</v>
      </c>
      <c r="AB1952">
        <v>4</v>
      </c>
      <c r="AC1952" t="s">
        <v>61</v>
      </c>
      <c r="AJ1952" t="s">
        <v>69</v>
      </c>
      <c r="AY1952" t="s">
        <v>263</v>
      </c>
      <c r="AZ1952">
        <v>12858</v>
      </c>
      <c r="BA1952" t="s">
        <v>264</v>
      </c>
      <c r="BB1952" t="s">
        <v>265</v>
      </c>
      <c r="BC1952">
        <v>1986</v>
      </c>
      <c r="BD1952" t="s">
        <v>73</v>
      </c>
    </row>
    <row r="1953" spans="1:56" x14ac:dyDescent="0.35">
      <c r="A1953">
        <v>597648</v>
      </c>
      <c r="B1953" t="s">
        <v>1523</v>
      </c>
      <c r="D1953" t="s">
        <v>57</v>
      </c>
      <c r="E1953">
        <v>97</v>
      </c>
      <c r="F1953" t="s">
        <v>58</v>
      </c>
      <c r="G1953" t="s">
        <v>59</v>
      </c>
      <c r="H1953" t="s">
        <v>60</v>
      </c>
      <c r="J1953">
        <v>28</v>
      </c>
      <c r="K1953" t="s">
        <v>61</v>
      </c>
      <c r="L1953" t="s">
        <v>74</v>
      </c>
      <c r="M1953" t="s">
        <v>63</v>
      </c>
      <c r="N1953" t="s">
        <v>64</v>
      </c>
      <c r="P1953" t="s">
        <v>65</v>
      </c>
      <c r="R1953">
        <v>1.0999999999999999E-2</v>
      </c>
      <c r="T1953">
        <v>9.58E-3</v>
      </c>
      <c r="V1953">
        <v>1.2500000000000001E-2</v>
      </c>
      <c r="W1953" t="s">
        <v>66</v>
      </c>
      <c r="X1953" t="s">
        <v>67</v>
      </c>
      <c r="Y1953" t="s">
        <v>67</v>
      </c>
      <c r="Z1953" t="s">
        <v>68</v>
      </c>
      <c r="AB1953">
        <v>4</v>
      </c>
      <c r="AC1953" t="s">
        <v>61</v>
      </c>
      <c r="AJ1953" t="s">
        <v>69</v>
      </c>
      <c r="AY1953" t="s">
        <v>75</v>
      </c>
      <c r="AZ1953">
        <v>3217</v>
      </c>
      <c r="BA1953" t="s">
        <v>76</v>
      </c>
      <c r="BB1953" t="s">
        <v>77</v>
      </c>
      <c r="BC1953">
        <v>1990</v>
      </c>
      <c r="BD1953" t="s">
        <v>73</v>
      </c>
    </row>
    <row r="1954" spans="1:56" x14ac:dyDescent="0.35">
      <c r="A1954">
        <v>598630</v>
      </c>
      <c r="B1954" t="s">
        <v>1524</v>
      </c>
      <c r="D1954" t="s">
        <v>85</v>
      </c>
      <c r="E1954" t="s">
        <v>86</v>
      </c>
      <c r="F1954" t="s">
        <v>58</v>
      </c>
      <c r="G1954" t="s">
        <v>59</v>
      </c>
      <c r="H1954" t="s">
        <v>60</v>
      </c>
      <c r="I1954" t="s">
        <v>1469</v>
      </c>
      <c r="J1954" t="s">
        <v>289</v>
      </c>
      <c r="K1954" t="s">
        <v>184</v>
      </c>
      <c r="L1954" t="s">
        <v>62</v>
      </c>
      <c r="M1954" t="s">
        <v>63</v>
      </c>
      <c r="N1954" t="s">
        <v>64</v>
      </c>
      <c r="P1954" t="s">
        <v>201</v>
      </c>
      <c r="Q1954" t="s">
        <v>153</v>
      </c>
      <c r="R1954">
        <v>5000</v>
      </c>
      <c r="W1954" t="s">
        <v>66</v>
      </c>
      <c r="X1954" t="s">
        <v>67</v>
      </c>
      <c r="Y1954" t="s">
        <v>67</v>
      </c>
      <c r="Z1954" t="s">
        <v>68</v>
      </c>
      <c r="AB1954">
        <v>4</v>
      </c>
      <c r="AC1954" t="s">
        <v>61</v>
      </c>
      <c r="AJ1954" t="s">
        <v>69</v>
      </c>
      <c r="AY1954" t="s">
        <v>1474</v>
      </c>
      <c r="AZ1954">
        <v>9180</v>
      </c>
      <c r="BA1954" t="s">
        <v>1475</v>
      </c>
      <c r="BB1954" t="s">
        <v>1476</v>
      </c>
      <c r="BC1954">
        <v>1992</v>
      </c>
      <c r="BD1954" t="s">
        <v>185</v>
      </c>
    </row>
    <row r="1955" spans="1:56" x14ac:dyDescent="0.35">
      <c r="A1955">
        <v>598630</v>
      </c>
      <c r="B1955" t="s">
        <v>1524</v>
      </c>
      <c r="C1955" t="s">
        <v>195</v>
      </c>
      <c r="D1955" t="s">
        <v>57</v>
      </c>
      <c r="E1955" t="s">
        <v>86</v>
      </c>
      <c r="F1955" t="s">
        <v>58</v>
      </c>
      <c r="G1955" t="s">
        <v>59</v>
      </c>
      <c r="H1955" t="s">
        <v>60</v>
      </c>
      <c r="I1955" t="s">
        <v>1469</v>
      </c>
      <c r="J1955" t="s">
        <v>289</v>
      </c>
      <c r="K1955" t="s">
        <v>184</v>
      </c>
      <c r="L1955" t="s">
        <v>62</v>
      </c>
      <c r="M1955" t="s">
        <v>63</v>
      </c>
      <c r="N1955" t="s">
        <v>64</v>
      </c>
      <c r="O1955" t="s">
        <v>1470</v>
      </c>
      <c r="P1955" t="s">
        <v>201</v>
      </c>
      <c r="Q1955" t="s">
        <v>153</v>
      </c>
      <c r="R1955">
        <v>5000</v>
      </c>
      <c r="W1955" t="s">
        <v>66</v>
      </c>
      <c r="X1955" t="s">
        <v>67</v>
      </c>
      <c r="Y1955" t="s">
        <v>67</v>
      </c>
      <c r="Z1955" t="s">
        <v>68</v>
      </c>
      <c r="AB1955">
        <v>4</v>
      </c>
      <c r="AC1955" t="s">
        <v>61</v>
      </c>
      <c r="AJ1955" t="s">
        <v>69</v>
      </c>
      <c r="AY1955" t="s">
        <v>1471</v>
      </c>
      <c r="AZ1955">
        <v>76100</v>
      </c>
      <c r="BA1955" t="s">
        <v>1472</v>
      </c>
      <c r="BB1955" t="s">
        <v>1473</v>
      </c>
      <c r="BC1955">
        <v>1998</v>
      </c>
      <c r="BD1955" t="s">
        <v>185</v>
      </c>
    </row>
    <row r="1956" spans="1:56" x14ac:dyDescent="0.35">
      <c r="A1956">
        <v>598743</v>
      </c>
      <c r="B1956" t="s">
        <v>1525</v>
      </c>
      <c r="D1956" t="s">
        <v>57</v>
      </c>
      <c r="E1956" t="s">
        <v>407</v>
      </c>
      <c r="F1956" t="s">
        <v>58</v>
      </c>
      <c r="G1956" t="s">
        <v>59</v>
      </c>
      <c r="H1956" t="s">
        <v>60</v>
      </c>
      <c r="J1956">
        <v>31</v>
      </c>
      <c r="K1956" t="s">
        <v>61</v>
      </c>
      <c r="L1956" t="s">
        <v>74</v>
      </c>
      <c r="M1956" t="s">
        <v>63</v>
      </c>
      <c r="N1956" t="s">
        <v>64</v>
      </c>
      <c r="P1956" t="s">
        <v>65</v>
      </c>
      <c r="R1956">
        <v>284</v>
      </c>
      <c r="W1956" t="s">
        <v>66</v>
      </c>
      <c r="X1956" t="s">
        <v>67</v>
      </c>
      <c r="Y1956" t="s">
        <v>67</v>
      </c>
      <c r="Z1956" t="s">
        <v>68</v>
      </c>
      <c r="AB1956">
        <v>4</v>
      </c>
      <c r="AC1956" t="s">
        <v>61</v>
      </c>
      <c r="AJ1956" t="s">
        <v>69</v>
      </c>
      <c r="AY1956" t="s">
        <v>263</v>
      </c>
      <c r="AZ1956">
        <v>12858</v>
      </c>
      <c r="BA1956" t="s">
        <v>264</v>
      </c>
      <c r="BB1956" t="s">
        <v>265</v>
      </c>
      <c r="BC1956">
        <v>1986</v>
      </c>
      <c r="BD1956" t="s">
        <v>73</v>
      </c>
    </row>
    <row r="1957" spans="1:56" x14ac:dyDescent="0.35">
      <c r="A1957">
        <v>600362</v>
      </c>
      <c r="B1957" t="s">
        <v>1526</v>
      </c>
      <c r="D1957" t="s">
        <v>57</v>
      </c>
      <c r="E1957">
        <v>99</v>
      </c>
      <c r="F1957" t="s">
        <v>58</v>
      </c>
      <c r="G1957" t="s">
        <v>59</v>
      </c>
      <c r="H1957" t="s">
        <v>60</v>
      </c>
      <c r="J1957">
        <v>34</v>
      </c>
      <c r="K1957" t="s">
        <v>61</v>
      </c>
      <c r="L1957" t="s">
        <v>74</v>
      </c>
      <c r="M1957" t="s">
        <v>63</v>
      </c>
      <c r="N1957" t="s">
        <v>64</v>
      </c>
      <c r="P1957" t="s">
        <v>65</v>
      </c>
      <c r="R1957">
        <v>163</v>
      </c>
      <c r="T1957">
        <v>150</v>
      </c>
      <c r="V1957">
        <v>176</v>
      </c>
      <c r="W1957" t="s">
        <v>66</v>
      </c>
      <c r="X1957" t="s">
        <v>67</v>
      </c>
      <c r="Y1957" t="s">
        <v>67</v>
      </c>
      <c r="Z1957" t="s">
        <v>68</v>
      </c>
      <c r="AB1957">
        <v>4</v>
      </c>
      <c r="AC1957" t="s">
        <v>61</v>
      </c>
      <c r="AJ1957" t="s">
        <v>69</v>
      </c>
      <c r="AY1957" t="s">
        <v>80</v>
      </c>
      <c r="AZ1957">
        <v>12859</v>
      </c>
      <c r="BA1957" t="s">
        <v>81</v>
      </c>
      <c r="BB1957" t="s">
        <v>82</v>
      </c>
      <c r="BC1957">
        <v>1988</v>
      </c>
      <c r="BD1957" t="s">
        <v>73</v>
      </c>
    </row>
    <row r="1958" spans="1:56" x14ac:dyDescent="0.35">
      <c r="A1958">
        <v>602017</v>
      </c>
      <c r="B1958" t="s">
        <v>1527</v>
      </c>
      <c r="D1958" t="s">
        <v>85</v>
      </c>
      <c r="E1958" t="s">
        <v>86</v>
      </c>
      <c r="F1958" t="s">
        <v>58</v>
      </c>
      <c r="G1958" t="s">
        <v>59</v>
      </c>
      <c r="H1958" t="s">
        <v>60</v>
      </c>
      <c r="I1958" t="s">
        <v>129</v>
      </c>
      <c r="J1958" t="s">
        <v>86</v>
      </c>
      <c r="L1958" t="s">
        <v>62</v>
      </c>
      <c r="M1958" t="s">
        <v>63</v>
      </c>
      <c r="N1958" t="s">
        <v>64</v>
      </c>
      <c r="P1958" t="s">
        <v>100</v>
      </c>
      <c r="R1958">
        <v>1.9</v>
      </c>
      <c r="W1958" t="s">
        <v>66</v>
      </c>
      <c r="X1958" t="s">
        <v>67</v>
      </c>
      <c r="Y1958" t="s">
        <v>67</v>
      </c>
      <c r="Z1958" t="s">
        <v>68</v>
      </c>
      <c r="AB1958">
        <v>4</v>
      </c>
      <c r="AC1958" t="s">
        <v>61</v>
      </c>
      <c r="AJ1958" t="s">
        <v>69</v>
      </c>
      <c r="AY1958" t="s">
        <v>722</v>
      </c>
      <c r="AZ1958">
        <v>5087</v>
      </c>
      <c r="BA1958" t="s">
        <v>723</v>
      </c>
      <c r="BB1958" t="s">
        <v>724</v>
      </c>
      <c r="BC1958">
        <v>1979</v>
      </c>
      <c r="BD1958" t="s">
        <v>90</v>
      </c>
    </row>
    <row r="1959" spans="1:56" x14ac:dyDescent="0.35">
      <c r="A1959">
        <v>602017</v>
      </c>
      <c r="B1959" t="s">
        <v>1527</v>
      </c>
      <c r="D1959" t="s">
        <v>85</v>
      </c>
      <c r="E1959" t="s">
        <v>86</v>
      </c>
      <c r="F1959" t="s">
        <v>58</v>
      </c>
      <c r="G1959" t="s">
        <v>59</v>
      </c>
      <c r="H1959" t="s">
        <v>60</v>
      </c>
      <c r="J1959" t="s">
        <v>86</v>
      </c>
      <c r="L1959" t="s">
        <v>62</v>
      </c>
      <c r="M1959" t="s">
        <v>63</v>
      </c>
      <c r="N1959" t="s">
        <v>64</v>
      </c>
      <c r="P1959" t="s">
        <v>100</v>
      </c>
      <c r="Q1959" t="s">
        <v>435</v>
      </c>
      <c r="R1959">
        <v>5</v>
      </c>
      <c r="W1959" t="s">
        <v>66</v>
      </c>
      <c r="X1959" t="s">
        <v>67</v>
      </c>
      <c r="Y1959" t="s">
        <v>67</v>
      </c>
      <c r="Z1959" t="s">
        <v>68</v>
      </c>
      <c r="AB1959">
        <v>4</v>
      </c>
      <c r="AC1959" t="s">
        <v>61</v>
      </c>
      <c r="AJ1959" t="s">
        <v>69</v>
      </c>
      <c r="AY1959" t="s">
        <v>715</v>
      </c>
      <c r="AZ1959">
        <v>5671</v>
      </c>
      <c r="BA1959" t="s">
        <v>716</v>
      </c>
      <c r="BB1959" t="s">
        <v>717</v>
      </c>
      <c r="BC1959">
        <v>1977</v>
      </c>
      <c r="BD1959" t="s">
        <v>90</v>
      </c>
    </row>
    <row r="1960" spans="1:56" x14ac:dyDescent="0.35">
      <c r="A1960">
        <v>602017</v>
      </c>
      <c r="B1960" t="s">
        <v>1527</v>
      </c>
      <c r="D1960" t="s">
        <v>85</v>
      </c>
      <c r="E1960" t="s">
        <v>86</v>
      </c>
      <c r="F1960" t="s">
        <v>58</v>
      </c>
      <c r="G1960" t="s">
        <v>59</v>
      </c>
      <c r="H1960" t="s">
        <v>60</v>
      </c>
      <c r="I1960" t="s">
        <v>129</v>
      </c>
      <c r="J1960" t="s">
        <v>86</v>
      </c>
      <c r="L1960" t="s">
        <v>62</v>
      </c>
      <c r="M1960" t="s">
        <v>63</v>
      </c>
      <c r="N1960" t="s">
        <v>64</v>
      </c>
      <c r="P1960" t="s">
        <v>65</v>
      </c>
      <c r="R1960">
        <v>1.8</v>
      </c>
      <c r="T1960">
        <v>1.5</v>
      </c>
      <c r="V1960">
        <v>2.1</v>
      </c>
      <c r="W1960" t="s">
        <v>66</v>
      </c>
      <c r="X1960" t="s">
        <v>67</v>
      </c>
      <c r="Y1960" t="s">
        <v>67</v>
      </c>
      <c r="Z1960" t="s">
        <v>68</v>
      </c>
      <c r="AB1960">
        <v>4</v>
      </c>
      <c r="AC1960" t="s">
        <v>61</v>
      </c>
      <c r="AJ1960" t="s">
        <v>69</v>
      </c>
      <c r="AY1960" t="s">
        <v>718</v>
      </c>
      <c r="AZ1960">
        <v>10141</v>
      </c>
      <c r="BA1960" t="s">
        <v>719</v>
      </c>
      <c r="BB1960" t="s">
        <v>720</v>
      </c>
      <c r="BC1960">
        <v>1983</v>
      </c>
      <c r="BD1960" t="s">
        <v>721</v>
      </c>
    </row>
    <row r="1961" spans="1:56" x14ac:dyDescent="0.35">
      <c r="A1961">
        <v>603838</v>
      </c>
      <c r="B1961" t="s">
        <v>1528</v>
      </c>
      <c r="D1961" t="s">
        <v>85</v>
      </c>
      <c r="E1961" t="s">
        <v>86</v>
      </c>
      <c r="F1961" t="s">
        <v>58</v>
      </c>
      <c r="G1961" t="s">
        <v>59</v>
      </c>
      <c r="H1961" t="s">
        <v>60</v>
      </c>
      <c r="I1961" t="s">
        <v>129</v>
      </c>
      <c r="J1961" t="s">
        <v>86</v>
      </c>
      <c r="L1961" t="s">
        <v>62</v>
      </c>
      <c r="M1961" t="s">
        <v>63</v>
      </c>
      <c r="N1961" t="s">
        <v>64</v>
      </c>
      <c r="P1961" t="s">
        <v>65</v>
      </c>
      <c r="R1961">
        <v>50</v>
      </c>
      <c r="T1961">
        <v>45.9</v>
      </c>
      <c r="V1961">
        <v>53.9</v>
      </c>
      <c r="W1961" t="s">
        <v>66</v>
      </c>
      <c r="X1961" t="s">
        <v>67</v>
      </c>
      <c r="Y1961" t="s">
        <v>67</v>
      </c>
      <c r="Z1961" t="s">
        <v>68</v>
      </c>
      <c r="AB1961">
        <v>4</v>
      </c>
      <c r="AC1961" t="s">
        <v>61</v>
      </c>
      <c r="AJ1961" t="s">
        <v>69</v>
      </c>
      <c r="AY1961" t="s">
        <v>718</v>
      </c>
      <c r="AZ1961">
        <v>10141</v>
      </c>
      <c r="BA1961" t="s">
        <v>719</v>
      </c>
      <c r="BB1961" t="s">
        <v>720</v>
      </c>
      <c r="BC1961">
        <v>1983</v>
      </c>
      <c r="BD1961" t="s">
        <v>721</v>
      </c>
    </row>
    <row r="1962" spans="1:56" x14ac:dyDescent="0.35">
      <c r="A1962">
        <v>603838</v>
      </c>
      <c r="B1962" t="s">
        <v>1528</v>
      </c>
      <c r="D1962" t="s">
        <v>85</v>
      </c>
      <c r="E1962" t="s">
        <v>86</v>
      </c>
      <c r="F1962" t="s">
        <v>58</v>
      </c>
      <c r="G1962" t="s">
        <v>59</v>
      </c>
      <c r="H1962" t="s">
        <v>60</v>
      </c>
      <c r="J1962" t="s">
        <v>86</v>
      </c>
      <c r="L1962" t="s">
        <v>62</v>
      </c>
      <c r="M1962" t="s">
        <v>63</v>
      </c>
      <c r="N1962" t="s">
        <v>64</v>
      </c>
      <c r="P1962" t="s">
        <v>100</v>
      </c>
      <c r="T1962">
        <v>5</v>
      </c>
      <c r="V1962">
        <v>15</v>
      </c>
      <c r="W1962" t="s">
        <v>66</v>
      </c>
      <c r="X1962" t="s">
        <v>67</v>
      </c>
      <c r="Y1962" t="s">
        <v>67</v>
      </c>
      <c r="Z1962" t="s">
        <v>68</v>
      </c>
      <c r="AB1962">
        <v>4</v>
      </c>
      <c r="AC1962" t="s">
        <v>61</v>
      </c>
      <c r="AJ1962" t="s">
        <v>69</v>
      </c>
      <c r="AY1962" t="s">
        <v>715</v>
      </c>
      <c r="AZ1962">
        <v>5671</v>
      </c>
      <c r="BA1962" t="s">
        <v>716</v>
      </c>
      <c r="BB1962" t="s">
        <v>717</v>
      </c>
      <c r="BC1962">
        <v>1977</v>
      </c>
      <c r="BD1962" t="s">
        <v>90</v>
      </c>
    </row>
    <row r="1963" spans="1:56" x14ac:dyDescent="0.35">
      <c r="A1963">
        <v>603838</v>
      </c>
      <c r="B1963" t="s">
        <v>1528</v>
      </c>
      <c r="D1963" t="s">
        <v>85</v>
      </c>
      <c r="E1963" t="s">
        <v>86</v>
      </c>
      <c r="F1963" t="s">
        <v>58</v>
      </c>
      <c r="G1963" t="s">
        <v>59</v>
      </c>
      <c r="H1963" t="s">
        <v>60</v>
      </c>
      <c r="I1963" t="s">
        <v>129</v>
      </c>
      <c r="J1963" t="s">
        <v>86</v>
      </c>
      <c r="L1963" t="s">
        <v>62</v>
      </c>
      <c r="M1963" t="s">
        <v>63</v>
      </c>
      <c r="N1963" t="s">
        <v>64</v>
      </c>
      <c r="P1963" t="s">
        <v>100</v>
      </c>
      <c r="R1963">
        <v>49.9</v>
      </c>
      <c r="W1963" t="s">
        <v>66</v>
      </c>
      <c r="X1963" t="s">
        <v>67</v>
      </c>
      <c r="Y1963" t="s">
        <v>67</v>
      </c>
      <c r="Z1963" t="s">
        <v>68</v>
      </c>
      <c r="AB1963">
        <v>4</v>
      </c>
      <c r="AC1963" t="s">
        <v>61</v>
      </c>
      <c r="AJ1963" t="s">
        <v>69</v>
      </c>
      <c r="AY1963" t="s">
        <v>722</v>
      </c>
      <c r="AZ1963">
        <v>5087</v>
      </c>
      <c r="BA1963" t="s">
        <v>723</v>
      </c>
      <c r="BB1963" t="s">
        <v>724</v>
      </c>
      <c r="BC1963">
        <v>1979</v>
      </c>
      <c r="BD1963" t="s">
        <v>90</v>
      </c>
    </row>
    <row r="1964" spans="1:56" x14ac:dyDescent="0.35">
      <c r="A1964">
        <v>606202</v>
      </c>
      <c r="B1964" t="s">
        <v>1529</v>
      </c>
      <c r="D1964" t="s">
        <v>85</v>
      </c>
      <c r="E1964" t="s">
        <v>86</v>
      </c>
      <c r="F1964" t="s">
        <v>58</v>
      </c>
      <c r="G1964" t="s">
        <v>59</v>
      </c>
      <c r="H1964" t="s">
        <v>60</v>
      </c>
      <c r="I1964" t="s">
        <v>129</v>
      </c>
      <c r="J1964" t="s">
        <v>86</v>
      </c>
      <c r="L1964" t="s">
        <v>62</v>
      </c>
      <c r="M1964" t="s">
        <v>63</v>
      </c>
      <c r="N1964" t="s">
        <v>64</v>
      </c>
      <c r="P1964" t="s">
        <v>100</v>
      </c>
      <c r="R1964">
        <v>19.8</v>
      </c>
      <c r="W1964" t="s">
        <v>66</v>
      </c>
      <c r="X1964" t="s">
        <v>67</v>
      </c>
      <c r="Y1964" t="s">
        <v>67</v>
      </c>
      <c r="Z1964" t="s">
        <v>68</v>
      </c>
      <c r="AB1964">
        <v>4</v>
      </c>
      <c r="AC1964" t="s">
        <v>61</v>
      </c>
      <c r="AJ1964" t="s">
        <v>69</v>
      </c>
      <c r="AY1964" t="s">
        <v>722</v>
      </c>
      <c r="AZ1964">
        <v>5087</v>
      </c>
      <c r="BA1964" t="s">
        <v>723</v>
      </c>
      <c r="BB1964" t="s">
        <v>724</v>
      </c>
      <c r="BC1964">
        <v>1979</v>
      </c>
      <c r="BD1964" t="s">
        <v>90</v>
      </c>
    </row>
    <row r="1965" spans="1:56" x14ac:dyDescent="0.35">
      <c r="A1965">
        <v>606202</v>
      </c>
      <c r="B1965" t="s">
        <v>1529</v>
      </c>
      <c r="D1965" t="s">
        <v>85</v>
      </c>
      <c r="E1965" t="s">
        <v>86</v>
      </c>
      <c r="F1965" t="s">
        <v>58</v>
      </c>
      <c r="G1965" t="s">
        <v>59</v>
      </c>
      <c r="H1965" t="s">
        <v>60</v>
      </c>
      <c r="J1965" t="s">
        <v>86</v>
      </c>
      <c r="L1965" t="s">
        <v>62</v>
      </c>
      <c r="M1965" t="s">
        <v>63</v>
      </c>
      <c r="N1965" t="s">
        <v>64</v>
      </c>
      <c r="P1965" t="s">
        <v>100</v>
      </c>
      <c r="T1965">
        <v>19</v>
      </c>
      <c r="V1965">
        <v>50</v>
      </c>
      <c r="W1965" t="s">
        <v>66</v>
      </c>
      <c r="X1965" t="s">
        <v>67</v>
      </c>
      <c r="Y1965" t="s">
        <v>67</v>
      </c>
      <c r="Z1965" t="s">
        <v>68</v>
      </c>
      <c r="AB1965">
        <v>4</v>
      </c>
      <c r="AC1965" t="s">
        <v>61</v>
      </c>
      <c r="AJ1965" t="s">
        <v>69</v>
      </c>
      <c r="AY1965" t="s">
        <v>715</v>
      </c>
      <c r="AZ1965">
        <v>5671</v>
      </c>
      <c r="BA1965" t="s">
        <v>716</v>
      </c>
      <c r="BB1965" t="s">
        <v>717</v>
      </c>
      <c r="BC1965">
        <v>1977</v>
      </c>
      <c r="BD1965" t="s">
        <v>90</v>
      </c>
    </row>
    <row r="1966" spans="1:56" x14ac:dyDescent="0.35">
      <c r="A1966">
        <v>606202</v>
      </c>
      <c r="B1966" t="s">
        <v>1529</v>
      </c>
      <c r="D1966" t="s">
        <v>85</v>
      </c>
      <c r="E1966" t="s">
        <v>86</v>
      </c>
      <c r="F1966" t="s">
        <v>58</v>
      </c>
      <c r="G1966" t="s">
        <v>59</v>
      </c>
      <c r="H1966" t="s">
        <v>60</v>
      </c>
      <c r="I1966" t="s">
        <v>129</v>
      </c>
      <c r="J1966" t="s">
        <v>86</v>
      </c>
      <c r="L1966" t="s">
        <v>62</v>
      </c>
      <c r="M1966" t="s">
        <v>63</v>
      </c>
      <c r="N1966" t="s">
        <v>64</v>
      </c>
      <c r="P1966" t="s">
        <v>65</v>
      </c>
      <c r="R1966">
        <v>18.5</v>
      </c>
      <c r="T1966">
        <v>17.2</v>
      </c>
      <c r="V1966">
        <v>20.2</v>
      </c>
      <c r="W1966" t="s">
        <v>66</v>
      </c>
      <c r="X1966" t="s">
        <v>67</v>
      </c>
      <c r="Y1966" t="s">
        <v>67</v>
      </c>
      <c r="Z1966" t="s">
        <v>68</v>
      </c>
      <c r="AB1966">
        <v>4</v>
      </c>
      <c r="AC1966" t="s">
        <v>61</v>
      </c>
      <c r="AJ1966" t="s">
        <v>69</v>
      </c>
      <c r="AY1966" t="s">
        <v>718</v>
      </c>
      <c r="AZ1966">
        <v>10141</v>
      </c>
      <c r="BA1966" t="s">
        <v>719</v>
      </c>
      <c r="BB1966" t="s">
        <v>720</v>
      </c>
      <c r="BC1966">
        <v>1983</v>
      </c>
      <c r="BD1966" t="s">
        <v>721</v>
      </c>
    </row>
    <row r="1967" spans="1:56" x14ac:dyDescent="0.35">
      <c r="A1967">
        <v>606348</v>
      </c>
      <c r="B1967" t="s">
        <v>1530</v>
      </c>
      <c r="D1967" t="s">
        <v>85</v>
      </c>
      <c r="E1967" t="s">
        <v>86</v>
      </c>
      <c r="F1967" t="s">
        <v>58</v>
      </c>
      <c r="G1967" t="s">
        <v>59</v>
      </c>
      <c r="H1967" t="s">
        <v>60</v>
      </c>
      <c r="J1967" t="s">
        <v>86</v>
      </c>
      <c r="L1967" t="s">
        <v>62</v>
      </c>
      <c r="M1967" t="s">
        <v>63</v>
      </c>
      <c r="N1967" t="s">
        <v>64</v>
      </c>
      <c r="P1967" t="s">
        <v>100</v>
      </c>
      <c r="R1967">
        <v>1</v>
      </c>
      <c r="T1967">
        <v>0.9</v>
      </c>
      <c r="V1967">
        <v>1.2</v>
      </c>
      <c r="W1967" t="s">
        <v>66</v>
      </c>
      <c r="X1967" t="s">
        <v>67</v>
      </c>
      <c r="Y1967" t="s">
        <v>67</v>
      </c>
      <c r="Z1967" t="s">
        <v>68</v>
      </c>
      <c r="AB1967">
        <v>4</v>
      </c>
      <c r="AC1967" t="s">
        <v>61</v>
      </c>
      <c r="AJ1967" t="s">
        <v>69</v>
      </c>
      <c r="AY1967" t="s">
        <v>872</v>
      </c>
      <c r="AZ1967">
        <v>73461</v>
      </c>
      <c r="BA1967" t="s">
        <v>873</v>
      </c>
      <c r="BB1967" t="s">
        <v>874</v>
      </c>
      <c r="BC1967">
        <v>1983</v>
      </c>
      <c r="BD1967" t="s">
        <v>90</v>
      </c>
    </row>
    <row r="1968" spans="1:56" x14ac:dyDescent="0.35">
      <c r="A1968">
        <v>606348</v>
      </c>
      <c r="B1968" t="s">
        <v>1530</v>
      </c>
      <c r="D1968" t="s">
        <v>85</v>
      </c>
      <c r="E1968" t="s">
        <v>86</v>
      </c>
      <c r="F1968" t="s">
        <v>58</v>
      </c>
      <c r="G1968" t="s">
        <v>59</v>
      </c>
      <c r="H1968" t="s">
        <v>60</v>
      </c>
      <c r="J1968" t="s">
        <v>86</v>
      </c>
      <c r="L1968" t="s">
        <v>62</v>
      </c>
      <c r="M1968" t="s">
        <v>63</v>
      </c>
      <c r="N1968" t="s">
        <v>64</v>
      </c>
      <c r="P1968" t="s">
        <v>100</v>
      </c>
      <c r="Q1968" t="s">
        <v>435</v>
      </c>
      <c r="R1968">
        <v>5</v>
      </c>
      <c r="W1968" t="s">
        <v>66</v>
      </c>
      <c r="X1968" t="s">
        <v>67</v>
      </c>
      <c r="Y1968" t="s">
        <v>67</v>
      </c>
      <c r="Z1968" t="s">
        <v>68</v>
      </c>
      <c r="AB1968">
        <v>4</v>
      </c>
      <c r="AC1968" t="s">
        <v>61</v>
      </c>
      <c r="AJ1968" t="s">
        <v>69</v>
      </c>
      <c r="AY1968" t="s">
        <v>715</v>
      </c>
      <c r="AZ1968">
        <v>5671</v>
      </c>
      <c r="BA1968" t="s">
        <v>716</v>
      </c>
      <c r="BB1968" t="s">
        <v>717</v>
      </c>
      <c r="BC1968">
        <v>1977</v>
      </c>
      <c r="BD1968" t="s">
        <v>90</v>
      </c>
    </row>
    <row r="1969" spans="1:56" x14ac:dyDescent="0.35">
      <c r="A1969">
        <v>607001</v>
      </c>
      <c r="B1969" t="s">
        <v>1531</v>
      </c>
      <c r="D1969" t="s">
        <v>57</v>
      </c>
      <c r="E1969">
        <v>97</v>
      </c>
      <c r="F1969" t="s">
        <v>58</v>
      </c>
      <c r="G1969" t="s">
        <v>59</v>
      </c>
      <c r="H1969" t="s">
        <v>60</v>
      </c>
      <c r="J1969">
        <v>34</v>
      </c>
      <c r="K1969" t="s">
        <v>61</v>
      </c>
      <c r="L1969" t="s">
        <v>74</v>
      </c>
      <c r="M1969" t="s">
        <v>63</v>
      </c>
      <c r="N1969" t="s">
        <v>64</v>
      </c>
      <c r="P1969" t="s">
        <v>65</v>
      </c>
      <c r="R1969">
        <v>35.1</v>
      </c>
      <c r="T1969">
        <v>33</v>
      </c>
      <c r="V1969">
        <v>37.5</v>
      </c>
      <c r="W1969" t="s">
        <v>66</v>
      </c>
      <c r="X1969" t="s">
        <v>67</v>
      </c>
      <c r="Y1969" t="s">
        <v>67</v>
      </c>
      <c r="Z1969" t="s">
        <v>68</v>
      </c>
      <c r="AB1969">
        <v>4</v>
      </c>
      <c r="AC1969" t="s">
        <v>61</v>
      </c>
      <c r="AJ1969" t="s">
        <v>69</v>
      </c>
      <c r="AY1969" t="s">
        <v>286</v>
      </c>
      <c r="AZ1969">
        <v>12448</v>
      </c>
      <c r="BA1969" t="s">
        <v>287</v>
      </c>
      <c r="BB1969" t="s">
        <v>288</v>
      </c>
      <c r="BC1969">
        <v>1984</v>
      </c>
      <c r="BD1969" t="s">
        <v>73</v>
      </c>
    </row>
    <row r="1970" spans="1:56" x14ac:dyDescent="0.35">
      <c r="A1970">
        <v>607001</v>
      </c>
      <c r="B1970" t="s">
        <v>1531</v>
      </c>
      <c r="D1970" t="s">
        <v>57</v>
      </c>
      <c r="E1970">
        <v>97</v>
      </c>
      <c r="F1970" t="s">
        <v>58</v>
      </c>
      <c r="G1970" t="s">
        <v>59</v>
      </c>
      <c r="H1970" t="s">
        <v>60</v>
      </c>
      <c r="J1970">
        <v>33</v>
      </c>
      <c r="K1970" t="s">
        <v>61</v>
      </c>
      <c r="L1970" t="s">
        <v>74</v>
      </c>
      <c r="M1970" t="s">
        <v>63</v>
      </c>
      <c r="N1970" t="s">
        <v>64</v>
      </c>
      <c r="P1970" t="s">
        <v>65</v>
      </c>
      <c r="R1970">
        <v>26.3</v>
      </c>
      <c r="T1970">
        <v>24.9</v>
      </c>
      <c r="V1970">
        <v>27.8</v>
      </c>
      <c r="W1970" t="s">
        <v>66</v>
      </c>
      <c r="X1970" t="s">
        <v>67</v>
      </c>
      <c r="Y1970" t="s">
        <v>67</v>
      </c>
      <c r="Z1970" t="s">
        <v>68</v>
      </c>
      <c r="AB1970">
        <v>4</v>
      </c>
      <c r="AC1970" t="s">
        <v>61</v>
      </c>
      <c r="AJ1970" t="s">
        <v>69</v>
      </c>
      <c r="AY1970" t="s">
        <v>286</v>
      </c>
      <c r="AZ1970">
        <v>12448</v>
      </c>
      <c r="BA1970" t="s">
        <v>287</v>
      </c>
      <c r="BB1970" t="s">
        <v>288</v>
      </c>
      <c r="BC1970">
        <v>1984</v>
      </c>
      <c r="BD1970" t="s">
        <v>73</v>
      </c>
    </row>
    <row r="1971" spans="1:56" x14ac:dyDescent="0.35">
      <c r="A1971">
        <v>607818</v>
      </c>
      <c r="B1971" t="s">
        <v>1532</v>
      </c>
      <c r="D1971" t="s">
        <v>57</v>
      </c>
      <c r="E1971">
        <v>97</v>
      </c>
      <c r="F1971" t="s">
        <v>58</v>
      </c>
      <c r="G1971" t="s">
        <v>59</v>
      </c>
      <c r="H1971" t="s">
        <v>60</v>
      </c>
      <c r="J1971">
        <v>30</v>
      </c>
      <c r="K1971" t="s">
        <v>61</v>
      </c>
      <c r="L1971" t="s">
        <v>74</v>
      </c>
      <c r="M1971" t="s">
        <v>63</v>
      </c>
      <c r="N1971" t="s">
        <v>64</v>
      </c>
      <c r="P1971" t="s">
        <v>65</v>
      </c>
      <c r="R1971">
        <v>5.43</v>
      </c>
      <c r="T1971">
        <v>4.87</v>
      </c>
      <c r="V1971">
        <v>6.06</v>
      </c>
      <c r="W1971" t="s">
        <v>66</v>
      </c>
      <c r="X1971" t="s">
        <v>67</v>
      </c>
      <c r="Y1971" t="s">
        <v>67</v>
      </c>
      <c r="Z1971" t="s">
        <v>68</v>
      </c>
      <c r="AB1971">
        <v>4</v>
      </c>
      <c r="AC1971" t="s">
        <v>61</v>
      </c>
      <c r="AJ1971" t="s">
        <v>69</v>
      </c>
      <c r="AY1971" t="s">
        <v>141</v>
      </c>
      <c r="AZ1971">
        <v>12447</v>
      </c>
      <c r="BA1971" t="s">
        <v>142</v>
      </c>
      <c r="BB1971" t="s">
        <v>143</v>
      </c>
      <c r="BC1971">
        <v>1985</v>
      </c>
      <c r="BD1971" t="s">
        <v>73</v>
      </c>
    </row>
    <row r="1972" spans="1:56" x14ac:dyDescent="0.35">
      <c r="A1972">
        <v>608719</v>
      </c>
      <c r="B1972" t="s">
        <v>1533</v>
      </c>
      <c r="D1972" t="s">
        <v>57</v>
      </c>
      <c r="E1972">
        <v>99</v>
      </c>
      <c r="F1972" t="s">
        <v>58</v>
      </c>
      <c r="G1972" t="s">
        <v>59</v>
      </c>
      <c r="H1972" t="s">
        <v>60</v>
      </c>
      <c r="J1972">
        <v>33</v>
      </c>
      <c r="K1972" t="s">
        <v>61</v>
      </c>
      <c r="L1972" t="s">
        <v>74</v>
      </c>
      <c r="M1972" t="s">
        <v>63</v>
      </c>
      <c r="N1972" t="s">
        <v>64</v>
      </c>
      <c r="P1972" t="s">
        <v>65</v>
      </c>
      <c r="R1972">
        <v>9.2999999999999999E-2</v>
      </c>
      <c r="T1972">
        <v>0.08</v>
      </c>
      <c r="V1972">
        <v>0.108</v>
      </c>
      <c r="W1972" t="s">
        <v>66</v>
      </c>
      <c r="X1972" t="s">
        <v>67</v>
      </c>
      <c r="Y1972" t="s">
        <v>67</v>
      </c>
      <c r="Z1972" t="s">
        <v>68</v>
      </c>
      <c r="AB1972">
        <v>4</v>
      </c>
      <c r="AC1972" t="s">
        <v>61</v>
      </c>
      <c r="AJ1972" t="s">
        <v>69</v>
      </c>
      <c r="AY1972" t="s">
        <v>80</v>
      </c>
      <c r="AZ1972">
        <v>12859</v>
      </c>
      <c r="BA1972" t="s">
        <v>81</v>
      </c>
      <c r="BB1972" t="s">
        <v>82</v>
      </c>
      <c r="BC1972">
        <v>1988</v>
      </c>
      <c r="BD1972" t="s">
        <v>73</v>
      </c>
    </row>
    <row r="1973" spans="1:56" x14ac:dyDescent="0.35">
      <c r="A1973">
        <v>608731</v>
      </c>
      <c r="B1973" t="s">
        <v>1534</v>
      </c>
      <c r="E1973">
        <v>41.5</v>
      </c>
      <c r="F1973" t="s">
        <v>58</v>
      </c>
      <c r="G1973" t="s">
        <v>59</v>
      </c>
      <c r="H1973" t="s">
        <v>60</v>
      </c>
      <c r="J1973" t="s">
        <v>86</v>
      </c>
      <c r="L1973" t="s">
        <v>62</v>
      </c>
      <c r="M1973" t="s">
        <v>63</v>
      </c>
      <c r="N1973" t="s">
        <v>64</v>
      </c>
      <c r="P1973" t="s">
        <v>65</v>
      </c>
      <c r="R1973">
        <v>0.125</v>
      </c>
      <c r="T1973">
        <v>9.6000000000000002E-2</v>
      </c>
      <c r="V1973">
        <v>0.16400000000000001</v>
      </c>
      <c r="W1973" t="s">
        <v>66</v>
      </c>
      <c r="X1973" t="s">
        <v>67</v>
      </c>
      <c r="Y1973" t="s">
        <v>67</v>
      </c>
      <c r="Z1973" t="s">
        <v>68</v>
      </c>
      <c r="AB1973">
        <v>4</v>
      </c>
      <c r="AC1973" t="s">
        <v>61</v>
      </c>
      <c r="AJ1973" t="s">
        <v>69</v>
      </c>
      <c r="AY1973" t="s">
        <v>96</v>
      </c>
      <c r="AZ1973">
        <v>6797</v>
      </c>
      <c r="BA1973" t="s">
        <v>97</v>
      </c>
      <c r="BB1973" t="s">
        <v>98</v>
      </c>
      <c r="BC1973">
        <v>1986</v>
      </c>
      <c r="BD1973" t="s">
        <v>90</v>
      </c>
    </row>
    <row r="1974" spans="1:56" x14ac:dyDescent="0.35">
      <c r="A1974">
        <v>608731</v>
      </c>
      <c r="B1974" t="s">
        <v>1534</v>
      </c>
      <c r="C1974" t="s">
        <v>91</v>
      </c>
      <c r="D1974" t="s">
        <v>85</v>
      </c>
      <c r="E1974" t="s">
        <v>86</v>
      </c>
      <c r="F1974" t="s">
        <v>58</v>
      </c>
      <c r="G1974" t="s">
        <v>59</v>
      </c>
      <c r="H1974" t="s">
        <v>60</v>
      </c>
      <c r="J1974" t="s">
        <v>86</v>
      </c>
      <c r="L1974" t="s">
        <v>62</v>
      </c>
      <c r="M1974" t="s">
        <v>63</v>
      </c>
      <c r="N1974" t="s">
        <v>64</v>
      </c>
      <c r="P1974" t="s">
        <v>65</v>
      </c>
      <c r="R1974">
        <v>2</v>
      </c>
      <c r="W1974" t="s">
        <v>66</v>
      </c>
      <c r="X1974" t="s">
        <v>67</v>
      </c>
      <c r="Y1974" t="s">
        <v>67</v>
      </c>
      <c r="Z1974" t="s">
        <v>68</v>
      </c>
      <c r="AB1974">
        <v>4</v>
      </c>
      <c r="AC1974" t="s">
        <v>61</v>
      </c>
      <c r="AJ1974" t="s">
        <v>69</v>
      </c>
      <c r="AQ1974" t="s">
        <v>69</v>
      </c>
      <c r="AY1974" t="s">
        <v>87</v>
      </c>
      <c r="AZ1974">
        <v>878</v>
      </c>
      <c r="BA1974" t="s">
        <v>88</v>
      </c>
      <c r="BB1974" t="s">
        <v>89</v>
      </c>
      <c r="BC1974">
        <v>1959</v>
      </c>
      <c r="BD1974" t="s">
        <v>1535</v>
      </c>
    </row>
    <row r="1975" spans="1:56" x14ac:dyDescent="0.35">
      <c r="A1975">
        <v>608731</v>
      </c>
      <c r="B1975" t="s">
        <v>1534</v>
      </c>
      <c r="C1975" t="s">
        <v>91</v>
      </c>
      <c r="D1975" t="s">
        <v>85</v>
      </c>
      <c r="E1975" t="s">
        <v>86</v>
      </c>
      <c r="F1975" t="s">
        <v>58</v>
      </c>
      <c r="G1975" t="s">
        <v>59</v>
      </c>
      <c r="H1975" t="s">
        <v>60</v>
      </c>
      <c r="J1975" t="s">
        <v>86</v>
      </c>
      <c r="L1975" t="s">
        <v>62</v>
      </c>
      <c r="M1975" t="s">
        <v>63</v>
      </c>
      <c r="N1975" t="s">
        <v>64</v>
      </c>
      <c r="P1975" t="s">
        <v>65</v>
      </c>
      <c r="R1975">
        <v>2.2999999999999998</v>
      </c>
      <c r="W1975" t="s">
        <v>66</v>
      </c>
      <c r="X1975" t="s">
        <v>67</v>
      </c>
      <c r="Y1975" t="s">
        <v>67</v>
      </c>
      <c r="Z1975" t="s">
        <v>68</v>
      </c>
      <c r="AB1975">
        <v>4</v>
      </c>
      <c r="AC1975" t="s">
        <v>61</v>
      </c>
      <c r="AJ1975" t="s">
        <v>69</v>
      </c>
      <c r="AQ1975" t="s">
        <v>69</v>
      </c>
      <c r="AY1975" t="s">
        <v>87</v>
      </c>
      <c r="AZ1975">
        <v>878</v>
      </c>
      <c r="BA1975" t="s">
        <v>88</v>
      </c>
      <c r="BB1975" t="s">
        <v>89</v>
      </c>
      <c r="BC1975">
        <v>1959</v>
      </c>
      <c r="BD1975" t="s">
        <v>1536</v>
      </c>
    </row>
    <row r="1976" spans="1:56" x14ac:dyDescent="0.35">
      <c r="A1976">
        <v>608731</v>
      </c>
      <c r="B1976" t="s">
        <v>1534</v>
      </c>
      <c r="D1976" t="s">
        <v>85</v>
      </c>
      <c r="E1976" t="s">
        <v>86</v>
      </c>
      <c r="F1976" t="s">
        <v>58</v>
      </c>
      <c r="G1976" t="s">
        <v>59</v>
      </c>
      <c r="H1976" t="s">
        <v>60</v>
      </c>
      <c r="J1976" t="s">
        <v>86</v>
      </c>
      <c r="M1976" t="s">
        <v>63</v>
      </c>
      <c r="N1976" t="s">
        <v>64</v>
      </c>
      <c r="P1976" t="s">
        <v>100</v>
      </c>
      <c r="R1976">
        <v>2.2999999999999998</v>
      </c>
      <c r="W1976" t="s">
        <v>66</v>
      </c>
      <c r="X1976" t="s">
        <v>67</v>
      </c>
      <c r="Y1976" t="s">
        <v>67</v>
      </c>
      <c r="Z1976" t="s">
        <v>68</v>
      </c>
      <c r="AB1976">
        <v>4</v>
      </c>
      <c r="AC1976" t="s">
        <v>61</v>
      </c>
      <c r="AJ1976" t="s">
        <v>69</v>
      </c>
      <c r="AY1976" t="s">
        <v>101</v>
      </c>
      <c r="AZ1976">
        <v>70421</v>
      </c>
      <c r="BA1976" t="s">
        <v>102</v>
      </c>
      <c r="BB1976" t="s">
        <v>103</v>
      </c>
      <c r="BC1976">
        <v>1974</v>
      </c>
      <c r="BD1976" t="s">
        <v>90</v>
      </c>
    </row>
    <row r="1977" spans="1:56" x14ac:dyDescent="0.35">
      <c r="A1977">
        <v>608935</v>
      </c>
      <c r="B1977" t="s">
        <v>1537</v>
      </c>
      <c r="D1977" t="s">
        <v>57</v>
      </c>
      <c r="E1977">
        <v>98</v>
      </c>
      <c r="F1977" t="s">
        <v>58</v>
      </c>
      <c r="G1977" t="s">
        <v>59</v>
      </c>
      <c r="H1977" t="s">
        <v>60</v>
      </c>
      <c r="J1977">
        <v>30</v>
      </c>
      <c r="K1977" t="s">
        <v>61</v>
      </c>
      <c r="L1977" t="s">
        <v>62</v>
      </c>
      <c r="M1977" t="s">
        <v>63</v>
      </c>
      <c r="N1977" t="s">
        <v>64</v>
      </c>
      <c r="P1977" t="s">
        <v>65</v>
      </c>
      <c r="R1977">
        <v>0.378</v>
      </c>
      <c r="W1977" t="s">
        <v>66</v>
      </c>
      <c r="X1977" t="s">
        <v>67</v>
      </c>
      <c r="Y1977" t="s">
        <v>67</v>
      </c>
      <c r="Z1977" t="s">
        <v>68</v>
      </c>
      <c r="AB1977">
        <v>4</v>
      </c>
      <c r="AC1977" t="s">
        <v>61</v>
      </c>
      <c r="AJ1977" t="s">
        <v>69</v>
      </c>
      <c r="AY1977" t="s">
        <v>70</v>
      </c>
      <c r="AZ1977">
        <v>14339</v>
      </c>
      <c r="BA1977" t="s">
        <v>71</v>
      </c>
      <c r="BB1977" t="s">
        <v>72</v>
      </c>
      <c r="BC1977">
        <v>1987</v>
      </c>
      <c r="BD1977" t="s">
        <v>73</v>
      </c>
    </row>
    <row r="1978" spans="1:56" x14ac:dyDescent="0.35">
      <c r="A1978">
        <v>608935</v>
      </c>
      <c r="B1978" t="s">
        <v>1537</v>
      </c>
      <c r="D1978" t="s">
        <v>57</v>
      </c>
      <c r="E1978">
        <v>98</v>
      </c>
      <c r="F1978" t="s">
        <v>58</v>
      </c>
      <c r="G1978" t="s">
        <v>59</v>
      </c>
      <c r="H1978" t="s">
        <v>60</v>
      </c>
      <c r="J1978">
        <v>30</v>
      </c>
      <c r="K1978" t="s">
        <v>61</v>
      </c>
      <c r="L1978" t="s">
        <v>74</v>
      </c>
      <c r="M1978" t="s">
        <v>63</v>
      </c>
      <c r="N1978" t="s">
        <v>64</v>
      </c>
      <c r="P1978" t="s">
        <v>65</v>
      </c>
      <c r="R1978">
        <v>0.247</v>
      </c>
      <c r="T1978">
        <v>0.21</v>
      </c>
      <c r="V1978">
        <v>0.29099999999999998</v>
      </c>
      <c r="W1978" t="s">
        <v>66</v>
      </c>
      <c r="X1978" t="s">
        <v>67</v>
      </c>
      <c r="Y1978" t="s">
        <v>67</v>
      </c>
      <c r="Z1978" t="s">
        <v>68</v>
      </c>
      <c r="AB1978">
        <v>4</v>
      </c>
      <c r="AC1978" t="s">
        <v>61</v>
      </c>
      <c r="AJ1978" t="s">
        <v>69</v>
      </c>
      <c r="AY1978" t="s">
        <v>70</v>
      </c>
      <c r="AZ1978">
        <v>14339</v>
      </c>
      <c r="BA1978" t="s">
        <v>71</v>
      </c>
      <c r="BB1978" t="s">
        <v>72</v>
      </c>
      <c r="BC1978">
        <v>1987</v>
      </c>
      <c r="BD1978" t="s">
        <v>73</v>
      </c>
    </row>
    <row r="1979" spans="1:56" x14ac:dyDescent="0.35">
      <c r="A1979">
        <v>609234</v>
      </c>
      <c r="B1979" t="s">
        <v>1538</v>
      </c>
      <c r="D1979" t="s">
        <v>57</v>
      </c>
      <c r="E1979">
        <v>97</v>
      </c>
      <c r="F1979" t="s">
        <v>58</v>
      </c>
      <c r="G1979" t="s">
        <v>59</v>
      </c>
      <c r="H1979" t="s">
        <v>60</v>
      </c>
      <c r="J1979">
        <v>32</v>
      </c>
      <c r="K1979" t="s">
        <v>61</v>
      </c>
      <c r="L1979" t="s">
        <v>74</v>
      </c>
      <c r="M1979" t="s">
        <v>63</v>
      </c>
      <c r="N1979" t="s">
        <v>64</v>
      </c>
      <c r="P1979" t="s">
        <v>65</v>
      </c>
      <c r="R1979">
        <v>1.21</v>
      </c>
      <c r="T1979">
        <v>1.08</v>
      </c>
      <c r="V1979">
        <v>1.36</v>
      </c>
      <c r="W1979" t="s">
        <v>66</v>
      </c>
      <c r="X1979" t="s">
        <v>67</v>
      </c>
      <c r="Y1979" t="s">
        <v>67</v>
      </c>
      <c r="Z1979" t="s">
        <v>68</v>
      </c>
      <c r="AB1979">
        <v>4</v>
      </c>
      <c r="AC1979" t="s">
        <v>61</v>
      </c>
      <c r="AJ1979" t="s">
        <v>69</v>
      </c>
      <c r="AY1979" t="s">
        <v>75</v>
      </c>
      <c r="AZ1979">
        <v>3217</v>
      </c>
      <c r="BA1979" t="s">
        <v>76</v>
      </c>
      <c r="BB1979" t="s">
        <v>77</v>
      </c>
      <c r="BC1979">
        <v>1990</v>
      </c>
      <c r="BD1979" t="s">
        <v>73</v>
      </c>
    </row>
    <row r="1980" spans="1:56" x14ac:dyDescent="0.35">
      <c r="A1980">
        <v>610399</v>
      </c>
      <c r="B1980" t="s">
        <v>1539</v>
      </c>
      <c r="D1980" t="s">
        <v>85</v>
      </c>
      <c r="E1980" t="s">
        <v>86</v>
      </c>
      <c r="F1980" t="s">
        <v>58</v>
      </c>
      <c r="G1980" t="s">
        <v>59</v>
      </c>
      <c r="H1980" t="s">
        <v>60</v>
      </c>
      <c r="I1980" t="s">
        <v>129</v>
      </c>
      <c r="J1980" t="s">
        <v>86</v>
      </c>
      <c r="L1980" t="s">
        <v>62</v>
      </c>
      <c r="M1980" t="s">
        <v>63</v>
      </c>
      <c r="N1980" t="s">
        <v>64</v>
      </c>
      <c r="P1980" t="s">
        <v>65</v>
      </c>
      <c r="R1980">
        <v>1.5</v>
      </c>
      <c r="T1980">
        <v>1.1000000000000001</v>
      </c>
      <c r="V1980">
        <v>1.8</v>
      </c>
      <c r="W1980" t="s">
        <v>66</v>
      </c>
      <c r="X1980" t="s">
        <v>67</v>
      </c>
      <c r="Y1980" t="s">
        <v>67</v>
      </c>
      <c r="Z1980" t="s">
        <v>68</v>
      </c>
      <c r="AB1980">
        <v>4</v>
      </c>
      <c r="AC1980" t="s">
        <v>61</v>
      </c>
      <c r="AJ1980" t="s">
        <v>69</v>
      </c>
      <c r="AY1980" t="s">
        <v>718</v>
      </c>
      <c r="AZ1980">
        <v>10141</v>
      </c>
      <c r="BA1980" t="s">
        <v>719</v>
      </c>
      <c r="BB1980" t="s">
        <v>720</v>
      </c>
      <c r="BC1980">
        <v>1983</v>
      </c>
      <c r="BD1980" t="s">
        <v>721</v>
      </c>
    </row>
    <row r="1981" spans="1:56" x14ac:dyDescent="0.35">
      <c r="A1981">
        <v>610399</v>
      </c>
      <c r="B1981" t="s">
        <v>1539</v>
      </c>
      <c r="D1981" t="s">
        <v>85</v>
      </c>
      <c r="E1981" t="s">
        <v>86</v>
      </c>
      <c r="F1981" t="s">
        <v>58</v>
      </c>
      <c r="G1981" t="s">
        <v>59</v>
      </c>
      <c r="H1981" t="s">
        <v>60</v>
      </c>
      <c r="J1981" t="s">
        <v>86</v>
      </c>
      <c r="L1981" t="s">
        <v>62</v>
      </c>
      <c r="M1981" t="s">
        <v>63</v>
      </c>
      <c r="N1981" t="s">
        <v>64</v>
      </c>
      <c r="P1981" t="s">
        <v>100</v>
      </c>
      <c r="Q1981" t="s">
        <v>435</v>
      </c>
      <c r="R1981">
        <v>5</v>
      </c>
      <c r="W1981" t="s">
        <v>66</v>
      </c>
      <c r="X1981" t="s">
        <v>67</v>
      </c>
      <c r="Y1981" t="s">
        <v>67</v>
      </c>
      <c r="Z1981" t="s">
        <v>68</v>
      </c>
      <c r="AB1981">
        <v>4</v>
      </c>
      <c r="AC1981" t="s">
        <v>61</v>
      </c>
      <c r="AJ1981" t="s">
        <v>69</v>
      </c>
      <c r="AY1981" t="s">
        <v>715</v>
      </c>
      <c r="AZ1981">
        <v>5671</v>
      </c>
      <c r="BA1981" t="s">
        <v>716</v>
      </c>
      <c r="BB1981" t="s">
        <v>717</v>
      </c>
      <c r="BC1981">
        <v>1977</v>
      </c>
      <c r="BD1981" t="s">
        <v>90</v>
      </c>
    </row>
    <row r="1982" spans="1:56" x14ac:dyDescent="0.35">
      <c r="A1982">
        <v>610399</v>
      </c>
      <c r="B1982" t="s">
        <v>1539</v>
      </c>
      <c r="D1982" t="s">
        <v>85</v>
      </c>
      <c r="E1982" t="s">
        <v>86</v>
      </c>
      <c r="F1982" t="s">
        <v>58</v>
      </c>
      <c r="G1982" t="s">
        <v>59</v>
      </c>
      <c r="H1982" t="s">
        <v>60</v>
      </c>
      <c r="I1982" t="s">
        <v>129</v>
      </c>
      <c r="J1982" t="s">
        <v>86</v>
      </c>
      <c r="L1982" t="s">
        <v>62</v>
      </c>
      <c r="M1982" t="s">
        <v>63</v>
      </c>
      <c r="N1982" t="s">
        <v>64</v>
      </c>
      <c r="P1982" t="s">
        <v>100</v>
      </c>
      <c r="R1982">
        <v>1.5</v>
      </c>
      <c r="W1982" t="s">
        <v>66</v>
      </c>
      <c r="X1982" t="s">
        <v>67</v>
      </c>
      <c r="Y1982" t="s">
        <v>67</v>
      </c>
      <c r="Z1982" t="s">
        <v>68</v>
      </c>
      <c r="AB1982">
        <v>4</v>
      </c>
      <c r="AC1982" t="s">
        <v>61</v>
      </c>
      <c r="AJ1982" t="s">
        <v>69</v>
      </c>
      <c r="AY1982" t="s">
        <v>722</v>
      </c>
      <c r="AZ1982">
        <v>5087</v>
      </c>
      <c r="BA1982" t="s">
        <v>723</v>
      </c>
      <c r="BB1982" t="s">
        <v>724</v>
      </c>
      <c r="BC1982">
        <v>1979</v>
      </c>
      <c r="BD1982" t="s">
        <v>90</v>
      </c>
    </row>
    <row r="1983" spans="1:56" x14ac:dyDescent="0.35">
      <c r="A1983">
        <v>613456</v>
      </c>
      <c r="B1983" t="s">
        <v>1540</v>
      </c>
      <c r="D1983" t="s">
        <v>57</v>
      </c>
      <c r="E1983" t="s">
        <v>810</v>
      </c>
      <c r="F1983" t="s">
        <v>58</v>
      </c>
      <c r="G1983" t="s">
        <v>59</v>
      </c>
      <c r="H1983" t="s">
        <v>60</v>
      </c>
      <c r="J1983">
        <v>30</v>
      </c>
      <c r="K1983" t="s">
        <v>61</v>
      </c>
      <c r="L1983" t="s">
        <v>74</v>
      </c>
      <c r="M1983" t="s">
        <v>63</v>
      </c>
      <c r="N1983" t="s">
        <v>64</v>
      </c>
      <c r="P1983" t="s">
        <v>65</v>
      </c>
      <c r="R1983">
        <v>20.100000000000001</v>
      </c>
      <c r="T1983">
        <v>18.8</v>
      </c>
      <c r="V1983">
        <v>21.5</v>
      </c>
      <c r="W1983" t="s">
        <v>66</v>
      </c>
      <c r="X1983" t="s">
        <v>67</v>
      </c>
      <c r="Y1983" t="s">
        <v>67</v>
      </c>
      <c r="Z1983" t="s">
        <v>68</v>
      </c>
      <c r="AB1983">
        <v>4</v>
      </c>
      <c r="AC1983" t="s">
        <v>61</v>
      </c>
      <c r="AJ1983" t="s">
        <v>69</v>
      </c>
      <c r="AY1983" t="s">
        <v>286</v>
      </c>
      <c r="AZ1983">
        <v>12448</v>
      </c>
      <c r="BA1983" t="s">
        <v>287</v>
      </c>
      <c r="BB1983" t="s">
        <v>288</v>
      </c>
      <c r="BC1983">
        <v>1984</v>
      </c>
      <c r="BD1983" t="s">
        <v>73</v>
      </c>
    </row>
    <row r="1984" spans="1:56" x14ac:dyDescent="0.35">
      <c r="A1984">
        <v>614802</v>
      </c>
      <c r="B1984" t="s">
        <v>1541</v>
      </c>
      <c r="D1984" t="s">
        <v>57</v>
      </c>
      <c r="E1984">
        <v>92</v>
      </c>
      <c r="F1984" t="s">
        <v>58</v>
      </c>
      <c r="G1984" t="s">
        <v>59</v>
      </c>
      <c r="H1984" t="s">
        <v>60</v>
      </c>
      <c r="J1984" t="s">
        <v>86</v>
      </c>
      <c r="K1984" t="s">
        <v>61</v>
      </c>
      <c r="L1984" t="s">
        <v>74</v>
      </c>
      <c r="M1984" t="s">
        <v>63</v>
      </c>
      <c r="N1984" t="s">
        <v>64</v>
      </c>
      <c r="P1984" t="s">
        <v>65</v>
      </c>
      <c r="R1984">
        <v>33</v>
      </c>
      <c r="T1984">
        <v>30.3</v>
      </c>
      <c r="V1984">
        <v>36</v>
      </c>
      <c r="W1984" t="s">
        <v>66</v>
      </c>
      <c r="X1984" t="s">
        <v>67</v>
      </c>
      <c r="Y1984" t="s">
        <v>67</v>
      </c>
      <c r="Z1984" t="s">
        <v>68</v>
      </c>
      <c r="AB1984">
        <v>4</v>
      </c>
      <c r="AC1984" t="s">
        <v>61</v>
      </c>
      <c r="AJ1984" t="s">
        <v>69</v>
      </c>
      <c r="AY1984" t="s">
        <v>286</v>
      </c>
      <c r="AZ1984">
        <v>12448</v>
      </c>
      <c r="BA1984" t="s">
        <v>287</v>
      </c>
      <c r="BB1984" t="s">
        <v>288</v>
      </c>
      <c r="BC1984">
        <v>1984</v>
      </c>
      <c r="BD1984" t="s">
        <v>370</v>
      </c>
    </row>
    <row r="1985" spans="1:56" x14ac:dyDescent="0.35">
      <c r="A1985">
        <v>614802</v>
      </c>
      <c r="B1985" t="s">
        <v>1541</v>
      </c>
      <c r="D1985" t="s">
        <v>57</v>
      </c>
      <c r="E1985">
        <v>92</v>
      </c>
      <c r="F1985" t="s">
        <v>58</v>
      </c>
      <c r="G1985" t="s">
        <v>59</v>
      </c>
      <c r="H1985" t="s">
        <v>60</v>
      </c>
      <c r="J1985">
        <v>36</v>
      </c>
      <c r="K1985" t="s">
        <v>61</v>
      </c>
      <c r="L1985" t="s">
        <v>74</v>
      </c>
      <c r="M1985" t="s">
        <v>63</v>
      </c>
      <c r="N1985" t="s">
        <v>64</v>
      </c>
      <c r="P1985" t="s">
        <v>65</v>
      </c>
      <c r="R1985">
        <v>22.1</v>
      </c>
      <c r="W1985" t="s">
        <v>66</v>
      </c>
      <c r="X1985" t="s">
        <v>67</v>
      </c>
      <c r="Y1985" t="s">
        <v>67</v>
      </c>
      <c r="Z1985" t="s">
        <v>68</v>
      </c>
      <c r="AB1985">
        <v>4</v>
      </c>
      <c r="AC1985" t="s">
        <v>61</v>
      </c>
      <c r="AJ1985" t="s">
        <v>69</v>
      </c>
      <c r="AY1985" t="s">
        <v>286</v>
      </c>
      <c r="AZ1985">
        <v>12448</v>
      </c>
      <c r="BA1985" t="s">
        <v>287</v>
      </c>
      <c r="BB1985" t="s">
        <v>288</v>
      </c>
      <c r="BC1985">
        <v>1984</v>
      </c>
      <c r="BD1985" t="s">
        <v>73</v>
      </c>
    </row>
    <row r="1986" spans="1:56" x14ac:dyDescent="0.35">
      <c r="A1986">
        <v>614802</v>
      </c>
      <c r="B1986" t="s">
        <v>1541</v>
      </c>
      <c r="D1986" t="s">
        <v>57</v>
      </c>
      <c r="E1986" t="s">
        <v>128</v>
      </c>
      <c r="F1986" t="s">
        <v>58</v>
      </c>
      <c r="G1986" t="s">
        <v>59</v>
      </c>
      <c r="H1986" t="s">
        <v>60</v>
      </c>
      <c r="I1986" t="s">
        <v>129</v>
      </c>
      <c r="J1986" t="s">
        <v>86</v>
      </c>
      <c r="K1986" t="s">
        <v>61</v>
      </c>
      <c r="L1986" t="s">
        <v>74</v>
      </c>
      <c r="M1986" t="s">
        <v>63</v>
      </c>
      <c r="N1986" t="s">
        <v>64</v>
      </c>
      <c r="P1986" t="s">
        <v>65</v>
      </c>
      <c r="R1986">
        <v>106</v>
      </c>
      <c r="W1986" t="s">
        <v>66</v>
      </c>
      <c r="X1986" t="s">
        <v>67</v>
      </c>
      <c r="Y1986" t="s">
        <v>67</v>
      </c>
      <c r="Z1986" t="s">
        <v>68</v>
      </c>
      <c r="AB1986">
        <v>4</v>
      </c>
      <c r="AC1986" t="s">
        <v>61</v>
      </c>
      <c r="AJ1986" t="s">
        <v>69</v>
      </c>
      <c r="AY1986" t="s">
        <v>134</v>
      </c>
      <c r="AZ1986">
        <v>15031</v>
      </c>
      <c r="BA1986" t="s">
        <v>135</v>
      </c>
      <c r="BB1986" t="s">
        <v>136</v>
      </c>
      <c r="BC1986">
        <v>1995</v>
      </c>
      <c r="BD1986" t="s">
        <v>133</v>
      </c>
    </row>
    <row r="1987" spans="1:56" x14ac:dyDescent="0.35">
      <c r="A1987">
        <v>615656</v>
      </c>
      <c r="B1987" t="s">
        <v>1542</v>
      </c>
      <c r="D1987" t="s">
        <v>57</v>
      </c>
      <c r="E1987" t="s">
        <v>128</v>
      </c>
      <c r="F1987" t="s">
        <v>58</v>
      </c>
      <c r="G1987" t="s">
        <v>59</v>
      </c>
      <c r="H1987" t="s">
        <v>60</v>
      </c>
      <c r="I1987" t="s">
        <v>129</v>
      </c>
      <c r="J1987" t="s">
        <v>86</v>
      </c>
      <c r="K1987" t="s">
        <v>61</v>
      </c>
      <c r="L1987" t="s">
        <v>74</v>
      </c>
      <c r="M1987" t="s">
        <v>63</v>
      </c>
      <c r="N1987" t="s">
        <v>64</v>
      </c>
      <c r="P1987" t="s">
        <v>65</v>
      </c>
      <c r="R1987">
        <v>36.299999999999997</v>
      </c>
      <c r="W1987" t="s">
        <v>66</v>
      </c>
      <c r="X1987" t="s">
        <v>67</v>
      </c>
      <c r="Y1987" t="s">
        <v>67</v>
      </c>
      <c r="Z1987" t="s">
        <v>68</v>
      </c>
      <c r="AB1987">
        <v>4</v>
      </c>
      <c r="AC1987" t="s">
        <v>61</v>
      </c>
      <c r="AJ1987" t="s">
        <v>69</v>
      </c>
      <c r="AY1987" t="s">
        <v>134</v>
      </c>
      <c r="AZ1987">
        <v>15031</v>
      </c>
      <c r="BA1987" t="s">
        <v>135</v>
      </c>
      <c r="BB1987" t="s">
        <v>136</v>
      </c>
      <c r="BC1987">
        <v>1995</v>
      </c>
      <c r="BD1987" t="s">
        <v>133</v>
      </c>
    </row>
    <row r="1988" spans="1:56" x14ac:dyDescent="0.35">
      <c r="A1988">
        <v>615656</v>
      </c>
      <c r="B1988" t="s">
        <v>1542</v>
      </c>
      <c r="D1988" t="s">
        <v>57</v>
      </c>
      <c r="E1988">
        <v>98</v>
      </c>
      <c r="F1988" t="s">
        <v>58</v>
      </c>
      <c r="G1988" t="s">
        <v>59</v>
      </c>
      <c r="H1988" t="s">
        <v>60</v>
      </c>
      <c r="J1988">
        <v>30</v>
      </c>
      <c r="K1988" t="s">
        <v>61</v>
      </c>
      <c r="L1988" t="s">
        <v>74</v>
      </c>
      <c r="M1988" t="s">
        <v>63</v>
      </c>
      <c r="N1988" t="s">
        <v>64</v>
      </c>
      <c r="P1988" t="s">
        <v>65</v>
      </c>
      <c r="R1988">
        <v>35.9</v>
      </c>
      <c r="T1988">
        <v>31.8</v>
      </c>
      <c r="V1988">
        <v>40.5</v>
      </c>
      <c r="W1988" t="s">
        <v>66</v>
      </c>
      <c r="X1988" t="s">
        <v>67</v>
      </c>
      <c r="Y1988" t="s">
        <v>67</v>
      </c>
      <c r="Z1988" t="s">
        <v>68</v>
      </c>
      <c r="AB1988">
        <v>4</v>
      </c>
      <c r="AC1988" t="s">
        <v>61</v>
      </c>
      <c r="AJ1988" t="s">
        <v>69</v>
      </c>
      <c r="AY1988" t="s">
        <v>286</v>
      </c>
      <c r="AZ1988">
        <v>12448</v>
      </c>
      <c r="BA1988" t="s">
        <v>287</v>
      </c>
      <c r="BB1988" t="s">
        <v>288</v>
      </c>
      <c r="BC1988">
        <v>1984</v>
      </c>
      <c r="BD1988" t="s">
        <v>73</v>
      </c>
    </row>
    <row r="1989" spans="1:56" x14ac:dyDescent="0.35">
      <c r="A1989">
        <v>615678</v>
      </c>
      <c r="B1989" t="s">
        <v>1543</v>
      </c>
      <c r="D1989" t="s">
        <v>85</v>
      </c>
      <c r="E1989" t="s">
        <v>86</v>
      </c>
      <c r="F1989" t="s">
        <v>58</v>
      </c>
      <c r="G1989" t="s">
        <v>59</v>
      </c>
      <c r="H1989" t="s">
        <v>60</v>
      </c>
      <c r="J1989" t="s">
        <v>86</v>
      </c>
      <c r="L1989" t="s">
        <v>62</v>
      </c>
      <c r="M1989" t="s">
        <v>63</v>
      </c>
      <c r="N1989" t="s">
        <v>64</v>
      </c>
      <c r="O1989">
        <v>6</v>
      </c>
      <c r="P1989" t="s">
        <v>100</v>
      </c>
      <c r="T1989">
        <v>0.1</v>
      </c>
      <c r="V1989">
        <v>0.13</v>
      </c>
      <c r="W1989" t="s">
        <v>66</v>
      </c>
      <c r="X1989" t="s">
        <v>67</v>
      </c>
      <c r="Y1989" t="s">
        <v>67</v>
      </c>
      <c r="Z1989" t="s">
        <v>68</v>
      </c>
      <c r="AB1989">
        <v>4</v>
      </c>
      <c r="AC1989" t="s">
        <v>61</v>
      </c>
      <c r="AJ1989" t="s">
        <v>69</v>
      </c>
      <c r="AY1989" t="s">
        <v>173</v>
      </c>
      <c r="AZ1989">
        <v>167113</v>
      </c>
      <c r="BA1989" t="s">
        <v>174</v>
      </c>
      <c r="BB1989" t="s">
        <v>175</v>
      </c>
      <c r="BC1989">
        <v>1974</v>
      </c>
      <c r="BD1989" t="s">
        <v>90</v>
      </c>
    </row>
    <row r="1990" spans="1:56" x14ac:dyDescent="0.35">
      <c r="A1990">
        <v>615678</v>
      </c>
      <c r="B1990" t="s">
        <v>1543</v>
      </c>
      <c r="D1990" t="s">
        <v>85</v>
      </c>
      <c r="E1990" t="s">
        <v>86</v>
      </c>
      <c r="F1990" t="s">
        <v>58</v>
      </c>
      <c r="G1990" t="s">
        <v>59</v>
      </c>
      <c r="H1990" t="s">
        <v>60</v>
      </c>
      <c r="J1990" t="s">
        <v>86</v>
      </c>
      <c r="L1990" t="s">
        <v>62</v>
      </c>
      <c r="M1990" t="s">
        <v>63</v>
      </c>
      <c r="N1990" t="s">
        <v>64</v>
      </c>
      <c r="O1990">
        <v>6</v>
      </c>
      <c r="P1990" t="s">
        <v>100</v>
      </c>
      <c r="Q1990" t="s">
        <v>153</v>
      </c>
      <c r="R1990">
        <v>0.18</v>
      </c>
      <c r="W1990" t="s">
        <v>66</v>
      </c>
      <c r="X1990" t="s">
        <v>67</v>
      </c>
      <c r="Y1990" t="s">
        <v>67</v>
      </c>
      <c r="Z1990" t="s">
        <v>68</v>
      </c>
      <c r="AB1990">
        <v>4</v>
      </c>
      <c r="AC1990" t="s">
        <v>61</v>
      </c>
      <c r="AJ1990" t="s">
        <v>69</v>
      </c>
      <c r="AY1990" t="s">
        <v>173</v>
      </c>
      <c r="AZ1990">
        <v>167113</v>
      </c>
      <c r="BA1990" t="s">
        <v>174</v>
      </c>
      <c r="BB1990" t="s">
        <v>175</v>
      </c>
      <c r="BC1990">
        <v>1974</v>
      </c>
      <c r="BD1990" t="s">
        <v>90</v>
      </c>
    </row>
    <row r="1991" spans="1:56" x14ac:dyDescent="0.35">
      <c r="A1991">
        <v>615678</v>
      </c>
      <c r="B1991" t="s">
        <v>1543</v>
      </c>
      <c r="D1991" t="s">
        <v>85</v>
      </c>
      <c r="E1991" t="s">
        <v>86</v>
      </c>
      <c r="F1991" t="s">
        <v>58</v>
      </c>
      <c r="G1991" t="s">
        <v>59</v>
      </c>
      <c r="H1991" t="s">
        <v>60</v>
      </c>
      <c r="J1991" t="s">
        <v>86</v>
      </c>
      <c r="L1991" t="s">
        <v>62</v>
      </c>
      <c r="M1991" t="s">
        <v>63</v>
      </c>
      <c r="N1991" t="s">
        <v>64</v>
      </c>
      <c r="O1991">
        <v>5</v>
      </c>
      <c r="P1991" t="s">
        <v>100</v>
      </c>
      <c r="R1991">
        <v>0.19</v>
      </c>
      <c r="W1991" t="s">
        <v>66</v>
      </c>
      <c r="X1991" t="s">
        <v>67</v>
      </c>
      <c r="Y1991" t="s">
        <v>67</v>
      </c>
      <c r="Z1991" t="s">
        <v>68</v>
      </c>
      <c r="AB1991">
        <v>4</v>
      </c>
      <c r="AC1991" t="s">
        <v>61</v>
      </c>
      <c r="AJ1991" t="s">
        <v>69</v>
      </c>
      <c r="AY1991" t="s">
        <v>173</v>
      </c>
      <c r="AZ1991">
        <v>167113</v>
      </c>
      <c r="BA1991" t="s">
        <v>174</v>
      </c>
      <c r="BB1991" t="s">
        <v>175</v>
      </c>
      <c r="BC1991">
        <v>1974</v>
      </c>
      <c r="BD1991" t="s">
        <v>90</v>
      </c>
    </row>
    <row r="1992" spans="1:56" x14ac:dyDescent="0.35">
      <c r="A1992">
        <v>616455</v>
      </c>
      <c r="B1992" t="s">
        <v>1544</v>
      </c>
      <c r="D1992" t="s">
        <v>85</v>
      </c>
      <c r="E1992" t="s">
        <v>86</v>
      </c>
      <c r="F1992" t="s">
        <v>58</v>
      </c>
      <c r="G1992" t="s">
        <v>59</v>
      </c>
      <c r="H1992" t="s">
        <v>60</v>
      </c>
      <c r="J1992" t="s">
        <v>86</v>
      </c>
      <c r="L1992" t="s">
        <v>62</v>
      </c>
      <c r="M1992" t="s">
        <v>63</v>
      </c>
      <c r="N1992" t="s">
        <v>64</v>
      </c>
      <c r="O1992">
        <v>4</v>
      </c>
      <c r="P1992" t="s">
        <v>100</v>
      </c>
      <c r="Q1992" t="s">
        <v>153</v>
      </c>
      <c r="R1992">
        <v>100</v>
      </c>
      <c r="W1992" t="s">
        <v>66</v>
      </c>
      <c r="X1992" t="s">
        <v>67</v>
      </c>
      <c r="Y1992" t="s">
        <v>67</v>
      </c>
      <c r="Z1992" t="s">
        <v>68</v>
      </c>
      <c r="AB1992">
        <v>4</v>
      </c>
      <c r="AC1992" t="s">
        <v>61</v>
      </c>
      <c r="AJ1992" t="s">
        <v>69</v>
      </c>
      <c r="AY1992" t="s">
        <v>173</v>
      </c>
      <c r="AZ1992">
        <v>167113</v>
      </c>
      <c r="BA1992" t="s">
        <v>174</v>
      </c>
      <c r="BB1992" t="s">
        <v>175</v>
      </c>
      <c r="BC1992">
        <v>1974</v>
      </c>
      <c r="BD1992" t="s">
        <v>90</v>
      </c>
    </row>
    <row r="1993" spans="1:56" x14ac:dyDescent="0.35">
      <c r="A1993">
        <v>616728</v>
      </c>
      <c r="B1993" t="s">
        <v>1545</v>
      </c>
      <c r="D1993" t="s">
        <v>85</v>
      </c>
      <c r="E1993" t="s">
        <v>86</v>
      </c>
      <c r="F1993" t="s">
        <v>58</v>
      </c>
      <c r="G1993" t="s">
        <v>59</v>
      </c>
      <c r="H1993" t="s">
        <v>60</v>
      </c>
      <c r="I1993" t="s">
        <v>129</v>
      </c>
      <c r="J1993" t="s">
        <v>86</v>
      </c>
      <c r="L1993" t="s">
        <v>62</v>
      </c>
      <c r="M1993" t="s">
        <v>63</v>
      </c>
      <c r="N1993" t="s">
        <v>64</v>
      </c>
      <c r="P1993" t="s">
        <v>100</v>
      </c>
      <c r="R1993">
        <v>7.9</v>
      </c>
      <c r="W1993" t="s">
        <v>66</v>
      </c>
      <c r="X1993" t="s">
        <v>67</v>
      </c>
      <c r="Y1993" t="s">
        <v>67</v>
      </c>
      <c r="Z1993" t="s">
        <v>68</v>
      </c>
      <c r="AB1993">
        <v>4</v>
      </c>
      <c r="AC1993" t="s">
        <v>61</v>
      </c>
      <c r="AJ1993" t="s">
        <v>69</v>
      </c>
      <c r="AY1993" t="s">
        <v>722</v>
      </c>
      <c r="AZ1993">
        <v>5087</v>
      </c>
      <c r="BA1993" t="s">
        <v>723</v>
      </c>
      <c r="BB1993" t="s">
        <v>724</v>
      </c>
      <c r="BC1993">
        <v>1979</v>
      </c>
      <c r="BD1993" t="s">
        <v>90</v>
      </c>
    </row>
    <row r="1994" spans="1:56" x14ac:dyDescent="0.35">
      <c r="A1994">
        <v>616728</v>
      </c>
      <c r="B1994" t="s">
        <v>1545</v>
      </c>
      <c r="D1994" t="s">
        <v>85</v>
      </c>
      <c r="E1994" t="s">
        <v>86</v>
      </c>
      <c r="F1994" t="s">
        <v>58</v>
      </c>
      <c r="G1994" t="s">
        <v>59</v>
      </c>
      <c r="H1994" t="s">
        <v>60</v>
      </c>
      <c r="J1994" t="s">
        <v>86</v>
      </c>
      <c r="L1994" t="s">
        <v>62</v>
      </c>
      <c r="M1994" t="s">
        <v>63</v>
      </c>
      <c r="N1994" t="s">
        <v>64</v>
      </c>
      <c r="P1994" t="s">
        <v>100</v>
      </c>
      <c r="T1994">
        <v>5</v>
      </c>
      <c r="V1994">
        <v>15</v>
      </c>
      <c r="W1994" t="s">
        <v>66</v>
      </c>
      <c r="X1994" t="s">
        <v>67</v>
      </c>
      <c r="Y1994" t="s">
        <v>67</v>
      </c>
      <c r="Z1994" t="s">
        <v>68</v>
      </c>
      <c r="AB1994">
        <v>4</v>
      </c>
      <c r="AC1994" t="s">
        <v>61</v>
      </c>
      <c r="AJ1994" t="s">
        <v>69</v>
      </c>
      <c r="AY1994" t="s">
        <v>715</v>
      </c>
      <c r="AZ1994">
        <v>5671</v>
      </c>
      <c r="BA1994" t="s">
        <v>716</v>
      </c>
      <c r="BB1994" t="s">
        <v>717</v>
      </c>
      <c r="BC1994">
        <v>1977</v>
      </c>
      <c r="BD1994" t="s">
        <v>90</v>
      </c>
    </row>
    <row r="1995" spans="1:56" x14ac:dyDescent="0.35">
      <c r="A1995">
        <v>616739</v>
      </c>
      <c r="B1995" t="s">
        <v>1546</v>
      </c>
      <c r="D1995" t="s">
        <v>85</v>
      </c>
      <c r="E1995" t="s">
        <v>86</v>
      </c>
      <c r="F1995" t="s">
        <v>58</v>
      </c>
      <c r="G1995" t="s">
        <v>59</v>
      </c>
      <c r="H1995" t="s">
        <v>60</v>
      </c>
      <c r="I1995" t="s">
        <v>129</v>
      </c>
      <c r="J1995" t="s">
        <v>86</v>
      </c>
      <c r="L1995" t="s">
        <v>62</v>
      </c>
      <c r="M1995" t="s">
        <v>63</v>
      </c>
      <c r="N1995" t="s">
        <v>64</v>
      </c>
      <c r="P1995" t="s">
        <v>100</v>
      </c>
      <c r="R1995">
        <v>3.2</v>
      </c>
      <c r="W1995" t="s">
        <v>66</v>
      </c>
      <c r="X1995" t="s">
        <v>67</v>
      </c>
      <c r="Y1995" t="s">
        <v>67</v>
      </c>
      <c r="Z1995" t="s">
        <v>68</v>
      </c>
      <c r="AB1995">
        <v>4</v>
      </c>
      <c r="AC1995" t="s">
        <v>61</v>
      </c>
      <c r="AJ1995" t="s">
        <v>69</v>
      </c>
      <c r="AY1995" t="s">
        <v>722</v>
      </c>
      <c r="AZ1995">
        <v>5087</v>
      </c>
      <c r="BA1995" t="s">
        <v>723</v>
      </c>
      <c r="BB1995" t="s">
        <v>724</v>
      </c>
      <c r="BC1995">
        <v>1979</v>
      </c>
      <c r="BD1995" t="s">
        <v>90</v>
      </c>
    </row>
    <row r="1996" spans="1:56" x14ac:dyDescent="0.35">
      <c r="A1996">
        <v>616864</v>
      </c>
      <c r="B1996" t="s">
        <v>1547</v>
      </c>
      <c r="D1996" t="s">
        <v>57</v>
      </c>
      <c r="E1996" t="s">
        <v>128</v>
      </c>
      <c r="F1996" t="s">
        <v>58</v>
      </c>
      <c r="G1996" t="s">
        <v>59</v>
      </c>
      <c r="H1996" t="s">
        <v>60</v>
      </c>
      <c r="I1996" t="s">
        <v>129</v>
      </c>
      <c r="J1996" t="s">
        <v>86</v>
      </c>
      <c r="K1996" t="s">
        <v>61</v>
      </c>
      <c r="L1996" t="s">
        <v>74</v>
      </c>
      <c r="M1996" t="s">
        <v>63</v>
      </c>
      <c r="N1996" t="s">
        <v>64</v>
      </c>
      <c r="P1996" t="s">
        <v>65</v>
      </c>
      <c r="R1996">
        <v>26</v>
      </c>
      <c r="W1996" t="s">
        <v>66</v>
      </c>
      <c r="X1996" t="s">
        <v>67</v>
      </c>
      <c r="Y1996" t="s">
        <v>67</v>
      </c>
      <c r="Z1996" t="s">
        <v>68</v>
      </c>
      <c r="AB1996">
        <v>4</v>
      </c>
      <c r="AC1996" t="s">
        <v>61</v>
      </c>
      <c r="AJ1996" t="s">
        <v>69</v>
      </c>
      <c r="AY1996" t="s">
        <v>134</v>
      </c>
      <c r="AZ1996">
        <v>15031</v>
      </c>
      <c r="BA1996" t="s">
        <v>135</v>
      </c>
      <c r="BB1996" t="s">
        <v>136</v>
      </c>
      <c r="BC1996">
        <v>1995</v>
      </c>
      <c r="BD1996" t="s">
        <v>133</v>
      </c>
    </row>
    <row r="1997" spans="1:56" x14ac:dyDescent="0.35">
      <c r="A1997">
        <v>616864</v>
      </c>
      <c r="B1997" t="s">
        <v>1547</v>
      </c>
      <c r="D1997" t="s">
        <v>57</v>
      </c>
      <c r="E1997">
        <v>97</v>
      </c>
      <c r="F1997" t="s">
        <v>58</v>
      </c>
      <c r="G1997" t="s">
        <v>59</v>
      </c>
      <c r="H1997" t="s">
        <v>60</v>
      </c>
      <c r="J1997" t="s">
        <v>86</v>
      </c>
      <c r="K1997" t="s">
        <v>61</v>
      </c>
      <c r="L1997" t="s">
        <v>74</v>
      </c>
      <c r="M1997" t="s">
        <v>63</v>
      </c>
      <c r="N1997" t="s">
        <v>64</v>
      </c>
      <c r="P1997" t="s">
        <v>65</v>
      </c>
      <c r="R1997">
        <v>26</v>
      </c>
      <c r="W1997" t="s">
        <v>66</v>
      </c>
      <c r="X1997" t="s">
        <v>67</v>
      </c>
      <c r="Y1997" t="s">
        <v>67</v>
      </c>
      <c r="Z1997" t="s">
        <v>68</v>
      </c>
      <c r="AB1997">
        <v>4</v>
      </c>
      <c r="AC1997" t="s">
        <v>61</v>
      </c>
      <c r="AJ1997" t="s">
        <v>69</v>
      </c>
      <c r="AY1997" t="s">
        <v>263</v>
      </c>
      <c r="AZ1997">
        <v>12858</v>
      </c>
      <c r="BA1997" t="s">
        <v>264</v>
      </c>
      <c r="BB1997" t="s">
        <v>265</v>
      </c>
      <c r="BC1997">
        <v>1986</v>
      </c>
      <c r="BD1997" t="s">
        <v>1168</v>
      </c>
    </row>
    <row r="1998" spans="1:56" x14ac:dyDescent="0.35">
      <c r="A1998">
        <v>618859</v>
      </c>
      <c r="B1998" t="s">
        <v>1548</v>
      </c>
      <c r="D1998" t="s">
        <v>85</v>
      </c>
      <c r="E1998" t="s">
        <v>86</v>
      </c>
      <c r="F1998" t="s">
        <v>58</v>
      </c>
      <c r="G1998" t="s">
        <v>59</v>
      </c>
      <c r="H1998" t="s">
        <v>60</v>
      </c>
      <c r="J1998" t="s">
        <v>86</v>
      </c>
      <c r="L1998" t="s">
        <v>62</v>
      </c>
      <c r="M1998" t="s">
        <v>63</v>
      </c>
      <c r="N1998" t="s">
        <v>64</v>
      </c>
      <c r="P1998" t="s">
        <v>100</v>
      </c>
      <c r="T1998">
        <v>19</v>
      </c>
      <c r="V1998">
        <v>50</v>
      </c>
      <c r="W1998" t="s">
        <v>66</v>
      </c>
      <c r="X1998" t="s">
        <v>67</v>
      </c>
      <c r="Y1998" t="s">
        <v>67</v>
      </c>
      <c r="Z1998" t="s">
        <v>68</v>
      </c>
      <c r="AB1998">
        <v>4</v>
      </c>
      <c r="AC1998" t="s">
        <v>61</v>
      </c>
      <c r="AJ1998" t="s">
        <v>69</v>
      </c>
      <c r="AY1998" t="s">
        <v>715</v>
      </c>
      <c r="AZ1998">
        <v>5671</v>
      </c>
      <c r="BA1998" t="s">
        <v>716</v>
      </c>
      <c r="BB1998" t="s">
        <v>717</v>
      </c>
      <c r="BC1998">
        <v>1977</v>
      </c>
      <c r="BD1998" t="s">
        <v>90</v>
      </c>
    </row>
    <row r="1999" spans="1:56" x14ac:dyDescent="0.35">
      <c r="A1999">
        <v>618859</v>
      </c>
      <c r="B1999" t="s">
        <v>1548</v>
      </c>
      <c r="D1999" t="s">
        <v>85</v>
      </c>
      <c r="E1999" t="s">
        <v>86</v>
      </c>
      <c r="F1999" t="s">
        <v>58</v>
      </c>
      <c r="G1999" t="s">
        <v>59</v>
      </c>
      <c r="H1999" t="s">
        <v>60</v>
      </c>
      <c r="I1999" t="s">
        <v>129</v>
      </c>
      <c r="J1999" t="s">
        <v>86</v>
      </c>
      <c r="L1999" t="s">
        <v>62</v>
      </c>
      <c r="M1999" t="s">
        <v>63</v>
      </c>
      <c r="N1999" t="s">
        <v>64</v>
      </c>
      <c r="P1999" t="s">
        <v>65</v>
      </c>
      <c r="R1999">
        <v>22.6</v>
      </c>
      <c r="T1999">
        <v>13.4</v>
      </c>
      <c r="V1999">
        <v>27.1</v>
      </c>
      <c r="W1999" t="s">
        <v>66</v>
      </c>
      <c r="X1999" t="s">
        <v>67</v>
      </c>
      <c r="Y1999" t="s">
        <v>67</v>
      </c>
      <c r="Z1999" t="s">
        <v>68</v>
      </c>
      <c r="AB1999">
        <v>4</v>
      </c>
      <c r="AC1999" t="s">
        <v>61</v>
      </c>
      <c r="AJ1999" t="s">
        <v>69</v>
      </c>
      <c r="AY1999" t="s">
        <v>718</v>
      </c>
      <c r="AZ1999">
        <v>10141</v>
      </c>
      <c r="BA1999" t="s">
        <v>719</v>
      </c>
      <c r="BB1999" t="s">
        <v>720</v>
      </c>
      <c r="BC1999">
        <v>1983</v>
      </c>
      <c r="BD1999" t="s">
        <v>721</v>
      </c>
    </row>
    <row r="2000" spans="1:56" x14ac:dyDescent="0.35">
      <c r="A2000">
        <v>618859</v>
      </c>
      <c r="B2000" t="s">
        <v>1548</v>
      </c>
      <c r="D2000" t="s">
        <v>85</v>
      </c>
      <c r="E2000" t="s">
        <v>86</v>
      </c>
      <c r="F2000" t="s">
        <v>58</v>
      </c>
      <c r="G2000" t="s">
        <v>59</v>
      </c>
      <c r="H2000" t="s">
        <v>60</v>
      </c>
      <c r="I2000" t="s">
        <v>129</v>
      </c>
      <c r="J2000" t="s">
        <v>86</v>
      </c>
      <c r="L2000" t="s">
        <v>62</v>
      </c>
      <c r="M2000" t="s">
        <v>63</v>
      </c>
      <c r="N2000" t="s">
        <v>64</v>
      </c>
      <c r="P2000" t="s">
        <v>100</v>
      </c>
      <c r="R2000">
        <v>22</v>
      </c>
      <c r="W2000" t="s">
        <v>66</v>
      </c>
      <c r="X2000" t="s">
        <v>67</v>
      </c>
      <c r="Y2000" t="s">
        <v>67</v>
      </c>
      <c r="Z2000" t="s">
        <v>68</v>
      </c>
      <c r="AB2000">
        <v>4</v>
      </c>
      <c r="AC2000" t="s">
        <v>61</v>
      </c>
      <c r="AJ2000" t="s">
        <v>69</v>
      </c>
      <c r="AY2000" t="s">
        <v>722</v>
      </c>
      <c r="AZ2000">
        <v>5087</v>
      </c>
      <c r="BA2000" t="s">
        <v>723</v>
      </c>
      <c r="BB2000" t="s">
        <v>724</v>
      </c>
      <c r="BC2000">
        <v>1979</v>
      </c>
      <c r="BD2000" t="s">
        <v>90</v>
      </c>
    </row>
    <row r="2001" spans="1:56" x14ac:dyDescent="0.35">
      <c r="A2001">
        <v>618871</v>
      </c>
      <c r="B2001" t="s">
        <v>1549</v>
      </c>
      <c r="D2001" t="s">
        <v>85</v>
      </c>
      <c r="E2001" t="s">
        <v>86</v>
      </c>
      <c r="F2001" t="s">
        <v>58</v>
      </c>
      <c r="G2001" t="s">
        <v>59</v>
      </c>
      <c r="H2001" t="s">
        <v>60</v>
      </c>
      <c r="I2001" t="s">
        <v>129</v>
      </c>
      <c r="J2001" t="s">
        <v>86</v>
      </c>
      <c r="L2001" t="s">
        <v>62</v>
      </c>
      <c r="M2001" t="s">
        <v>63</v>
      </c>
      <c r="N2001" t="s">
        <v>64</v>
      </c>
      <c r="P2001" t="s">
        <v>100</v>
      </c>
      <c r="R2001">
        <v>21.4</v>
      </c>
      <c r="W2001" t="s">
        <v>66</v>
      </c>
      <c r="X2001" t="s">
        <v>67</v>
      </c>
      <c r="Y2001" t="s">
        <v>67</v>
      </c>
      <c r="Z2001" t="s">
        <v>68</v>
      </c>
      <c r="AB2001">
        <v>4</v>
      </c>
      <c r="AC2001" t="s">
        <v>61</v>
      </c>
      <c r="AJ2001" t="s">
        <v>69</v>
      </c>
      <c r="AY2001" t="s">
        <v>722</v>
      </c>
      <c r="AZ2001">
        <v>5087</v>
      </c>
      <c r="BA2001" t="s">
        <v>723</v>
      </c>
      <c r="BB2001" t="s">
        <v>724</v>
      </c>
      <c r="BC2001">
        <v>1979</v>
      </c>
      <c r="BD2001" t="s">
        <v>90</v>
      </c>
    </row>
    <row r="2002" spans="1:56" x14ac:dyDescent="0.35">
      <c r="A2002">
        <v>618871</v>
      </c>
      <c r="B2002" t="s">
        <v>1549</v>
      </c>
      <c r="D2002" t="s">
        <v>57</v>
      </c>
      <c r="E2002" t="s">
        <v>428</v>
      </c>
      <c r="F2002" t="s">
        <v>58</v>
      </c>
      <c r="G2002" t="s">
        <v>59</v>
      </c>
      <c r="H2002" t="s">
        <v>60</v>
      </c>
      <c r="J2002" t="s">
        <v>86</v>
      </c>
      <c r="K2002" t="s">
        <v>196</v>
      </c>
      <c r="L2002" t="s">
        <v>62</v>
      </c>
      <c r="M2002" t="s">
        <v>63</v>
      </c>
      <c r="N2002" t="s">
        <v>64</v>
      </c>
      <c r="P2002" t="s">
        <v>65</v>
      </c>
      <c r="R2002">
        <v>21.2</v>
      </c>
      <c r="T2002">
        <v>15.1</v>
      </c>
      <c r="V2002">
        <v>29.9</v>
      </c>
      <c r="W2002" t="s">
        <v>66</v>
      </c>
      <c r="X2002" t="s">
        <v>67</v>
      </c>
      <c r="Y2002" t="s">
        <v>67</v>
      </c>
      <c r="Z2002" t="s">
        <v>68</v>
      </c>
      <c r="AB2002">
        <v>4</v>
      </c>
      <c r="AC2002" t="s">
        <v>61</v>
      </c>
      <c r="AJ2002" t="s">
        <v>69</v>
      </c>
      <c r="AY2002" t="s">
        <v>875</v>
      </c>
      <c r="AZ2002">
        <v>11830</v>
      </c>
      <c r="BA2002" t="s">
        <v>876</v>
      </c>
      <c r="BB2002" t="s">
        <v>877</v>
      </c>
      <c r="BC2002">
        <v>1983</v>
      </c>
      <c r="BD2002" t="s">
        <v>878</v>
      </c>
    </row>
    <row r="2003" spans="1:56" x14ac:dyDescent="0.35">
      <c r="A2003">
        <v>619158</v>
      </c>
      <c r="B2003" t="s">
        <v>1550</v>
      </c>
      <c r="D2003" t="s">
        <v>85</v>
      </c>
      <c r="E2003" t="s">
        <v>86</v>
      </c>
      <c r="F2003" t="s">
        <v>58</v>
      </c>
      <c r="G2003" t="s">
        <v>59</v>
      </c>
      <c r="H2003" t="s">
        <v>60</v>
      </c>
      <c r="J2003" t="s">
        <v>86</v>
      </c>
      <c r="L2003" t="s">
        <v>62</v>
      </c>
      <c r="M2003" t="s">
        <v>63</v>
      </c>
      <c r="N2003" t="s">
        <v>64</v>
      </c>
      <c r="P2003" t="s">
        <v>100</v>
      </c>
      <c r="Q2003" t="s">
        <v>435</v>
      </c>
      <c r="R2003">
        <v>5</v>
      </c>
      <c r="W2003" t="s">
        <v>66</v>
      </c>
      <c r="X2003" t="s">
        <v>67</v>
      </c>
      <c r="Y2003" t="s">
        <v>67</v>
      </c>
      <c r="Z2003" t="s">
        <v>68</v>
      </c>
      <c r="AB2003">
        <v>4</v>
      </c>
      <c r="AC2003" t="s">
        <v>61</v>
      </c>
      <c r="AJ2003" t="s">
        <v>69</v>
      </c>
      <c r="AY2003" t="s">
        <v>715</v>
      </c>
      <c r="AZ2003">
        <v>5671</v>
      </c>
      <c r="BA2003" t="s">
        <v>716</v>
      </c>
      <c r="BB2003" t="s">
        <v>717</v>
      </c>
      <c r="BC2003">
        <v>1977</v>
      </c>
      <c r="BD2003" t="s">
        <v>90</v>
      </c>
    </row>
    <row r="2004" spans="1:56" x14ac:dyDescent="0.35">
      <c r="A2004">
        <v>619158</v>
      </c>
      <c r="B2004" t="s">
        <v>1550</v>
      </c>
      <c r="D2004" t="s">
        <v>85</v>
      </c>
      <c r="E2004" t="s">
        <v>86</v>
      </c>
      <c r="F2004" t="s">
        <v>58</v>
      </c>
      <c r="G2004" t="s">
        <v>59</v>
      </c>
      <c r="H2004" t="s">
        <v>60</v>
      </c>
      <c r="I2004" t="s">
        <v>129</v>
      </c>
      <c r="J2004" t="s">
        <v>86</v>
      </c>
      <c r="L2004" t="s">
        <v>62</v>
      </c>
      <c r="M2004" t="s">
        <v>63</v>
      </c>
      <c r="N2004" t="s">
        <v>64</v>
      </c>
      <c r="P2004" t="s">
        <v>100</v>
      </c>
      <c r="R2004">
        <v>1.3</v>
      </c>
      <c r="W2004" t="s">
        <v>66</v>
      </c>
      <c r="X2004" t="s">
        <v>67</v>
      </c>
      <c r="Y2004" t="s">
        <v>67</v>
      </c>
      <c r="Z2004" t="s">
        <v>68</v>
      </c>
      <c r="AB2004">
        <v>4</v>
      </c>
      <c r="AC2004" t="s">
        <v>61</v>
      </c>
      <c r="AJ2004" t="s">
        <v>69</v>
      </c>
      <c r="AY2004" t="s">
        <v>722</v>
      </c>
      <c r="AZ2004">
        <v>5087</v>
      </c>
      <c r="BA2004" t="s">
        <v>723</v>
      </c>
      <c r="BB2004" t="s">
        <v>724</v>
      </c>
      <c r="BC2004">
        <v>1979</v>
      </c>
      <c r="BD2004" t="s">
        <v>90</v>
      </c>
    </row>
    <row r="2005" spans="1:56" x14ac:dyDescent="0.35">
      <c r="A2005">
        <v>619158</v>
      </c>
      <c r="B2005" t="s">
        <v>1550</v>
      </c>
      <c r="D2005" t="s">
        <v>85</v>
      </c>
      <c r="E2005" t="s">
        <v>86</v>
      </c>
      <c r="F2005" t="s">
        <v>58</v>
      </c>
      <c r="G2005" t="s">
        <v>59</v>
      </c>
      <c r="H2005" t="s">
        <v>60</v>
      </c>
      <c r="I2005" t="s">
        <v>129</v>
      </c>
      <c r="J2005" t="s">
        <v>86</v>
      </c>
      <c r="L2005" t="s">
        <v>62</v>
      </c>
      <c r="M2005" t="s">
        <v>63</v>
      </c>
      <c r="N2005" t="s">
        <v>64</v>
      </c>
      <c r="P2005" t="s">
        <v>65</v>
      </c>
      <c r="R2005">
        <v>1.3</v>
      </c>
      <c r="T2005">
        <v>1.1000000000000001</v>
      </c>
      <c r="V2005">
        <v>1.4</v>
      </c>
      <c r="W2005" t="s">
        <v>66</v>
      </c>
      <c r="X2005" t="s">
        <v>67</v>
      </c>
      <c r="Y2005" t="s">
        <v>67</v>
      </c>
      <c r="Z2005" t="s">
        <v>68</v>
      </c>
      <c r="AB2005">
        <v>4</v>
      </c>
      <c r="AC2005" t="s">
        <v>61</v>
      </c>
      <c r="AJ2005" t="s">
        <v>69</v>
      </c>
      <c r="AY2005" t="s">
        <v>718</v>
      </c>
      <c r="AZ2005">
        <v>10141</v>
      </c>
      <c r="BA2005" t="s">
        <v>719</v>
      </c>
      <c r="BB2005" t="s">
        <v>720</v>
      </c>
      <c r="BC2005">
        <v>1983</v>
      </c>
      <c r="BD2005" t="s">
        <v>721</v>
      </c>
    </row>
    <row r="2006" spans="1:56" x14ac:dyDescent="0.35">
      <c r="A2006">
        <v>619249</v>
      </c>
      <c r="B2006" t="s">
        <v>1551</v>
      </c>
      <c r="D2006" t="s">
        <v>85</v>
      </c>
      <c r="E2006" t="s">
        <v>86</v>
      </c>
      <c r="F2006" t="s">
        <v>58</v>
      </c>
      <c r="G2006" t="s">
        <v>59</v>
      </c>
      <c r="H2006" t="s">
        <v>60</v>
      </c>
      <c r="I2006" t="s">
        <v>129</v>
      </c>
      <c r="J2006" t="s">
        <v>86</v>
      </c>
      <c r="L2006" t="s">
        <v>62</v>
      </c>
      <c r="M2006" t="s">
        <v>63</v>
      </c>
      <c r="N2006" t="s">
        <v>64</v>
      </c>
      <c r="P2006" t="s">
        <v>100</v>
      </c>
      <c r="R2006">
        <v>60.2</v>
      </c>
      <c r="W2006" t="s">
        <v>66</v>
      </c>
      <c r="X2006" t="s">
        <v>67</v>
      </c>
      <c r="Y2006" t="s">
        <v>67</v>
      </c>
      <c r="Z2006" t="s">
        <v>68</v>
      </c>
      <c r="AB2006">
        <v>4</v>
      </c>
      <c r="AC2006" t="s">
        <v>61</v>
      </c>
      <c r="AJ2006" t="s">
        <v>69</v>
      </c>
      <c r="AY2006" t="s">
        <v>722</v>
      </c>
      <c r="AZ2006">
        <v>5087</v>
      </c>
      <c r="BA2006" t="s">
        <v>723</v>
      </c>
      <c r="BB2006" t="s">
        <v>724</v>
      </c>
      <c r="BC2006">
        <v>1979</v>
      </c>
      <c r="BD2006" t="s">
        <v>90</v>
      </c>
    </row>
    <row r="2007" spans="1:56" x14ac:dyDescent="0.35">
      <c r="A2007">
        <v>619501</v>
      </c>
      <c r="B2007" t="s">
        <v>1552</v>
      </c>
      <c r="D2007" t="s">
        <v>57</v>
      </c>
      <c r="E2007" t="s">
        <v>79</v>
      </c>
      <c r="F2007" t="s">
        <v>58</v>
      </c>
      <c r="G2007" t="s">
        <v>59</v>
      </c>
      <c r="H2007" t="s">
        <v>60</v>
      </c>
      <c r="J2007">
        <v>33</v>
      </c>
      <c r="K2007" t="s">
        <v>61</v>
      </c>
      <c r="L2007" t="s">
        <v>74</v>
      </c>
      <c r="M2007" t="s">
        <v>63</v>
      </c>
      <c r="N2007" t="s">
        <v>64</v>
      </c>
      <c r="O2007">
        <v>6</v>
      </c>
      <c r="P2007" t="s">
        <v>65</v>
      </c>
      <c r="R2007">
        <v>23.8</v>
      </c>
      <c r="T2007">
        <v>22.4</v>
      </c>
      <c r="V2007">
        <v>25.3</v>
      </c>
      <c r="W2007" t="s">
        <v>66</v>
      </c>
      <c r="X2007" t="s">
        <v>67</v>
      </c>
      <c r="Y2007" t="s">
        <v>67</v>
      </c>
      <c r="Z2007" t="s">
        <v>68</v>
      </c>
      <c r="AB2007">
        <v>4</v>
      </c>
      <c r="AC2007" t="s">
        <v>61</v>
      </c>
      <c r="AJ2007" t="s">
        <v>69</v>
      </c>
      <c r="AY2007" t="s">
        <v>141</v>
      </c>
      <c r="AZ2007">
        <v>12447</v>
      </c>
      <c r="BA2007" t="s">
        <v>142</v>
      </c>
      <c r="BB2007" t="s">
        <v>143</v>
      </c>
      <c r="BC2007">
        <v>1985</v>
      </c>
      <c r="BD2007" t="s">
        <v>73</v>
      </c>
    </row>
    <row r="2008" spans="1:56" x14ac:dyDescent="0.35">
      <c r="A2008">
        <v>619501</v>
      </c>
      <c r="B2008" t="s">
        <v>1552</v>
      </c>
      <c r="D2008" t="s">
        <v>57</v>
      </c>
      <c r="E2008" t="s">
        <v>79</v>
      </c>
      <c r="F2008" t="s">
        <v>58</v>
      </c>
      <c r="G2008" t="s">
        <v>59</v>
      </c>
      <c r="H2008" t="s">
        <v>60</v>
      </c>
      <c r="J2008" t="s">
        <v>86</v>
      </c>
      <c r="K2008" t="s">
        <v>61</v>
      </c>
      <c r="L2008" t="s">
        <v>74</v>
      </c>
      <c r="M2008" t="s">
        <v>63</v>
      </c>
      <c r="N2008" t="s">
        <v>64</v>
      </c>
      <c r="P2008" t="s">
        <v>65</v>
      </c>
      <c r="R2008">
        <v>23.6</v>
      </c>
      <c r="T2008">
        <v>22.2</v>
      </c>
      <c r="V2008">
        <v>25</v>
      </c>
      <c r="W2008" t="s">
        <v>66</v>
      </c>
      <c r="X2008" t="s">
        <v>67</v>
      </c>
      <c r="Y2008" t="s">
        <v>67</v>
      </c>
      <c r="Z2008" t="s">
        <v>68</v>
      </c>
      <c r="AB2008">
        <v>4</v>
      </c>
      <c r="AC2008" t="s">
        <v>61</v>
      </c>
      <c r="AJ2008" t="s">
        <v>69</v>
      </c>
      <c r="AY2008" t="s">
        <v>258</v>
      </c>
      <c r="AZ2008">
        <v>10954</v>
      </c>
      <c r="BA2008" t="s">
        <v>259</v>
      </c>
      <c r="BB2008" t="s">
        <v>260</v>
      </c>
      <c r="BC2008">
        <v>1984</v>
      </c>
      <c r="BD2008" t="s">
        <v>261</v>
      </c>
    </row>
    <row r="2009" spans="1:56" x14ac:dyDescent="0.35">
      <c r="A2009">
        <v>619727</v>
      </c>
      <c r="B2009" t="s">
        <v>1553</v>
      </c>
      <c r="D2009" t="s">
        <v>85</v>
      </c>
      <c r="E2009" t="s">
        <v>86</v>
      </c>
      <c r="F2009" t="s">
        <v>58</v>
      </c>
      <c r="G2009" t="s">
        <v>59</v>
      </c>
      <c r="H2009" t="s">
        <v>60</v>
      </c>
      <c r="I2009" t="s">
        <v>129</v>
      </c>
      <c r="J2009" t="s">
        <v>86</v>
      </c>
      <c r="L2009" t="s">
        <v>62</v>
      </c>
      <c r="M2009" t="s">
        <v>63</v>
      </c>
      <c r="N2009" t="s">
        <v>64</v>
      </c>
      <c r="P2009" t="s">
        <v>100</v>
      </c>
      <c r="R2009">
        <v>24.4</v>
      </c>
      <c r="W2009" t="s">
        <v>66</v>
      </c>
      <c r="X2009" t="s">
        <v>67</v>
      </c>
      <c r="Y2009" t="s">
        <v>67</v>
      </c>
      <c r="Z2009" t="s">
        <v>68</v>
      </c>
      <c r="AB2009">
        <v>4</v>
      </c>
      <c r="AC2009" t="s">
        <v>61</v>
      </c>
      <c r="AJ2009" t="s">
        <v>69</v>
      </c>
      <c r="AY2009" t="s">
        <v>722</v>
      </c>
      <c r="AZ2009">
        <v>5087</v>
      </c>
      <c r="BA2009" t="s">
        <v>723</v>
      </c>
      <c r="BB2009" t="s">
        <v>724</v>
      </c>
      <c r="BC2009">
        <v>1979</v>
      </c>
      <c r="BD2009" t="s">
        <v>90</v>
      </c>
    </row>
    <row r="2010" spans="1:56" x14ac:dyDescent="0.35">
      <c r="A2010">
        <v>619807</v>
      </c>
      <c r="B2010" t="s">
        <v>1554</v>
      </c>
      <c r="D2010" t="s">
        <v>57</v>
      </c>
      <c r="E2010" t="s">
        <v>128</v>
      </c>
      <c r="F2010" t="s">
        <v>58</v>
      </c>
      <c r="G2010" t="s">
        <v>59</v>
      </c>
      <c r="H2010" t="s">
        <v>60</v>
      </c>
      <c r="I2010" t="s">
        <v>129</v>
      </c>
      <c r="J2010" t="s">
        <v>86</v>
      </c>
      <c r="K2010" t="s">
        <v>61</v>
      </c>
      <c r="L2010" t="s">
        <v>74</v>
      </c>
      <c r="M2010" t="s">
        <v>63</v>
      </c>
      <c r="N2010" t="s">
        <v>64</v>
      </c>
      <c r="P2010" t="s">
        <v>65</v>
      </c>
      <c r="R2010">
        <v>133</v>
      </c>
      <c r="W2010" t="s">
        <v>66</v>
      </c>
      <c r="X2010" t="s">
        <v>67</v>
      </c>
      <c r="Y2010" t="s">
        <v>67</v>
      </c>
      <c r="Z2010" t="s">
        <v>68</v>
      </c>
      <c r="AB2010">
        <v>4</v>
      </c>
      <c r="AC2010" t="s">
        <v>61</v>
      </c>
      <c r="AJ2010" t="s">
        <v>69</v>
      </c>
      <c r="AY2010" t="s">
        <v>134</v>
      </c>
      <c r="AZ2010">
        <v>15031</v>
      </c>
      <c r="BA2010" t="s">
        <v>135</v>
      </c>
      <c r="BB2010" t="s">
        <v>136</v>
      </c>
      <c r="BC2010">
        <v>1995</v>
      </c>
      <c r="BD2010" t="s">
        <v>133</v>
      </c>
    </row>
    <row r="2011" spans="1:56" x14ac:dyDescent="0.35">
      <c r="A2011">
        <v>619807</v>
      </c>
      <c r="B2011" t="s">
        <v>1554</v>
      </c>
      <c r="D2011" t="s">
        <v>57</v>
      </c>
      <c r="E2011">
        <v>98</v>
      </c>
      <c r="F2011" t="s">
        <v>58</v>
      </c>
      <c r="G2011" t="s">
        <v>59</v>
      </c>
      <c r="H2011" t="s">
        <v>60</v>
      </c>
      <c r="J2011">
        <v>33</v>
      </c>
      <c r="K2011" t="s">
        <v>61</v>
      </c>
      <c r="L2011" t="s">
        <v>74</v>
      </c>
      <c r="M2011" t="s">
        <v>63</v>
      </c>
      <c r="N2011" t="s">
        <v>64</v>
      </c>
      <c r="P2011" t="s">
        <v>65</v>
      </c>
      <c r="R2011">
        <v>133</v>
      </c>
      <c r="T2011">
        <v>128</v>
      </c>
      <c r="V2011">
        <v>137</v>
      </c>
      <c r="W2011" t="s">
        <v>66</v>
      </c>
      <c r="X2011" t="s">
        <v>67</v>
      </c>
      <c r="Y2011" t="s">
        <v>67</v>
      </c>
      <c r="Z2011" t="s">
        <v>68</v>
      </c>
      <c r="AB2011">
        <v>4</v>
      </c>
      <c r="AC2011" t="s">
        <v>61</v>
      </c>
      <c r="AJ2011" t="s">
        <v>69</v>
      </c>
      <c r="AY2011" t="s">
        <v>141</v>
      </c>
      <c r="AZ2011">
        <v>12447</v>
      </c>
      <c r="BA2011" t="s">
        <v>142</v>
      </c>
      <c r="BB2011" t="s">
        <v>143</v>
      </c>
      <c r="BC2011">
        <v>1985</v>
      </c>
      <c r="BD2011" t="s">
        <v>73</v>
      </c>
    </row>
    <row r="2012" spans="1:56" x14ac:dyDescent="0.35">
      <c r="A2012">
        <v>620882</v>
      </c>
      <c r="B2012" t="s">
        <v>1555</v>
      </c>
      <c r="D2012" t="s">
        <v>57</v>
      </c>
      <c r="E2012">
        <v>99</v>
      </c>
      <c r="F2012" t="s">
        <v>58</v>
      </c>
      <c r="G2012" t="s">
        <v>59</v>
      </c>
      <c r="H2012" t="s">
        <v>60</v>
      </c>
      <c r="J2012" t="s">
        <v>86</v>
      </c>
      <c r="K2012" t="s">
        <v>61</v>
      </c>
      <c r="L2012" t="s">
        <v>74</v>
      </c>
      <c r="M2012" t="s">
        <v>63</v>
      </c>
      <c r="N2012" t="s">
        <v>64</v>
      </c>
      <c r="P2012" t="s">
        <v>65</v>
      </c>
      <c r="R2012">
        <v>2.65</v>
      </c>
      <c r="W2012" t="s">
        <v>66</v>
      </c>
      <c r="X2012" t="s">
        <v>67</v>
      </c>
      <c r="Y2012" t="s">
        <v>67</v>
      </c>
      <c r="Z2012" t="s">
        <v>68</v>
      </c>
      <c r="AB2012">
        <v>4</v>
      </c>
      <c r="AC2012" t="s">
        <v>61</v>
      </c>
      <c r="AJ2012" t="s">
        <v>69</v>
      </c>
      <c r="AY2012" t="s">
        <v>80</v>
      </c>
      <c r="AZ2012">
        <v>12859</v>
      </c>
      <c r="BA2012" t="s">
        <v>81</v>
      </c>
      <c r="BB2012" t="s">
        <v>82</v>
      </c>
      <c r="BC2012">
        <v>1988</v>
      </c>
      <c r="BD2012" t="s">
        <v>1279</v>
      </c>
    </row>
    <row r="2013" spans="1:56" x14ac:dyDescent="0.35">
      <c r="A2013">
        <v>621089</v>
      </c>
      <c r="B2013" t="s">
        <v>1556</v>
      </c>
      <c r="D2013" t="s">
        <v>57</v>
      </c>
      <c r="E2013">
        <v>98</v>
      </c>
      <c r="F2013" t="s">
        <v>58</v>
      </c>
      <c r="G2013" t="s">
        <v>59</v>
      </c>
      <c r="H2013" t="s">
        <v>60</v>
      </c>
      <c r="J2013">
        <v>34</v>
      </c>
      <c r="K2013" t="s">
        <v>61</v>
      </c>
      <c r="L2013" t="s">
        <v>74</v>
      </c>
      <c r="M2013" t="s">
        <v>63</v>
      </c>
      <c r="N2013" t="s">
        <v>64</v>
      </c>
      <c r="P2013" t="s">
        <v>65</v>
      </c>
      <c r="R2013">
        <v>80.099999999999994</v>
      </c>
      <c r="T2013">
        <v>73.599999999999994</v>
      </c>
      <c r="V2013">
        <v>87.2</v>
      </c>
      <c r="W2013" t="s">
        <v>66</v>
      </c>
      <c r="X2013" t="s">
        <v>67</v>
      </c>
      <c r="Y2013" t="s">
        <v>67</v>
      </c>
      <c r="Z2013" t="s">
        <v>68</v>
      </c>
      <c r="AB2013">
        <v>4</v>
      </c>
      <c r="AC2013" t="s">
        <v>61</v>
      </c>
      <c r="AJ2013" t="s">
        <v>69</v>
      </c>
      <c r="AY2013" t="s">
        <v>75</v>
      </c>
      <c r="AZ2013">
        <v>3217</v>
      </c>
      <c r="BA2013" t="s">
        <v>76</v>
      </c>
      <c r="BB2013" t="s">
        <v>77</v>
      </c>
      <c r="BC2013">
        <v>1990</v>
      </c>
      <c r="BD2013" t="s">
        <v>73</v>
      </c>
    </row>
    <row r="2014" spans="1:56" x14ac:dyDescent="0.35">
      <c r="A2014">
        <v>621421</v>
      </c>
      <c r="B2014" t="s">
        <v>1557</v>
      </c>
      <c r="D2014" t="s">
        <v>57</v>
      </c>
      <c r="E2014">
        <v>97</v>
      </c>
      <c r="F2014" t="s">
        <v>58</v>
      </c>
      <c r="G2014" t="s">
        <v>59</v>
      </c>
      <c r="H2014" t="s">
        <v>60</v>
      </c>
      <c r="J2014" t="s">
        <v>86</v>
      </c>
      <c r="K2014" t="s">
        <v>61</v>
      </c>
      <c r="L2014" t="s">
        <v>74</v>
      </c>
      <c r="M2014" t="s">
        <v>63</v>
      </c>
      <c r="N2014" t="s">
        <v>64</v>
      </c>
      <c r="P2014" t="s">
        <v>65</v>
      </c>
      <c r="R2014">
        <v>1130</v>
      </c>
      <c r="T2014">
        <v>1070</v>
      </c>
      <c r="V2014">
        <v>1190</v>
      </c>
      <c r="W2014" t="s">
        <v>66</v>
      </c>
      <c r="X2014" t="s">
        <v>67</v>
      </c>
      <c r="Y2014" t="s">
        <v>67</v>
      </c>
      <c r="Z2014" t="s">
        <v>68</v>
      </c>
      <c r="AB2014">
        <v>4</v>
      </c>
      <c r="AC2014" t="s">
        <v>61</v>
      </c>
      <c r="AJ2014" t="s">
        <v>69</v>
      </c>
      <c r="AY2014" t="s">
        <v>286</v>
      </c>
      <c r="AZ2014">
        <v>12448</v>
      </c>
      <c r="BA2014" t="s">
        <v>287</v>
      </c>
      <c r="BB2014" t="s">
        <v>288</v>
      </c>
      <c r="BC2014">
        <v>1984</v>
      </c>
      <c r="BD2014" t="s">
        <v>1168</v>
      </c>
    </row>
    <row r="2015" spans="1:56" x14ac:dyDescent="0.35">
      <c r="A2015">
        <v>622402</v>
      </c>
      <c r="B2015" t="s">
        <v>1558</v>
      </c>
      <c r="D2015" t="s">
        <v>57</v>
      </c>
      <c r="E2015">
        <v>97</v>
      </c>
      <c r="F2015" t="s">
        <v>58</v>
      </c>
      <c r="G2015" t="s">
        <v>59</v>
      </c>
      <c r="H2015" t="s">
        <v>60</v>
      </c>
      <c r="J2015" t="s">
        <v>86</v>
      </c>
      <c r="K2015" t="s">
        <v>61</v>
      </c>
      <c r="L2015" t="s">
        <v>74</v>
      </c>
      <c r="M2015" t="s">
        <v>63</v>
      </c>
      <c r="N2015" t="s">
        <v>64</v>
      </c>
      <c r="P2015" t="s">
        <v>65</v>
      </c>
      <c r="R2015">
        <v>2710</v>
      </c>
      <c r="T2015">
        <v>2460</v>
      </c>
      <c r="V2015">
        <v>2990</v>
      </c>
      <c r="W2015" t="s">
        <v>66</v>
      </c>
      <c r="X2015" t="s">
        <v>67</v>
      </c>
      <c r="Y2015" t="s">
        <v>67</v>
      </c>
      <c r="Z2015" t="s">
        <v>68</v>
      </c>
      <c r="AB2015">
        <v>4</v>
      </c>
      <c r="AC2015" t="s">
        <v>61</v>
      </c>
      <c r="AJ2015" t="s">
        <v>69</v>
      </c>
      <c r="AY2015" t="s">
        <v>263</v>
      </c>
      <c r="AZ2015">
        <v>12858</v>
      </c>
      <c r="BA2015" t="s">
        <v>264</v>
      </c>
      <c r="BB2015" t="s">
        <v>265</v>
      </c>
      <c r="BC2015">
        <v>1986</v>
      </c>
      <c r="BD2015" t="s">
        <v>1559</v>
      </c>
    </row>
    <row r="2016" spans="1:56" x14ac:dyDescent="0.35">
      <c r="A2016">
        <v>623256</v>
      </c>
      <c r="B2016" t="s">
        <v>1560</v>
      </c>
      <c r="D2016" t="s">
        <v>57</v>
      </c>
      <c r="E2016">
        <v>98</v>
      </c>
      <c r="F2016" t="s">
        <v>58</v>
      </c>
      <c r="G2016" t="s">
        <v>59</v>
      </c>
      <c r="H2016" t="s">
        <v>60</v>
      </c>
      <c r="J2016" t="s">
        <v>86</v>
      </c>
      <c r="K2016" t="s">
        <v>61</v>
      </c>
      <c r="L2016" t="s">
        <v>74</v>
      </c>
      <c r="M2016" t="s">
        <v>63</v>
      </c>
      <c r="N2016" t="s">
        <v>64</v>
      </c>
      <c r="P2016" t="s">
        <v>65</v>
      </c>
      <c r="R2016">
        <v>3.9E-2</v>
      </c>
      <c r="T2016">
        <v>3.5999999999999997E-2</v>
      </c>
      <c r="V2016">
        <v>4.2000000000000003E-2</v>
      </c>
      <c r="W2016" t="s">
        <v>66</v>
      </c>
      <c r="X2016" t="s">
        <v>67</v>
      </c>
      <c r="Y2016" t="s">
        <v>67</v>
      </c>
      <c r="Z2016" t="s">
        <v>68</v>
      </c>
      <c r="AB2016">
        <v>4</v>
      </c>
      <c r="AC2016" t="s">
        <v>61</v>
      </c>
      <c r="AJ2016" t="s">
        <v>69</v>
      </c>
      <c r="AY2016" t="s">
        <v>286</v>
      </c>
      <c r="AZ2016">
        <v>12448</v>
      </c>
      <c r="BA2016" t="s">
        <v>287</v>
      </c>
      <c r="BB2016" t="s">
        <v>288</v>
      </c>
      <c r="BC2016">
        <v>1984</v>
      </c>
      <c r="BD2016" t="s">
        <v>370</v>
      </c>
    </row>
    <row r="2017" spans="1:56" x14ac:dyDescent="0.35">
      <c r="A2017">
        <v>623916</v>
      </c>
      <c r="B2017" t="s">
        <v>1561</v>
      </c>
      <c r="D2017" t="s">
        <v>85</v>
      </c>
      <c r="E2017" t="s">
        <v>86</v>
      </c>
      <c r="F2017" t="s">
        <v>58</v>
      </c>
      <c r="G2017" t="s">
        <v>59</v>
      </c>
      <c r="H2017" t="s">
        <v>60</v>
      </c>
      <c r="J2017" t="s">
        <v>86</v>
      </c>
      <c r="L2017" t="s">
        <v>62</v>
      </c>
      <c r="M2017" t="s">
        <v>63</v>
      </c>
      <c r="N2017" t="s">
        <v>64</v>
      </c>
      <c r="P2017" t="s">
        <v>100</v>
      </c>
      <c r="R2017">
        <v>4.5</v>
      </c>
      <c r="W2017" t="s">
        <v>66</v>
      </c>
      <c r="X2017" t="s">
        <v>67</v>
      </c>
      <c r="Y2017" t="s">
        <v>67</v>
      </c>
      <c r="Z2017" t="s">
        <v>68</v>
      </c>
      <c r="AB2017">
        <v>4</v>
      </c>
      <c r="AC2017" t="s">
        <v>61</v>
      </c>
      <c r="AJ2017" t="s">
        <v>69</v>
      </c>
      <c r="AY2017" t="s">
        <v>412</v>
      </c>
      <c r="AZ2017">
        <v>901</v>
      </c>
      <c r="BA2017" t="s">
        <v>413</v>
      </c>
      <c r="BB2017" t="s">
        <v>414</v>
      </c>
      <c r="BC2017">
        <v>1969</v>
      </c>
      <c r="BD2017" t="s">
        <v>90</v>
      </c>
    </row>
    <row r="2018" spans="1:56" x14ac:dyDescent="0.35">
      <c r="A2018">
        <v>625865</v>
      </c>
      <c r="B2018" t="s">
        <v>1562</v>
      </c>
      <c r="D2018" t="s">
        <v>57</v>
      </c>
      <c r="E2018">
        <v>99</v>
      </c>
      <c r="F2018" t="s">
        <v>58</v>
      </c>
      <c r="G2018" t="s">
        <v>59</v>
      </c>
      <c r="H2018" t="s">
        <v>60</v>
      </c>
      <c r="J2018">
        <v>30</v>
      </c>
      <c r="K2018" t="s">
        <v>61</v>
      </c>
      <c r="L2018" t="s">
        <v>74</v>
      </c>
      <c r="M2018" t="s">
        <v>63</v>
      </c>
      <c r="N2018" t="s">
        <v>64</v>
      </c>
      <c r="P2018" t="s">
        <v>65</v>
      </c>
      <c r="R2018">
        <v>71.099999999999994</v>
      </c>
      <c r="T2018">
        <v>62</v>
      </c>
      <c r="V2018">
        <v>81.599999999999994</v>
      </c>
      <c r="W2018" t="s">
        <v>66</v>
      </c>
      <c r="X2018" t="s">
        <v>67</v>
      </c>
      <c r="Y2018" t="s">
        <v>67</v>
      </c>
      <c r="Z2018" t="s">
        <v>68</v>
      </c>
      <c r="AB2018">
        <v>4</v>
      </c>
      <c r="AC2018" t="s">
        <v>61</v>
      </c>
      <c r="AJ2018" t="s">
        <v>69</v>
      </c>
      <c r="AY2018" t="s">
        <v>80</v>
      </c>
      <c r="AZ2018">
        <v>12859</v>
      </c>
      <c r="BA2018" t="s">
        <v>81</v>
      </c>
      <c r="BB2018" t="s">
        <v>82</v>
      </c>
      <c r="BC2018">
        <v>1988</v>
      </c>
      <c r="BD2018" t="s">
        <v>73</v>
      </c>
    </row>
    <row r="2019" spans="1:56" x14ac:dyDescent="0.35">
      <c r="A2019">
        <v>627305</v>
      </c>
      <c r="B2019" t="s">
        <v>1563</v>
      </c>
      <c r="D2019" t="s">
        <v>57</v>
      </c>
      <c r="E2019">
        <v>98</v>
      </c>
      <c r="F2019" t="s">
        <v>58</v>
      </c>
      <c r="G2019" t="s">
        <v>59</v>
      </c>
      <c r="H2019" t="s">
        <v>60</v>
      </c>
      <c r="J2019">
        <v>30</v>
      </c>
      <c r="K2019" t="s">
        <v>61</v>
      </c>
      <c r="L2019" t="s">
        <v>190</v>
      </c>
      <c r="M2019" t="s">
        <v>63</v>
      </c>
      <c r="N2019" t="s">
        <v>64</v>
      </c>
      <c r="P2019" t="s">
        <v>65</v>
      </c>
      <c r="R2019">
        <v>801</v>
      </c>
      <c r="T2019">
        <v>641</v>
      </c>
      <c r="V2019">
        <v>1000</v>
      </c>
      <c r="W2019" t="s">
        <v>66</v>
      </c>
      <c r="X2019" t="s">
        <v>67</v>
      </c>
      <c r="Y2019" t="s">
        <v>67</v>
      </c>
      <c r="Z2019" t="s">
        <v>68</v>
      </c>
      <c r="AB2019">
        <v>4</v>
      </c>
      <c r="AC2019" t="s">
        <v>61</v>
      </c>
      <c r="AJ2019" t="s">
        <v>69</v>
      </c>
      <c r="AY2019" t="s">
        <v>286</v>
      </c>
      <c r="AZ2019">
        <v>12448</v>
      </c>
      <c r="BA2019" t="s">
        <v>287</v>
      </c>
      <c r="BB2019" t="s">
        <v>288</v>
      </c>
      <c r="BC2019">
        <v>1984</v>
      </c>
      <c r="BD2019" t="s">
        <v>73</v>
      </c>
    </row>
    <row r="2020" spans="1:56" x14ac:dyDescent="0.35">
      <c r="A2020">
        <v>628762</v>
      </c>
      <c r="B2020" t="s">
        <v>1564</v>
      </c>
      <c r="D2020" t="s">
        <v>57</v>
      </c>
      <c r="E2020">
        <v>99</v>
      </c>
      <c r="F2020" t="s">
        <v>58</v>
      </c>
      <c r="G2020" t="s">
        <v>59</v>
      </c>
      <c r="H2020" t="s">
        <v>60</v>
      </c>
      <c r="J2020">
        <v>28</v>
      </c>
      <c r="K2020" t="s">
        <v>61</v>
      </c>
      <c r="L2020" t="s">
        <v>74</v>
      </c>
      <c r="M2020" t="s">
        <v>63</v>
      </c>
      <c r="N2020" t="s">
        <v>64</v>
      </c>
      <c r="P2020" t="s">
        <v>65</v>
      </c>
      <c r="R2020">
        <v>25.3</v>
      </c>
      <c r="T2020">
        <v>24.7</v>
      </c>
      <c r="V2020">
        <v>25.8</v>
      </c>
      <c r="W2020" t="s">
        <v>66</v>
      </c>
      <c r="X2020" t="s">
        <v>67</v>
      </c>
      <c r="Y2020" t="s">
        <v>67</v>
      </c>
      <c r="Z2020" t="s">
        <v>68</v>
      </c>
      <c r="AB2020">
        <v>4</v>
      </c>
      <c r="AC2020" t="s">
        <v>61</v>
      </c>
      <c r="AJ2020" t="s">
        <v>69</v>
      </c>
      <c r="AY2020" t="s">
        <v>286</v>
      </c>
      <c r="AZ2020">
        <v>12448</v>
      </c>
      <c r="BA2020" t="s">
        <v>287</v>
      </c>
      <c r="BB2020" t="s">
        <v>288</v>
      </c>
      <c r="BC2020">
        <v>1984</v>
      </c>
      <c r="BD2020" t="s">
        <v>73</v>
      </c>
    </row>
    <row r="2021" spans="1:56" x14ac:dyDescent="0.35">
      <c r="A2021">
        <v>629049</v>
      </c>
      <c r="B2021" t="s">
        <v>1565</v>
      </c>
      <c r="D2021" t="s">
        <v>57</v>
      </c>
      <c r="E2021">
        <v>99</v>
      </c>
      <c r="F2021" t="s">
        <v>58</v>
      </c>
      <c r="G2021" t="s">
        <v>59</v>
      </c>
      <c r="H2021" t="s">
        <v>60</v>
      </c>
      <c r="J2021">
        <v>32</v>
      </c>
      <c r="K2021" t="s">
        <v>61</v>
      </c>
      <c r="L2021" t="s">
        <v>74</v>
      </c>
      <c r="M2021" t="s">
        <v>63</v>
      </c>
      <c r="N2021" t="s">
        <v>64</v>
      </c>
      <c r="P2021" t="s">
        <v>65</v>
      </c>
      <c r="R2021">
        <v>1.47</v>
      </c>
      <c r="T2021">
        <v>1.38</v>
      </c>
      <c r="V2021">
        <v>1.58</v>
      </c>
      <c r="W2021" t="s">
        <v>66</v>
      </c>
      <c r="X2021" t="s">
        <v>67</v>
      </c>
      <c r="Y2021" t="s">
        <v>67</v>
      </c>
      <c r="Z2021" t="s">
        <v>68</v>
      </c>
      <c r="AB2021">
        <v>4</v>
      </c>
      <c r="AC2021" t="s">
        <v>61</v>
      </c>
      <c r="AJ2021" t="s">
        <v>69</v>
      </c>
      <c r="AY2021" t="s">
        <v>80</v>
      </c>
      <c r="AZ2021">
        <v>12859</v>
      </c>
      <c r="BA2021" t="s">
        <v>81</v>
      </c>
      <c r="BB2021" t="s">
        <v>82</v>
      </c>
      <c r="BC2021">
        <v>1988</v>
      </c>
      <c r="BD2021" t="s">
        <v>73</v>
      </c>
    </row>
    <row r="2022" spans="1:56" x14ac:dyDescent="0.35">
      <c r="A2022">
        <v>629196</v>
      </c>
      <c r="B2022" t="s">
        <v>1566</v>
      </c>
      <c r="D2022" t="s">
        <v>57</v>
      </c>
      <c r="E2022">
        <v>98</v>
      </c>
      <c r="F2022" t="s">
        <v>58</v>
      </c>
      <c r="G2022" t="s">
        <v>59</v>
      </c>
      <c r="H2022" t="s">
        <v>60</v>
      </c>
      <c r="J2022">
        <v>31</v>
      </c>
      <c r="K2022" t="s">
        <v>61</v>
      </c>
      <c r="L2022" t="s">
        <v>74</v>
      </c>
      <c r="M2022" t="s">
        <v>63</v>
      </c>
      <c r="N2022" t="s">
        <v>64</v>
      </c>
      <c r="P2022" t="s">
        <v>65</v>
      </c>
      <c r="R2022">
        <v>2.62</v>
      </c>
      <c r="T2022">
        <v>2.33</v>
      </c>
      <c r="V2022">
        <v>2.95</v>
      </c>
      <c r="W2022" t="s">
        <v>66</v>
      </c>
      <c r="X2022" t="s">
        <v>67</v>
      </c>
      <c r="Y2022" t="s">
        <v>67</v>
      </c>
      <c r="Z2022" t="s">
        <v>68</v>
      </c>
      <c r="AB2022">
        <v>4</v>
      </c>
      <c r="AC2022" t="s">
        <v>61</v>
      </c>
      <c r="AJ2022" t="s">
        <v>69</v>
      </c>
      <c r="AY2022" t="s">
        <v>141</v>
      </c>
      <c r="AZ2022">
        <v>12447</v>
      </c>
      <c r="BA2022" t="s">
        <v>142</v>
      </c>
      <c r="BB2022" t="s">
        <v>143</v>
      </c>
      <c r="BC2022">
        <v>1985</v>
      </c>
      <c r="BD2022" t="s">
        <v>73</v>
      </c>
    </row>
    <row r="2023" spans="1:56" x14ac:dyDescent="0.35">
      <c r="A2023">
        <v>629403</v>
      </c>
      <c r="B2023" t="s">
        <v>1567</v>
      </c>
      <c r="D2023" t="s">
        <v>57</v>
      </c>
      <c r="E2023">
        <v>99</v>
      </c>
      <c r="F2023" t="s">
        <v>58</v>
      </c>
      <c r="G2023" t="s">
        <v>59</v>
      </c>
      <c r="H2023" t="s">
        <v>60</v>
      </c>
      <c r="J2023">
        <v>30</v>
      </c>
      <c r="K2023" t="s">
        <v>61</v>
      </c>
      <c r="L2023" t="s">
        <v>74</v>
      </c>
      <c r="M2023" t="s">
        <v>63</v>
      </c>
      <c r="N2023" t="s">
        <v>64</v>
      </c>
      <c r="P2023" t="s">
        <v>65</v>
      </c>
      <c r="R2023">
        <v>528</v>
      </c>
      <c r="T2023">
        <v>490</v>
      </c>
      <c r="V2023">
        <v>568</v>
      </c>
      <c r="W2023" t="s">
        <v>66</v>
      </c>
      <c r="X2023" t="s">
        <v>67</v>
      </c>
      <c r="Y2023" t="s">
        <v>67</v>
      </c>
      <c r="Z2023" t="s">
        <v>68</v>
      </c>
      <c r="AB2023">
        <v>4</v>
      </c>
      <c r="AC2023" t="s">
        <v>61</v>
      </c>
      <c r="AJ2023" t="s">
        <v>69</v>
      </c>
      <c r="AY2023" t="s">
        <v>286</v>
      </c>
      <c r="AZ2023">
        <v>12448</v>
      </c>
      <c r="BA2023" t="s">
        <v>287</v>
      </c>
      <c r="BB2023" t="s">
        <v>288</v>
      </c>
      <c r="BC2023">
        <v>1984</v>
      </c>
      <c r="BD2023" t="s">
        <v>73</v>
      </c>
    </row>
    <row r="2024" spans="1:56" x14ac:dyDescent="0.35">
      <c r="A2024">
        <v>629403</v>
      </c>
      <c r="B2024" t="s">
        <v>1567</v>
      </c>
      <c r="E2024" t="s">
        <v>86</v>
      </c>
      <c r="F2024" t="s">
        <v>58</v>
      </c>
      <c r="G2024" t="s">
        <v>59</v>
      </c>
      <c r="H2024" t="s">
        <v>60</v>
      </c>
      <c r="I2024" t="s">
        <v>129</v>
      </c>
      <c r="J2024" t="s">
        <v>86</v>
      </c>
      <c r="K2024" t="s">
        <v>61</v>
      </c>
      <c r="L2024" t="s">
        <v>74</v>
      </c>
      <c r="M2024" t="s">
        <v>63</v>
      </c>
      <c r="N2024" t="s">
        <v>64</v>
      </c>
      <c r="P2024" t="s">
        <v>100</v>
      </c>
      <c r="R2024">
        <v>528</v>
      </c>
      <c r="T2024">
        <v>490</v>
      </c>
      <c r="V2024">
        <v>568</v>
      </c>
      <c r="W2024" t="s">
        <v>66</v>
      </c>
      <c r="X2024" t="s">
        <v>67</v>
      </c>
      <c r="Y2024" t="s">
        <v>67</v>
      </c>
      <c r="Z2024" t="s">
        <v>68</v>
      </c>
      <c r="AB2024">
        <v>4</v>
      </c>
      <c r="AC2024" t="s">
        <v>61</v>
      </c>
      <c r="AJ2024" t="s">
        <v>69</v>
      </c>
      <c r="AY2024" t="s">
        <v>422</v>
      </c>
      <c r="AZ2024">
        <v>14128</v>
      </c>
      <c r="BA2024" t="s">
        <v>423</v>
      </c>
      <c r="BB2024" t="s">
        <v>424</v>
      </c>
      <c r="BC2024">
        <v>1985</v>
      </c>
      <c r="BD2024" t="s">
        <v>833</v>
      </c>
    </row>
    <row r="2025" spans="1:56" x14ac:dyDescent="0.35">
      <c r="A2025">
        <v>631641</v>
      </c>
      <c r="B2025" t="s">
        <v>1568</v>
      </c>
      <c r="D2025" t="s">
        <v>85</v>
      </c>
      <c r="E2025">
        <v>98.9</v>
      </c>
      <c r="F2025" t="s">
        <v>58</v>
      </c>
      <c r="G2025" t="s">
        <v>59</v>
      </c>
      <c r="H2025" t="s">
        <v>60</v>
      </c>
      <c r="J2025" t="s">
        <v>86</v>
      </c>
      <c r="L2025" t="s">
        <v>62</v>
      </c>
      <c r="M2025" t="s">
        <v>63</v>
      </c>
      <c r="N2025" t="s">
        <v>64</v>
      </c>
      <c r="P2025" t="s">
        <v>65</v>
      </c>
      <c r="R2025">
        <v>69</v>
      </c>
      <c r="T2025">
        <v>62</v>
      </c>
      <c r="V2025">
        <v>75</v>
      </c>
      <c r="W2025" t="s">
        <v>66</v>
      </c>
      <c r="X2025" t="s">
        <v>67</v>
      </c>
      <c r="Y2025" t="s">
        <v>67</v>
      </c>
      <c r="Z2025" t="s">
        <v>68</v>
      </c>
      <c r="AB2025">
        <v>4</v>
      </c>
      <c r="AC2025" t="s">
        <v>61</v>
      </c>
      <c r="AJ2025" t="s">
        <v>69</v>
      </c>
      <c r="AY2025" t="s">
        <v>1569</v>
      </c>
      <c r="AZ2025">
        <v>11439</v>
      </c>
      <c r="BA2025" t="s">
        <v>1570</v>
      </c>
      <c r="BB2025" t="s">
        <v>1571</v>
      </c>
      <c r="BC2025">
        <v>1985</v>
      </c>
      <c r="BD2025" t="s">
        <v>90</v>
      </c>
    </row>
    <row r="2026" spans="1:56" x14ac:dyDescent="0.35">
      <c r="A2026">
        <v>633965</v>
      </c>
      <c r="B2026" t="s">
        <v>1572</v>
      </c>
      <c r="D2026" t="s">
        <v>85</v>
      </c>
      <c r="E2026" t="s">
        <v>86</v>
      </c>
      <c r="F2026" t="s">
        <v>58</v>
      </c>
      <c r="G2026" t="s">
        <v>59</v>
      </c>
      <c r="H2026" t="s">
        <v>60</v>
      </c>
      <c r="J2026" t="s">
        <v>86</v>
      </c>
      <c r="L2026" t="s">
        <v>62</v>
      </c>
      <c r="M2026" t="s">
        <v>63</v>
      </c>
      <c r="N2026" t="s">
        <v>64</v>
      </c>
      <c r="P2026" t="s">
        <v>100</v>
      </c>
      <c r="R2026">
        <v>165</v>
      </c>
      <c r="W2026" t="s">
        <v>66</v>
      </c>
      <c r="X2026" t="s">
        <v>67</v>
      </c>
      <c r="Y2026" t="s">
        <v>67</v>
      </c>
      <c r="Z2026" t="s">
        <v>68</v>
      </c>
      <c r="AB2026">
        <v>4</v>
      </c>
      <c r="AC2026" t="s">
        <v>61</v>
      </c>
      <c r="AJ2026" t="s">
        <v>69</v>
      </c>
      <c r="AY2026" t="s">
        <v>1243</v>
      </c>
      <c r="AZ2026">
        <v>5789</v>
      </c>
      <c r="BA2026" t="s">
        <v>1244</v>
      </c>
      <c r="BB2026" t="s">
        <v>1245</v>
      </c>
      <c r="BC2026">
        <v>1974</v>
      </c>
      <c r="BD2026" t="s">
        <v>90</v>
      </c>
    </row>
    <row r="2027" spans="1:56" x14ac:dyDescent="0.35">
      <c r="A2027">
        <v>633965</v>
      </c>
      <c r="B2027" t="s">
        <v>1572</v>
      </c>
      <c r="D2027" t="s">
        <v>85</v>
      </c>
      <c r="E2027">
        <v>15</v>
      </c>
      <c r="F2027" t="s">
        <v>58</v>
      </c>
      <c r="G2027" t="s">
        <v>59</v>
      </c>
      <c r="H2027" t="s">
        <v>60</v>
      </c>
      <c r="J2027" t="s">
        <v>86</v>
      </c>
      <c r="L2027" t="s">
        <v>62</v>
      </c>
      <c r="M2027" t="s">
        <v>63</v>
      </c>
      <c r="N2027" t="s">
        <v>64</v>
      </c>
      <c r="P2027" t="s">
        <v>100</v>
      </c>
      <c r="R2027">
        <v>165</v>
      </c>
      <c r="W2027" t="s">
        <v>66</v>
      </c>
      <c r="X2027" t="s">
        <v>67</v>
      </c>
      <c r="Y2027" t="s">
        <v>67</v>
      </c>
      <c r="Z2027" t="s">
        <v>68</v>
      </c>
      <c r="AB2027">
        <v>4</v>
      </c>
      <c r="AC2027" t="s">
        <v>61</v>
      </c>
      <c r="AJ2027" t="s">
        <v>69</v>
      </c>
      <c r="AY2027" t="s">
        <v>1246</v>
      </c>
      <c r="AZ2027">
        <v>6969</v>
      </c>
      <c r="BA2027" t="s">
        <v>1247</v>
      </c>
      <c r="BB2027" t="s">
        <v>1248</v>
      </c>
      <c r="BC2027">
        <v>1973</v>
      </c>
      <c r="BD2027" t="s">
        <v>90</v>
      </c>
    </row>
    <row r="2028" spans="1:56" x14ac:dyDescent="0.35">
      <c r="A2028">
        <v>634662</v>
      </c>
      <c r="B2028" t="s">
        <v>1573</v>
      </c>
      <c r="D2028" t="s">
        <v>57</v>
      </c>
      <c r="E2028">
        <v>99</v>
      </c>
      <c r="F2028" t="s">
        <v>58</v>
      </c>
      <c r="G2028" t="s">
        <v>59</v>
      </c>
      <c r="H2028" t="s">
        <v>60</v>
      </c>
      <c r="J2028">
        <v>30</v>
      </c>
      <c r="K2028" t="s">
        <v>61</v>
      </c>
      <c r="L2028" t="s">
        <v>74</v>
      </c>
      <c r="M2028" t="s">
        <v>63</v>
      </c>
      <c r="N2028" t="s">
        <v>64</v>
      </c>
      <c r="O2028">
        <v>6</v>
      </c>
      <c r="P2028" t="s">
        <v>65</v>
      </c>
      <c r="R2028">
        <v>1.1000000000000001</v>
      </c>
      <c r="W2028" t="s">
        <v>66</v>
      </c>
      <c r="X2028" t="s">
        <v>67</v>
      </c>
      <c r="Y2028" t="s">
        <v>67</v>
      </c>
      <c r="Z2028" t="s">
        <v>68</v>
      </c>
      <c r="AB2028">
        <v>4</v>
      </c>
      <c r="AC2028" t="s">
        <v>61</v>
      </c>
      <c r="AJ2028" t="s">
        <v>69</v>
      </c>
      <c r="AY2028" t="s">
        <v>958</v>
      </c>
      <c r="AZ2028">
        <v>12124</v>
      </c>
      <c r="BA2028" t="s">
        <v>959</v>
      </c>
      <c r="BB2028" t="s">
        <v>960</v>
      </c>
      <c r="BC2028">
        <v>1987</v>
      </c>
      <c r="BD2028" t="s">
        <v>73</v>
      </c>
    </row>
    <row r="2029" spans="1:56" x14ac:dyDescent="0.35">
      <c r="A2029">
        <v>634662</v>
      </c>
      <c r="B2029" t="s">
        <v>1573</v>
      </c>
      <c r="D2029" t="s">
        <v>57</v>
      </c>
      <c r="E2029" t="s">
        <v>86</v>
      </c>
      <c r="F2029" t="s">
        <v>58</v>
      </c>
      <c r="G2029" t="s">
        <v>59</v>
      </c>
      <c r="H2029" t="s">
        <v>60</v>
      </c>
      <c r="J2029" t="s">
        <v>86</v>
      </c>
      <c r="L2029" t="s">
        <v>74</v>
      </c>
      <c r="M2029" t="s">
        <v>63</v>
      </c>
      <c r="N2029" t="s">
        <v>64</v>
      </c>
      <c r="P2029" t="s">
        <v>65</v>
      </c>
      <c r="R2029">
        <v>1.1000000000000001</v>
      </c>
      <c r="W2029" t="s">
        <v>66</v>
      </c>
      <c r="X2029" t="s">
        <v>67</v>
      </c>
      <c r="Y2029" t="s">
        <v>67</v>
      </c>
      <c r="Z2029" t="s">
        <v>68</v>
      </c>
      <c r="AB2029">
        <v>4</v>
      </c>
      <c r="AC2029" t="s">
        <v>61</v>
      </c>
      <c r="AJ2029" t="s">
        <v>69</v>
      </c>
      <c r="AY2029" t="s">
        <v>364</v>
      </c>
      <c r="AZ2029">
        <v>10183</v>
      </c>
      <c r="BA2029" t="s">
        <v>365</v>
      </c>
      <c r="BB2029" t="s">
        <v>366</v>
      </c>
      <c r="BC2029">
        <v>1983</v>
      </c>
      <c r="BD2029" t="s">
        <v>90</v>
      </c>
    </row>
    <row r="2030" spans="1:56" x14ac:dyDescent="0.35">
      <c r="A2030">
        <v>634673</v>
      </c>
      <c r="B2030" t="s">
        <v>1574</v>
      </c>
      <c r="D2030" t="s">
        <v>57</v>
      </c>
      <c r="E2030" t="s">
        <v>128</v>
      </c>
      <c r="F2030" t="s">
        <v>58</v>
      </c>
      <c r="G2030" t="s">
        <v>59</v>
      </c>
      <c r="H2030" t="s">
        <v>60</v>
      </c>
      <c r="I2030" t="s">
        <v>129</v>
      </c>
      <c r="J2030" t="s">
        <v>86</v>
      </c>
      <c r="K2030" t="s">
        <v>61</v>
      </c>
      <c r="L2030" t="s">
        <v>74</v>
      </c>
      <c r="M2030" t="s">
        <v>63</v>
      </c>
      <c r="N2030" t="s">
        <v>64</v>
      </c>
      <c r="P2030" t="s">
        <v>65</v>
      </c>
      <c r="R2030">
        <v>3.64</v>
      </c>
      <c r="W2030" t="s">
        <v>66</v>
      </c>
      <c r="X2030" t="s">
        <v>67</v>
      </c>
      <c r="Y2030" t="s">
        <v>67</v>
      </c>
      <c r="Z2030" t="s">
        <v>68</v>
      </c>
      <c r="AB2030">
        <v>4</v>
      </c>
      <c r="AC2030" t="s">
        <v>61</v>
      </c>
      <c r="AJ2030" t="s">
        <v>69</v>
      </c>
      <c r="AY2030" t="s">
        <v>134</v>
      </c>
      <c r="AZ2030">
        <v>15031</v>
      </c>
      <c r="BA2030" t="s">
        <v>135</v>
      </c>
      <c r="BB2030" t="s">
        <v>136</v>
      </c>
      <c r="BC2030">
        <v>1995</v>
      </c>
      <c r="BD2030" t="s">
        <v>133</v>
      </c>
    </row>
    <row r="2031" spans="1:56" x14ac:dyDescent="0.35">
      <c r="A2031">
        <v>634673</v>
      </c>
      <c r="B2031" t="s">
        <v>1574</v>
      </c>
      <c r="D2031" t="s">
        <v>57</v>
      </c>
      <c r="E2031">
        <v>97</v>
      </c>
      <c r="F2031" t="s">
        <v>58</v>
      </c>
      <c r="G2031" t="s">
        <v>59</v>
      </c>
      <c r="H2031" t="s">
        <v>60</v>
      </c>
      <c r="J2031" t="s">
        <v>86</v>
      </c>
      <c r="K2031" t="s">
        <v>61</v>
      </c>
      <c r="L2031" t="s">
        <v>74</v>
      </c>
      <c r="M2031" t="s">
        <v>63</v>
      </c>
      <c r="N2031" t="s">
        <v>64</v>
      </c>
      <c r="P2031" t="s">
        <v>65</v>
      </c>
      <c r="R2031">
        <v>3.56</v>
      </c>
      <c r="W2031" t="s">
        <v>66</v>
      </c>
      <c r="X2031" t="s">
        <v>67</v>
      </c>
      <c r="Y2031" t="s">
        <v>67</v>
      </c>
      <c r="Z2031" t="s">
        <v>68</v>
      </c>
      <c r="AB2031">
        <v>4</v>
      </c>
      <c r="AC2031" t="s">
        <v>61</v>
      </c>
      <c r="AJ2031" t="s">
        <v>69</v>
      </c>
      <c r="AY2031" t="s">
        <v>286</v>
      </c>
      <c r="AZ2031">
        <v>12448</v>
      </c>
      <c r="BA2031" t="s">
        <v>287</v>
      </c>
      <c r="BB2031" t="s">
        <v>288</v>
      </c>
      <c r="BC2031">
        <v>1984</v>
      </c>
      <c r="BD2031" t="s">
        <v>501</v>
      </c>
    </row>
    <row r="2032" spans="1:56" x14ac:dyDescent="0.35">
      <c r="A2032">
        <v>634902</v>
      </c>
      <c r="B2032" t="s">
        <v>1575</v>
      </c>
      <c r="D2032" t="s">
        <v>57</v>
      </c>
      <c r="E2032">
        <v>99</v>
      </c>
      <c r="F2032" t="s">
        <v>58</v>
      </c>
      <c r="G2032" t="s">
        <v>59</v>
      </c>
      <c r="H2032" t="s">
        <v>60</v>
      </c>
      <c r="J2032" t="s">
        <v>86</v>
      </c>
      <c r="L2032" t="s">
        <v>74</v>
      </c>
      <c r="M2032" t="s">
        <v>63</v>
      </c>
      <c r="N2032" t="s">
        <v>64</v>
      </c>
      <c r="O2032">
        <v>6</v>
      </c>
      <c r="P2032" t="s">
        <v>65</v>
      </c>
      <c r="Q2032" t="s">
        <v>153</v>
      </c>
      <c r="R2032">
        <v>0.13</v>
      </c>
      <c r="W2032" t="s">
        <v>66</v>
      </c>
      <c r="X2032" t="s">
        <v>67</v>
      </c>
      <c r="Y2032" t="s">
        <v>67</v>
      </c>
      <c r="Z2032" t="s">
        <v>68</v>
      </c>
      <c r="AB2032">
        <v>4</v>
      </c>
      <c r="AC2032" t="s">
        <v>61</v>
      </c>
      <c r="AJ2032" t="s">
        <v>69</v>
      </c>
      <c r="AY2032" t="s">
        <v>351</v>
      </c>
      <c r="AZ2032">
        <v>9994</v>
      </c>
      <c r="BA2032" t="s">
        <v>352</v>
      </c>
      <c r="BB2032" t="s">
        <v>353</v>
      </c>
      <c r="BC2032">
        <v>1982</v>
      </c>
      <c r="BD2032" t="s">
        <v>90</v>
      </c>
    </row>
    <row r="2033" spans="1:56" x14ac:dyDescent="0.35">
      <c r="A2033">
        <v>634902</v>
      </c>
      <c r="B2033" t="s">
        <v>1575</v>
      </c>
      <c r="D2033" t="s">
        <v>57</v>
      </c>
      <c r="E2033">
        <v>99</v>
      </c>
      <c r="F2033" t="s">
        <v>58</v>
      </c>
      <c r="G2033" t="s">
        <v>59</v>
      </c>
      <c r="H2033" t="s">
        <v>60</v>
      </c>
      <c r="J2033" t="s">
        <v>86</v>
      </c>
      <c r="L2033" t="s">
        <v>62</v>
      </c>
      <c r="M2033" t="s">
        <v>63</v>
      </c>
      <c r="N2033" t="s">
        <v>64</v>
      </c>
      <c r="O2033">
        <v>6</v>
      </c>
      <c r="P2033" t="s">
        <v>65</v>
      </c>
      <c r="Q2033" t="s">
        <v>153</v>
      </c>
      <c r="R2033">
        <v>0.2</v>
      </c>
      <c r="W2033" t="s">
        <v>66</v>
      </c>
      <c r="X2033" t="s">
        <v>67</v>
      </c>
      <c r="Y2033" t="s">
        <v>67</v>
      </c>
      <c r="Z2033" t="s">
        <v>68</v>
      </c>
      <c r="AB2033">
        <v>4</v>
      </c>
      <c r="AC2033" t="s">
        <v>61</v>
      </c>
      <c r="AJ2033" t="s">
        <v>69</v>
      </c>
      <c r="AY2033" t="s">
        <v>351</v>
      </c>
      <c r="AZ2033">
        <v>9994</v>
      </c>
      <c r="BA2033" t="s">
        <v>352</v>
      </c>
      <c r="BB2033" t="s">
        <v>353</v>
      </c>
      <c r="BC2033">
        <v>1982</v>
      </c>
      <c r="BD2033" t="s">
        <v>90</v>
      </c>
    </row>
    <row r="2034" spans="1:56" x14ac:dyDescent="0.35">
      <c r="A2034">
        <v>634935</v>
      </c>
      <c r="B2034" t="s">
        <v>1576</v>
      </c>
      <c r="D2034" t="s">
        <v>85</v>
      </c>
      <c r="E2034" t="s">
        <v>86</v>
      </c>
      <c r="F2034" t="s">
        <v>58</v>
      </c>
      <c r="G2034" t="s">
        <v>59</v>
      </c>
      <c r="H2034" t="s">
        <v>60</v>
      </c>
      <c r="J2034" t="s">
        <v>86</v>
      </c>
      <c r="L2034" t="s">
        <v>62</v>
      </c>
      <c r="M2034" t="s">
        <v>63</v>
      </c>
      <c r="N2034" t="s">
        <v>64</v>
      </c>
      <c r="P2034" t="s">
        <v>100</v>
      </c>
      <c r="T2034">
        <v>1</v>
      </c>
      <c r="V2034">
        <v>10</v>
      </c>
      <c r="W2034" t="s">
        <v>66</v>
      </c>
      <c r="X2034" t="s">
        <v>67</v>
      </c>
      <c r="Y2034" t="s">
        <v>67</v>
      </c>
      <c r="Z2034" t="s">
        <v>68</v>
      </c>
      <c r="AB2034">
        <v>4</v>
      </c>
      <c r="AC2034" t="s">
        <v>61</v>
      </c>
      <c r="AJ2034" t="s">
        <v>69</v>
      </c>
      <c r="AY2034" t="s">
        <v>255</v>
      </c>
      <c r="AZ2034">
        <v>8960</v>
      </c>
      <c r="BA2034" t="s">
        <v>256</v>
      </c>
      <c r="BB2034" t="s">
        <v>257</v>
      </c>
      <c r="BC2034">
        <v>1972</v>
      </c>
      <c r="BD2034" t="s">
        <v>90</v>
      </c>
    </row>
    <row r="2035" spans="1:56" x14ac:dyDescent="0.35">
      <c r="A2035">
        <v>635938</v>
      </c>
      <c r="B2035" t="s">
        <v>1577</v>
      </c>
      <c r="D2035" t="s">
        <v>57</v>
      </c>
      <c r="E2035" t="s">
        <v>86</v>
      </c>
      <c r="F2035" t="s">
        <v>58</v>
      </c>
      <c r="G2035" t="s">
        <v>59</v>
      </c>
      <c r="H2035" t="s">
        <v>60</v>
      </c>
      <c r="J2035">
        <v>29</v>
      </c>
      <c r="K2035" t="s">
        <v>61</v>
      </c>
      <c r="L2035" t="s">
        <v>74</v>
      </c>
      <c r="M2035" t="s">
        <v>63</v>
      </c>
      <c r="N2035" t="s">
        <v>64</v>
      </c>
      <c r="P2035" t="s">
        <v>65</v>
      </c>
      <c r="R2035">
        <v>0.77</v>
      </c>
      <c r="T2035">
        <v>0.71</v>
      </c>
      <c r="V2035">
        <v>0.83</v>
      </c>
      <c r="W2035" t="s">
        <v>66</v>
      </c>
      <c r="X2035" t="s">
        <v>67</v>
      </c>
      <c r="Y2035" t="s">
        <v>67</v>
      </c>
      <c r="Z2035" t="s">
        <v>68</v>
      </c>
      <c r="AB2035">
        <v>4</v>
      </c>
      <c r="AC2035" t="s">
        <v>61</v>
      </c>
      <c r="AJ2035" t="s">
        <v>69</v>
      </c>
      <c r="AY2035" t="s">
        <v>286</v>
      </c>
      <c r="AZ2035">
        <v>12448</v>
      </c>
      <c r="BA2035" t="s">
        <v>287</v>
      </c>
      <c r="BB2035" t="s">
        <v>288</v>
      </c>
      <c r="BC2035">
        <v>1984</v>
      </c>
      <c r="BD2035" t="s">
        <v>73</v>
      </c>
    </row>
    <row r="2036" spans="1:56" x14ac:dyDescent="0.35">
      <c r="A2036">
        <v>645567</v>
      </c>
      <c r="B2036" t="s">
        <v>1578</v>
      </c>
      <c r="D2036" t="s">
        <v>57</v>
      </c>
      <c r="E2036">
        <v>99</v>
      </c>
      <c r="F2036" t="s">
        <v>58</v>
      </c>
      <c r="G2036" t="s">
        <v>59</v>
      </c>
      <c r="H2036" t="s">
        <v>60</v>
      </c>
      <c r="J2036">
        <v>29</v>
      </c>
      <c r="K2036" t="s">
        <v>61</v>
      </c>
      <c r="L2036" t="s">
        <v>74</v>
      </c>
      <c r="M2036" t="s">
        <v>63</v>
      </c>
      <c r="N2036" t="s">
        <v>64</v>
      </c>
      <c r="P2036" t="s">
        <v>65</v>
      </c>
      <c r="R2036">
        <v>11</v>
      </c>
      <c r="T2036">
        <v>10.199999999999999</v>
      </c>
      <c r="V2036">
        <v>11.7</v>
      </c>
      <c r="W2036" t="s">
        <v>66</v>
      </c>
      <c r="X2036" t="s">
        <v>67</v>
      </c>
      <c r="Y2036" t="s">
        <v>67</v>
      </c>
      <c r="Z2036" t="s">
        <v>68</v>
      </c>
      <c r="AB2036">
        <v>4</v>
      </c>
      <c r="AC2036" t="s">
        <v>61</v>
      </c>
      <c r="AJ2036" t="s">
        <v>69</v>
      </c>
      <c r="AY2036" t="s">
        <v>263</v>
      </c>
      <c r="AZ2036">
        <v>12858</v>
      </c>
      <c r="BA2036" t="s">
        <v>264</v>
      </c>
      <c r="BB2036" t="s">
        <v>265</v>
      </c>
      <c r="BC2036">
        <v>1986</v>
      </c>
      <c r="BD2036" t="s">
        <v>73</v>
      </c>
    </row>
    <row r="2037" spans="1:56" x14ac:dyDescent="0.35">
      <c r="A2037">
        <v>645567</v>
      </c>
      <c r="B2037" t="s">
        <v>1578</v>
      </c>
      <c r="D2037" t="s">
        <v>57</v>
      </c>
      <c r="E2037" t="s">
        <v>128</v>
      </c>
      <c r="F2037" t="s">
        <v>58</v>
      </c>
      <c r="G2037" t="s">
        <v>59</v>
      </c>
      <c r="H2037" t="s">
        <v>60</v>
      </c>
      <c r="I2037" t="s">
        <v>129</v>
      </c>
      <c r="J2037" t="s">
        <v>86</v>
      </c>
      <c r="K2037" t="s">
        <v>61</v>
      </c>
      <c r="L2037" t="s">
        <v>74</v>
      </c>
      <c r="M2037" t="s">
        <v>63</v>
      </c>
      <c r="N2037" t="s">
        <v>64</v>
      </c>
      <c r="P2037" t="s">
        <v>65</v>
      </c>
      <c r="R2037">
        <v>11</v>
      </c>
      <c r="W2037" t="s">
        <v>66</v>
      </c>
      <c r="X2037" t="s">
        <v>67</v>
      </c>
      <c r="Y2037" t="s">
        <v>67</v>
      </c>
      <c r="Z2037" t="s">
        <v>68</v>
      </c>
      <c r="AB2037">
        <v>4</v>
      </c>
      <c r="AC2037" t="s">
        <v>61</v>
      </c>
      <c r="AJ2037" t="s">
        <v>69</v>
      </c>
      <c r="AY2037" t="s">
        <v>134</v>
      </c>
      <c r="AZ2037">
        <v>15031</v>
      </c>
      <c r="BA2037" t="s">
        <v>135</v>
      </c>
      <c r="BB2037" t="s">
        <v>136</v>
      </c>
      <c r="BC2037">
        <v>1995</v>
      </c>
      <c r="BD2037" t="s">
        <v>133</v>
      </c>
    </row>
    <row r="2038" spans="1:56" x14ac:dyDescent="0.35">
      <c r="A2038">
        <v>653372</v>
      </c>
      <c r="B2038" t="s">
        <v>1579</v>
      </c>
      <c r="D2038" t="s">
        <v>57</v>
      </c>
      <c r="E2038">
        <v>98</v>
      </c>
      <c r="F2038" t="s">
        <v>58</v>
      </c>
      <c r="G2038" t="s">
        <v>59</v>
      </c>
      <c r="H2038" t="s">
        <v>60</v>
      </c>
      <c r="J2038">
        <v>32</v>
      </c>
      <c r="K2038" t="s">
        <v>61</v>
      </c>
      <c r="L2038" t="s">
        <v>74</v>
      </c>
      <c r="M2038" t="s">
        <v>63</v>
      </c>
      <c r="N2038" t="s">
        <v>64</v>
      </c>
      <c r="P2038" t="s">
        <v>65</v>
      </c>
      <c r="R2038">
        <v>1.1000000000000001</v>
      </c>
      <c r="T2038">
        <v>1</v>
      </c>
      <c r="V2038">
        <v>1.2</v>
      </c>
      <c r="W2038" t="s">
        <v>66</v>
      </c>
      <c r="X2038" t="s">
        <v>67</v>
      </c>
      <c r="Y2038" t="s">
        <v>67</v>
      </c>
      <c r="Z2038" t="s">
        <v>68</v>
      </c>
      <c r="AB2038">
        <v>4</v>
      </c>
      <c r="AC2038" t="s">
        <v>61</v>
      </c>
      <c r="AJ2038" t="s">
        <v>69</v>
      </c>
      <c r="AY2038" t="s">
        <v>286</v>
      </c>
      <c r="AZ2038">
        <v>12448</v>
      </c>
      <c r="BA2038" t="s">
        <v>287</v>
      </c>
      <c r="BB2038" t="s">
        <v>288</v>
      </c>
      <c r="BC2038">
        <v>1984</v>
      </c>
      <c r="BD2038" t="s">
        <v>73</v>
      </c>
    </row>
    <row r="2039" spans="1:56" x14ac:dyDescent="0.35">
      <c r="A2039">
        <v>654660</v>
      </c>
      <c r="B2039" t="s">
        <v>1580</v>
      </c>
      <c r="D2039" t="s">
        <v>57</v>
      </c>
      <c r="E2039" t="s">
        <v>128</v>
      </c>
      <c r="F2039" t="s">
        <v>58</v>
      </c>
      <c r="G2039" t="s">
        <v>59</v>
      </c>
      <c r="H2039" t="s">
        <v>60</v>
      </c>
      <c r="I2039" t="s">
        <v>129</v>
      </c>
      <c r="J2039" t="s">
        <v>86</v>
      </c>
      <c r="K2039" t="s">
        <v>61</v>
      </c>
      <c r="L2039" t="s">
        <v>74</v>
      </c>
      <c r="M2039" t="s">
        <v>63</v>
      </c>
      <c r="N2039" t="s">
        <v>64</v>
      </c>
      <c r="P2039" t="s">
        <v>65</v>
      </c>
      <c r="R2039">
        <v>9.14</v>
      </c>
      <c r="W2039" t="s">
        <v>66</v>
      </c>
      <c r="X2039" t="s">
        <v>67</v>
      </c>
      <c r="Y2039" t="s">
        <v>67</v>
      </c>
      <c r="Z2039" t="s">
        <v>68</v>
      </c>
      <c r="AB2039">
        <v>4</v>
      </c>
      <c r="AC2039" t="s">
        <v>61</v>
      </c>
      <c r="AJ2039" t="s">
        <v>69</v>
      </c>
      <c r="AY2039" t="s">
        <v>134</v>
      </c>
      <c r="AZ2039">
        <v>15031</v>
      </c>
      <c r="BA2039" t="s">
        <v>135</v>
      </c>
      <c r="BB2039" t="s">
        <v>136</v>
      </c>
      <c r="BC2039">
        <v>1995</v>
      </c>
      <c r="BD2039" t="s">
        <v>133</v>
      </c>
    </row>
    <row r="2040" spans="1:56" x14ac:dyDescent="0.35">
      <c r="A2040">
        <v>683727</v>
      </c>
      <c r="B2040" t="s">
        <v>1581</v>
      </c>
      <c r="D2040" t="s">
        <v>57</v>
      </c>
      <c r="E2040">
        <v>93</v>
      </c>
      <c r="F2040" t="s">
        <v>58</v>
      </c>
      <c r="G2040" t="s">
        <v>59</v>
      </c>
      <c r="H2040" t="s">
        <v>60</v>
      </c>
      <c r="J2040">
        <v>31</v>
      </c>
      <c r="K2040" t="s">
        <v>61</v>
      </c>
      <c r="L2040" t="s">
        <v>74</v>
      </c>
      <c r="M2040" t="s">
        <v>63</v>
      </c>
      <c r="N2040" t="s">
        <v>64</v>
      </c>
      <c r="P2040" t="s">
        <v>65</v>
      </c>
      <c r="R2040">
        <v>241</v>
      </c>
      <c r="T2040">
        <v>216</v>
      </c>
      <c r="V2040">
        <v>268</v>
      </c>
      <c r="W2040" t="s">
        <v>66</v>
      </c>
      <c r="X2040" t="s">
        <v>67</v>
      </c>
      <c r="Y2040" t="s">
        <v>67</v>
      </c>
      <c r="Z2040" t="s">
        <v>68</v>
      </c>
      <c r="AB2040">
        <v>4</v>
      </c>
      <c r="AC2040" t="s">
        <v>61</v>
      </c>
      <c r="AJ2040" t="s">
        <v>69</v>
      </c>
      <c r="AY2040" t="s">
        <v>286</v>
      </c>
      <c r="AZ2040">
        <v>12448</v>
      </c>
      <c r="BA2040" t="s">
        <v>287</v>
      </c>
      <c r="BB2040" t="s">
        <v>288</v>
      </c>
      <c r="BC2040">
        <v>1984</v>
      </c>
      <c r="BD2040" t="s">
        <v>73</v>
      </c>
    </row>
    <row r="2041" spans="1:56" x14ac:dyDescent="0.35">
      <c r="A2041">
        <v>685916</v>
      </c>
      <c r="B2041" t="s">
        <v>1582</v>
      </c>
      <c r="D2041" t="s">
        <v>57</v>
      </c>
      <c r="E2041">
        <v>99</v>
      </c>
      <c r="F2041" t="s">
        <v>58</v>
      </c>
      <c r="G2041" t="s">
        <v>59</v>
      </c>
      <c r="H2041" t="s">
        <v>60</v>
      </c>
      <c r="J2041">
        <v>32</v>
      </c>
      <c r="K2041" t="s">
        <v>61</v>
      </c>
      <c r="L2041" t="s">
        <v>190</v>
      </c>
      <c r="M2041" t="s">
        <v>63</v>
      </c>
      <c r="N2041" t="s">
        <v>64</v>
      </c>
      <c r="P2041" t="s">
        <v>65</v>
      </c>
      <c r="R2041">
        <v>1500</v>
      </c>
      <c r="T2041">
        <v>1210</v>
      </c>
      <c r="V2041">
        <v>1860</v>
      </c>
      <c r="W2041" t="s">
        <v>66</v>
      </c>
      <c r="X2041" t="s">
        <v>67</v>
      </c>
      <c r="Y2041" t="s">
        <v>67</v>
      </c>
      <c r="Z2041" t="s">
        <v>68</v>
      </c>
      <c r="AB2041">
        <v>4</v>
      </c>
      <c r="AC2041" t="s">
        <v>61</v>
      </c>
      <c r="AJ2041" t="s">
        <v>69</v>
      </c>
      <c r="AY2041" t="s">
        <v>75</v>
      </c>
      <c r="AZ2041">
        <v>3217</v>
      </c>
      <c r="BA2041" t="s">
        <v>76</v>
      </c>
      <c r="BB2041" t="s">
        <v>77</v>
      </c>
      <c r="BC2041">
        <v>1990</v>
      </c>
      <c r="BD2041" t="s">
        <v>73</v>
      </c>
    </row>
    <row r="2042" spans="1:56" x14ac:dyDescent="0.35">
      <c r="A2042">
        <v>693163</v>
      </c>
      <c r="B2042" t="s">
        <v>1583</v>
      </c>
      <c r="D2042" t="s">
        <v>57</v>
      </c>
      <c r="E2042">
        <v>98</v>
      </c>
      <c r="F2042" t="s">
        <v>58</v>
      </c>
      <c r="G2042" t="s">
        <v>59</v>
      </c>
      <c r="H2042" t="s">
        <v>60</v>
      </c>
      <c r="J2042">
        <v>31</v>
      </c>
      <c r="K2042" t="s">
        <v>61</v>
      </c>
      <c r="L2042" t="s">
        <v>74</v>
      </c>
      <c r="M2042" t="s">
        <v>63</v>
      </c>
      <c r="N2042" t="s">
        <v>64</v>
      </c>
      <c r="P2042" t="s">
        <v>65</v>
      </c>
      <c r="R2042">
        <v>5.1100000000000003</v>
      </c>
      <c r="T2042">
        <v>4.59</v>
      </c>
      <c r="V2042">
        <v>5.71</v>
      </c>
      <c r="W2042" t="s">
        <v>66</v>
      </c>
      <c r="X2042" t="s">
        <v>67</v>
      </c>
      <c r="Y2042" t="s">
        <v>67</v>
      </c>
      <c r="Z2042" t="s">
        <v>68</v>
      </c>
      <c r="AB2042">
        <v>4</v>
      </c>
      <c r="AC2042" t="s">
        <v>61</v>
      </c>
      <c r="AJ2042" t="s">
        <v>69</v>
      </c>
      <c r="AY2042" t="s">
        <v>286</v>
      </c>
      <c r="AZ2042">
        <v>12448</v>
      </c>
      <c r="BA2042" t="s">
        <v>287</v>
      </c>
      <c r="BB2042" t="s">
        <v>288</v>
      </c>
      <c r="BC2042">
        <v>1984</v>
      </c>
      <c r="BD2042" t="s">
        <v>73</v>
      </c>
    </row>
    <row r="2043" spans="1:56" x14ac:dyDescent="0.35">
      <c r="A2043">
        <v>693163</v>
      </c>
      <c r="B2043" t="s">
        <v>1583</v>
      </c>
      <c r="D2043" t="s">
        <v>57</v>
      </c>
      <c r="E2043">
        <v>98</v>
      </c>
      <c r="F2043" t="s">
        <v>58</v>
      </c>
      <c r="G2043" t="s">
        <v>59</v>
      </c>
      <c r="H2043" t="s">
        <v>60</v>
      </c>
      <c r="J2043">
        <v>32</v>
      </c>
      <c r="K2043" t="s">
        <v>61</v>
      </c>
      <c r="L2043" t="s">
        <v>74</v>
      </c>
      <c r="M2043" t="s">
        <v>63</v>
      </c>
      <c r="N2043" t="s">
        <v>64</v>
      </c>
      <c r="P2043" t="s">
        <v>65</v>
      </c>
      <c r="R2043">
        <v>5.28</v>
      </c>
      <c r="T2043">
        <v>4.8499999999999996</v>
      </c>
      <c r="V2043">
        <v>5.75</v>
      </c>
      <c r="W2043" t="s">
        <v>66</v>
      </c>
      <c r="X2043" t="s">
        <v>67</v>
      </c>
      <c r="Y2043" t="s">
        <v>67</v>
      </c>
      <c r="Z2043" t="s">
        <v>68</v>
      </c>
      <c r="AB2043">
        <v>4</v>
      </c>
      <c r="AC2043" t="s">
        <v>61</v>
      </c>
      <c r="AJ2043" t="s">
        <v>69</v>
      </c>
      <c r="AY2043" t="s">
        <v>286</v>
      </c>
      <c r="AZ2043">
        <v>12448</v>
      </c>
      <c r="BA2043" t="s">
        <v>287</v>
      </c>
      <c r="BB2043" t="s">
        <v>288</v>
      </c>
      <c r="BC2043">
        <v>1984</v>
      </c>
      <c r="BD2043" t="s">
        <v>73</v>
      </c>
    </row>
    <row r="2044" spans="1:56" x14ac:dyDescent="0.35">
      <c r="A2044">
        <v>693210</v>
      </c>
      <c r="B2044" t="s">
        <v>1584</v>
      </c>
      <c r="D2044" t="s">
        <v>57</v>
      </c>
      <c r="E2044" t="s">
        <v>86</v>
      </c>
      <c r="F2044" t="s">
        <v>58</v>
      </c>
      <c r="G2044" t="s">
        <v>59</v>
      </c>
      <c r="H2044" t="s">
        <v>60</v>
      </c>
      <c r="J2044">
        <v>2</v>
      </c>
      <c r="K2044" t="s">
        <v>196</v>
      </c>
      <c r="L2044" t="s">
        <v>62</v>
      </c>
      <c r="M2044" t="s">
        <v>63</v>
      </c>
      <c r="N2044" t="s">
        <v>64</v>
      </c>
      <c r="P2044" t="s">
        <v>65</v>
      </c>
      <c r="R2044">
        <v>491.4</v>
      </c>
      <c r="T2044">
        <v>447.2</v>
      </c>
      <c r="V2044">
        <v>564.4</v>
      </c>
      <c r="W2044" t="s">
        <v>66</v>
      </c>
      <c r="X2044" t="s">
        <v>67</v>
      </c>
      <c r="Y2044" t="s">
        <v>67</v>
      </c>
      <c r="Z2044" t="s">
        <v>68</v>
      </c>
      <c r="AB2044">
        <v>4</v>
      </c>
      <c r="AC2044" t="s">
        <v>61</v>
      </c>
      <c r="AJ2044" t="s">
        <v>69</v>
      </c>
      <c r="AY2044" t="s">
        <v>1585</v>
      </c>
      <c r="AZ2044">
        <v>734</v>
      </c>
      <c r="BA2044" t="s">
        <v>1586</v>
      </c>
      <c r="BB2044" t="s">
        <v>1587</v>
      </c>
      <c r="BC2044">
        <v>1989</v>
      </c>
      <c r="BD2044" t="s">
        <v>200</v>
      </c>
    </row>
    <row r="2045" spans="1:56" x14ac:dyDescent="0.35">
      <c r="A2045">
        <v>693549</v>
      </c>
      <c r="B2045" t="s">
        <v>1588</v>
      </c>
      <c r="D2045" t="s">
        <v>57</v>
      </c>
      <c r="E2045">
        <v>95</v>
      </c>
      <c r="F2045" t="s">
        <v>58</v>
      </c>
      <c r="G2045" t="s">
        <v>59</v>
      </c>
      <c r="H2045" t="s">
        <v>60</v>
      </c>
      <c r="J2045">
        <v>32</v>
      </c>
      <c r="K2045" t="s">
        <v>61</v>
      </c>
      <c r="L2045" t="s">
        <v>74</v>
      </c>
      <c r="M2045" t="s">
        <v>63</v>
      </c>
      <c r="N2045" t="s">
        <v>64</v>
      </c>
      <c r="P2045" t="s">
        <v>65</v>
      </c>
      <c r="R2045">
        <v>4.0999999999999996</v>
      </c>
      <c r="T2045">
        <v>4</v>
      </c>
      <c r="V2045">
        <v>4.2</v>
      </c>
      <c r="W2045" t="s">
        <v>66</v>
      </c>
      <c r="X2045" t="s">
        <v>67</v>
      </c>
      <c r="Y2045" t="s">
        <v>67</v>
      </c>
      <c r="Z2045" t="s">
        <v>68</v>
      </c>
      <c r="AB2045">
        <v>4</v>
      </c>
      <c r="AC2045" t="s">
        <v>61</v>
      </c>
      <c r="AJ2045" t="s">
        <v>69</v>
      </c>
      <c r="AY2045" t="s">
        <v>286</v>
      </c>
      <c r="AZ2045">
        <v>12448</v>
      </c>
      <c r="BA2045" t="s">
        <v>287</v>
      </c>
      <c r="BB2045" t="s">
        <v>288</v>
      </c>
      <c r="BC2045">
        <v>1984</v>
      </c>
      <c r="BD2045" t="s">
        <v>73</v>
      </c>
    </row>
    <row r="2046" spans="1:56" x14ac:dyDescent="0.35">
      <c r="A2046">
        <v>693549</v>
      </c>
      <c r="B2046" t="s">
        <v>1588</v>
      </c>
      <c r="D2046" t="s">
        <v>57</v>
      </c>
      <c r="E2046">
        <v>95</v>
      </c>
      <c r="F2046" t="s">
        <v>58</v>
      </c>
      <c r="G2046" t="s">
        <v>59</v>
      </c>
      <c r="H2046" t="s">
        <v>60</v>
      </c>
      <c r="J2046">
        <v>29</v>
      </c>
      <c r="K2046" t="s">
        <v>61</v>
      </c>
      <c r="L2046" t="s">
        <v>74</v>
      </c>
      <c r="M2046" t="s">
        <v>63</v>
      </c>
      <c r="N2046" t="s">
        <v>64</v>
      </c>
      <c r="P2046" t="s">
        <v>65</v>
      </c>
      <c r="R2046">
        <v>5.7</v>
      </c>
      <c r="T2046">
        <v>5.4</v>
      </c>
      <c r="V2046">
        <v>6</v>
      </c>
      <c r="W2046" t="s">
        <v>66</v>
      </c>
      <c r="X2046" t="s">
        <v>67</v>
      </c>
      <c r="Y2046" t="s">
        <v>67</v>
      </c>
      <c r="Z2046" t="s">
        <v>68</v>
      </c>
      <c r="AB2046">
        <v>4</v>
      </c>
      <c r="AC2046" t="s">
        <v>61</v>
      </c>
      <c r="AJ2046" t="s">
        <v>69</v>
      </c>
      <c r="AY2046" t="s">
        <v>286</v>
      </c>
      <c r="AZ2046">
        <v>12448</v>
      </c>
      <c r="BA2046" t="s">
        <v>287</v>
      </c>
      <c r="BB2046" t="s">
        <v>288</v>
      </c>
      <c r="BC2046">
        <v>1984</v>
      </c>
      <c r="BD2046" t="s">
        <v>73</v>
      </c>
    </row>
    <row r="2047" spans="1:56" x14ac:dyDescent="0.35">
      <c r="A2047">
        <v>693652</v>
      </c>
      <c r="B2047" t="s">
        <v>1589</v>
      </c>
      <c r="E2047" t="s">
        <v>86</v>
      </c>
      <c r="F2047" t="s">
        <v>58</v>
      </c>
      <c r="G2047" t="s">
        <v>59</v>
      </c>
      <c r="H2047" t="s">
        <v>60</v>
      </c>
      <c r="I2047" t="s">
        <v>129</v>
      </c>
      <c r="J2047" t="s">
        <v>86</v>
      </c>
      <c r="K2047" t="s">
        <v>61</v>
      </c>
      <c r="L2047" t="s">
        <v>74</v>
      </c>
      <c r="M2047" t="s">
        <v>63</v>
      </c>
      <c r="N2047" t="s">
        <v>64</v>
      </c>
      <c r="P2047" t="s">
        <v>100</v>
      </c>
      <c r="R2047">
        <v>3.04</v>
      </c>
      <c r="T2047">
        <v>2.95</v>
      </c>
      <c r="V2047">
        <v>3.14</v>
      </c>
      <c r="W2047" t="s">
        <v>66</v>
      </c>
      <c r="X2047" t="s">
        <v>67</v>
      </c>
      <c r="Y2047" t="s">
        <v>67</v>
      </c>
      <c r="Z2047" t="s">
        <v>68</v>
      </c>
      <c r="AB2047">
        <v>4</v>
      </c>
      <c r="AC2047" t="s">
        <v>61</v>
      </c>
      <c r="AJ2047" t="s">
        <v>69</v>
      </c>
      <c r="AY2047" t="s">
        <v>422</v>
      </c>
      <c r="AZ2047">
        <v>14128</v>
      </c>
      <c r="BA2047" t="s">
        <v>423</v>
      </c>
      <c r="BB2047" t="s">
        <v>424</v>
      </c>
      <c r="BC2047">
        <v>1985</v>
      </c>
      <c r="BD2047" t="s">
        <v>833</v>
      </c>
    </row>
    <row r="2048" spans="1:56" x14ac:dyDescent="0.35">
      <c r="A2048">
        <v>693652</v>
      </c>
      <c r="B2048" t="s">
        <v>1589</v>
      </c>
      <c r="D2048" t="s">
        <v>57</v>
      </c>
      <c r="E2048">
        <v>99</v>
      </c>
      <c r="F2048" t="s">
        <v>58</v>
      </c>
      <c r="G2048" t="s">
        <v>59</v>
      </c>
      <c r="H2048" t="s">
        <v>60</v>
      </c>
      <c r="J2048">
        <v>30</v>
      </c>
      <c r="K2048" t="s">
        <v>61</v>
      </c>
      <c r="L2048" t="s">
        <v>74</v>
      </c>
      <c r="M2048" t="s">
        <v>63</v>
      </c>
      <c r="N2048" t="s">
        <v>64</v>
      </c>
      <c r="P2048" t="s">
        <v>65</v>
      </c>
      <c r="R2048">
        <v>3.14</v>
      </c>
      <c r="W2048" t="s">
        <v>66</v>
      </c>
      <c r="X2048" t="s">
        <v>67</v>
      </c>
      <c r="Y2048" t="s">
        <v>67</v>
      </c>
      <c r="Z2048" t="s">
        <v>68</v>
      </c>
      <c r="AB2048">
        <v>4</v>
      </c>
      <c r="AC2048" t="s">
        <v>61</v>
      </c>
      <c r="AJ2048" t="s">
        <v>69</v>
      </c>
      <c r="AY2048" t="s">
        <v>80</v>
      </c>
      <c r="AZ2048">
        <v>12859</v>
      </c>
      <c r="BA2048" t="s">
        <v>81</v>
      </c>
      <c r="BB2048" t="s">
        <v>82</v>
      </c>
      <c r="BC2048">
        <v>1988</v>
      </c>
      <c r="BD2048" t="s">
        <v>73</v>
      </c>
    </row>
    <row r="2049" spans="1:56" x14ac:dyDescent="0.35">
      <c r="A2049">
        <v>693936</v>
      </c>
      <c r="B2049" t="s">
        <v>1590</v>
      </c>
      <c r="D2049" t="s">
        <v>57</v>
      </c>
      <c r="E2049" t="s">
        <v>810</v>
      </c>
      <c r="F2049" t="s">
        <v>58</v>
      </c>
      <c r="G2049" t="s">
        <v>59</v>
      </c>
      <c r="H2049" t="s">
        <v>60</v>
      </c>
      <c r="J2049">
        <v>31</v>
      </c>
      <c r="K2049" t="s">
        <v>61</v>
      </c>
      <c r="L2049" t="s">
        <v>74</v>
      </c>
      <c r="M2049" t="s">
        <v>63</v>
      </c>
      <c r="N2049" t="s">
        <v>64</v>
      </c>
      <c r="P2049" t="s">
        <v>65</v>
      </c>
      <c r="R2049">
        <v>1390</v>
      </c>
      <c r="T2049">
        <v>1260</v>
      </c>
      <c r="V2049">
        <v>1530</v>
      </c>
      <c r="W2049" t="s">
        <v>66</v>
      </c>
      <c r="X2049" t="s">
        <v>67</v>
      </c>
      <c r="Y2049" t="s">
        <v>67</v>
      </c>
      <c r="Z2049" t="s">
        <v>68</v>
      </c>
      <c r="AB2049">
        <v>4</v>
      </c>
      <c r="AC2049" t="s">
        <v>61</v>
      </c>
      <c r="AJ2049" t="s">
        <v>69</v>
      </c>
      <c r="AY2049" t="s">
        <v>263</v>
      </c>
      <c r="AZ2049">
        <v>12858</v>
      </c>
      <c r="BA2049" t="s">
        <v>264</v>
      </c>
      <c r="BB2049" t="s">
        <v>265</v>
      </c>
      <c r="BC2049">
        <v>1986</v>
      </c>
      <c r="BD2049" t="s">
        <v>73</v>
      </c>
    </row>
    <row r="2050" spans="1:56" x14ac:dyDescent="0.35">
      <c r="A2050">
        <v>693981</v>
      </c>
      <c r="B2050" t="s">
        <v>1591</v>
      </c>
      <c r="D2050" t="s">
        <v>57</v>
      </c>
      <c r="E2050">
        <v>99</v>
      </c>
      <c r="F2050" t="s">
        <v>58</v>
      </c>
      <c r="G2050" t="s">
        <v>59</v>
      </c>
      <c r="H2050" t="s">
        <v>60</v>
      </c>
      <c r="J2050">
        <v>30</v>
      </c>
      <c r="K2050" t="s">
        <v>61</v>
      </c>
      <c r="L2050" t="s">
        <v>74</v>
      </c>
      <c r="M2050" t="s">
        <v>63</v>
      </c>
      <c r="N2050" t="s">
        <v>64</v>
      </c>
      <c r="P2050" t="s">
        <v>65</v>
      </c>
      <c r="R2050">
        <v>286</v>
      </c>
      <c r="T2050">
        <v>267</v>
      </c>
      <c r="V2050">
        <v>307</v>
      </c>
      <c r="W2050" t="s">
        <v>66</v>
      </c>
      <c r="X2050" t="s">
        <v>67</v>
      </c>
      <c r="Y2050" t="s">
        <v>67</v>
      </c>
      <c r="Z2050" t="s">
        <v>68</v>
      </c>
      <c r="AB2050">
        <v>4</v>
      </c>
      <c r="AC2050" t="s">
        <v>61</v>
      </c>
      <c r="AJ2050" t="s">
        <v>69</v>
      </c>
      <c r="AY2050" t="s">
        <v>286</v>
      </c>
      <c r="AZ2050">
        <v>12448</v>
      </c>
      <c r="BA2050" t="s">
        <v>287</v>
      </c>
      <c r="BB2050" t="s">
        <v>288</v>
      </c>
      <c r="BC2050">
        <v>1984</v>
      </c>
      <c r="BD2050" t="s">
        <v>73</v>
      </c>
    </row>
    <row r="2051" spans="1:56" x14ac:dyDescent="0.35">
      <c r="A2051">
        <v>700389</v>
      </c>
      <c r="B2051" t="s">
        <v>1592</v>
      </c>
      <c r="D2051" t="s">
        <v>85</v>
      </c>
      <c r="E2051" t="s">
        <v>86</v>
      </c>
      <c r="F2051" t="s">
        <v>58</v>
      </c>
      <c r="G2051" t="s">
        <v>59</v>
      </c>
      <c r="H2051" t="s">
        <v>60</v>
      </c>
      <c r="I2051" t="s">
        <v>129</v>
      </c>
      <c r="J2051" t="s">
        <v>86</v>
      </c>
      <c r="L2051" t="s">
        <v>62</v>
      </c>
      <c r="M2051" t="s">
        <v>63</v>
      </c>
      <c r="N2051" t="s">
        <v>64</v>
      </c>
      <c r="P2051" t="s">
        <v>100</v>
      </c>
      <c r="R2051">
        <v>47</v>
      </c>
      <c r="W2051" t="s">
        <v>66</v>
      </c>
      <c r="X2051" t="s">
        <v>67</v>
      </c>
      <c r="Y2051" t="s">
        <v>67</v>
      </c>
      <c r="Z2051" t="s">
        <v>68</v>
      </c>
      <c r="AB2051">
        <v>4</v>
      </c>
      <c r="AC2051" t="s">
        <v>61</v>
      </c>
      <c r="AJ2051" t="s">
        <v>69</v>
      </c>
      <c r="AY2051" t="s">
        <v>722</v>
      </c>
      <c r="AZ2051">
        <v>5087</v>
      </c>
      <c r="BA2051" t="s">
        <v>723</v>
      </c>
      <c r="BB2051" t="s">
        <v>724</v>
      </c>
      <c r="BC2051">
        <v>1979</v>
      </c>
      <c r="BD2051" t="s">
        <v>90</v>
      </c>
    </row>
    <row r="2052" spans="1:56" x14ac:dyDescent="0.35">
      <c r="A2052">
        <v>700583</v>
      </c>
      <c r="B2052" t="s">
        <v>1593</v>
      </c>
      <c r="D2052" t="s">
        <v>57</v>
      </c>
      <c r="E2052">
        <v>99</v>
      </c>
      <c r="F2052" t="s">
        <v>58</v>
      </c>
      <c r="G2052" t="s">
        <v>59</v>
      </c>
      <c r="H2052" t="s">
        <v>60</v>
      </c>
      <c r="J2052">
        <v>31</v>
      </c>
      <c r="K2052" t="s">
        <v>61</v>
      </c>
      <c r="L2052" t="s">
        <v>74</v>
      </c>
      <c r="M2052" t="s">
        <v>63</v>
      </c>
      <c r="N2052" t="s">
        <v>64</v>
      </c>
      <c r="P2052" t="s">
        <v>65</v>
      </c>
      <c r="R2052">
        <v>60.8</v>
      </c>
      <c r="T2052">
        <v>51.7</v>
      </c>
      <c r="V2052">
        <v>71.599999999999994</v>
      </c>
      <c r="W2052" t="s">
        <v>66</v>
      </c>
      <c r="X2052" t="s">
        <v>67</v>
      </c>
      <c r="Y2052" t="s">
        <v>67</v>
      </c>
      <c r="Z2052" t="s">
        <v>68</v>
      </c>
      <c r="AB2052">
        <v>4</v>
      </c>
      <c r="AC2052" t="s">
        <v>61</v>
      </c>
      <c r="AJ2052" t="s">
        <v>69</v>
      </c>
      <c r="AY2052" t="s">
        <v>263</v>
      </c>
      <c r="AZ2052">
        <v>12858</v>
      </c>
      <c r="BA2052" t="s">
        <v>264</v>
      </c>
      <c r="BB2052" t="s">
        <v>265</v>
      </c>
      <c r="BC2052">
        <v>1986</v>
      </c>
      <c r="BD2052" t="s">
        <v>73</v>
      </c>
    </row>
    <row r="2053" spans="1:56" x14ac:dyDescent="0.35">
      <c r="A2053">
        <v>706149</v>
      </c>
      <c r="B2053" t="s">
        <v>1594</v>
      </c>
      <c r="D2053" t="s">
        <v>57</v>
      </c>
      <c r="E2053">
        <v>99</v>
      </c>
      <c r="F2053" t="s">
        <v>58</v>
      </c>
      <c r="G2053" t="s">
        <v>59</v>
      </c>
      <c r="H2053" t="s">
        <v>60</v>
      </c>
      <c r="J2053">
        <v>29</v>
      </c>
      <c r="K2053" t="s">
        <v>61</v>
      </c>
      <c r="L2053" t="s">
        <v>74</v>
      </c>
      <c r="M2053" t="s">
        <v>63</v>
      </c>
      <c r="N2053" t="s">
        <v>64</v>
      </c>
      <c r="P2053" t="s">
        <v>65</v>
      </c>
      <c r="R2053">
        <v>18</v>
      </c>
      <c r="T2053">
        <v>17.100000000000001</v>
      </c>
      <c r="V2053">
        <v>19</v>
      </c>
      <c r="W2053" t="s">
        <v>66</v>
      </c>
      <c r="X2053" t="s">
        <v>67</v>
      </c>
      <c r="Y2053" t="s">
        <v>67</v>
      </c>
      <c r="Z2053" t="s">
        <v>68</v>
      </c>
      <c r="AB2053">
        <v>4</v>
      </c>
      <c r="AC2053" t="s">
        <v>61</v>
      </c>
      <c r="AJ2053" t="s">
        <v>69</v>
      </c>
      <c r="AY2053" t="s">
        <v>80</v>
      </c>
      <c r="AZ2053">
        <v>12859</v>
      </c>
      <c r="BA2053" t="s">
        <v>81</v>
      </c>
      <c r="BB2053" t="s">
        <v>82</v>
      </c>
      <c r="BC2053">
        <v>1988</v>
      </c>
      <c r="BD2053" t="s">
        <v>73</v>
      </c>
    </row>
    <row r="2054" spans="1:56" x14ac:dyDescent="0.35">
      <c r="A2054">
        <v>708769</v>
      </c>
      <c r="B2054" t="s">
        <v>1595</v>
      </c>
      <c r="D2054" t="s">
        <v>57</v>
      </c>
      <c r="E2054">
        <v>98</v>
      </c>
      <c r="F2054" t="s">
        <v>58</v>
      </c>
      <c r="G2054" t="s">
        <v>59</v>
      </c>
      <c r="H2054" t="s">
        <v>60</v>
      </c>
      <c r="J2054">
        <v>28</v>
      </c>
      <c r="K2054" t="s">
        <v>61</v>
      </c>
      <c r="L2054" t="s">
        <v>74</v>
      </c>
      <c r="M2054" t="s">
        <v>63</v>
      </c>
      <c r="N2054" t="s">
        <v>64</v>
      </c>
      <c r="P2054" t="s">
        <v>65</v>
      </c>
      <c r="R2054">
        <v>2.68</v>
      </c>
      <c r="W2054" t="s">
        <v>66</v>
      </c>
      <c r="X2054" t="s">
        <v>67</v>
      </c>
      <c r="Y2054" t="s">
        <v>67</v>
      </c>
      <c r="Z2054" t="s">
        <v>68</v>
      </c>
      <c r="AB2054">
        <v>4</v>
      </c>
      <c r="AC2054" t="s">
        <v>61</v>
      </c>
      <c r="AJ2054" t="s">
        <v>69</v>
      </c>
      <c r="AY2054" t="s">
        <v>286</v>
      </c>
      <c r="AZ2054">
        <v>12448</v>
      </c>
      <c r="BA2054" t="s">
        <v>287</v>
      </c>
      <c r="BB2054" t="s">
        <v>288</v>
      </c>
      <c r="BC2054">
        <v>1984</v>
      </c>
      <c r="BD2054" t="s">
        <v>73</v>
      </c>
    </row>
    <row r="2055" spans="1:56" x14ac:dyDescent="0.35">
      <c r="A2055">
        <v>709988</v>
      </c>
      <c r="B2055" t="s">
        <v>1596</v>
      </c>
      <c r="C2055" t="s">
        <v>91</v>
      </c>
      <c r="D2055" t="s">
        <v>57</v>
      </c>
      <c r="E2055">
        <v>85.9</v>
      </c>
      <c r="F2055" t="s">
        <v>58</v>
      </c>
      <c r="G2055" t="s">
        <v>59</v>
      </c>
      <c r="H2055" t="s">
        <v>60</v>
      </c>
      <c r="J2055">
        <v>20</v>
      </c>
      <c r="K2055" t="s">
        <v>61</v>
      </c>
      <c r="L2055" t="s">
        <v>74</v>
      </c>
      <c r="M2055" t="s">
        <v>63</v>
      </c>
      <c r="N2055" t="s">
        <v>64</v>
      </c>
      <c r="O2055">
        <v>6</v>
      </c>
      <c r="P2055" t="s">
        <v>65</v>
      </c>
      <c r="R2055">
        <v>8.6</v>
      </c>
      <c r="W2055" t="s">
        <v>66</v>
      </c>
      <c r="X2055" t="s">
        <v>67</v>
      </c>
      <c r="Y2055" t="s">
        <v>67</v>
      </c>
      <c r="Z2055" t="s">
        <v>68</v>
      </c>
      <c r="AB2055">
        <v>4</v>
      </c>
      <c r="AC2055" t="s">
        <v>61</v>
      </c>
      <c r="AJ2055" t="s">
        <v>69</v>
      </c>
      <c r="AY2055" t="s">
        <v>1597</v>
      </c>
      <c r="AZ2055">
        <v>15275</v>
      </c>
      <c r="BA2055" t="s">
        <v>1598</v>
      </c>
      <c r="BB2055" t="s">
        <v>1599</v>
      </c>
      <c r="BC2055">
        <v>1983</v>
      </c>
      <c r="BD2055" t="s">
        <v>73</v>
      </c>
    </row>
    <row r="2056" spans="1:56" x14ac:dyDescent="0.35">
      <c r="A2056">
        <v>709988</v>
      </c>
      <c r="B2056" t="s">
        <v>1596</v>
      </c>
      <c r="D2056" t="s">
        <v>57</v>
      </c>
      <c r="E2056">
        <v>85.9</v>
      </c>
      <c r="F2056" t="s">
        <v>58</v>
      </c>
      <c r="G2056" t="s">
        <v>59</v>
      </c>
      <c r="H2056" t="s">
        <v>60</v>
      </c>
      <c r="J2056" t="s">
        <v>86</v>
      </c>
      <c r="K2056" t="s">
        <v>61</v>
      </c>
      <c r="L2056" t="s">
        <v>74</v>
      </c>
      <c r="M2056" t="s">
        <v>63</v>
      </c>
      <c r="N2056" t="s">
        <v>64</v>
      </c>
      <c r="P2056" t="s">
        <v>65</v>
      </c>
      <c r="R2056">
        <v>8.6</v>
      </c>
      <c r="T2056">
        <v>7.7</v>
      </c>
      <c r="V2056">
        <v>9.5</v>
      </c>
      <c r="W2056" t="s">
        <v>66</v>
      </c>
      <c r="X2056" t="s">
        <v>67</v>
      </c>
      <c r="Y2056" t="s">
        <v>67</v>
      </c>
      <c r="Z2056" t="s">
        <v>68</v>
      </c>
      <c r="AB2056">
        <v>4</v>
      </c>
      <c r="AC2056" t="s">
        <v>61</v>
      </c>
      <c r="AJ2056" t="s">
        <v>69</v>
      </c>
      <c r="AY2056" t="s">
        <v>263</v>
      </c>
      <c r="AZ2056">
        <v>12858</v>
      </c>
      <c r="BA2056" t="s">
        <v>264</v>
      </c>
      <c r="BB2056" t="s">
        <v>265</v>
      </c>
      <c r="BC2056">
        <v>1986</v>
      </c>
      <c r="BD2056" t="s">
        <v>739</v>
      </c>
    </row>
    <row r="2057" spans="1:56" x14ac:dyDescent="0.35">
      <c r="A2057">
        <v>732116</v>
      </c>
      <c r="B2057" t="s">
        <v>1600</v>
      </c>
      <c r="E2057">
        <v>95.3</v>
      </c>
      <c r="F2057" t="s">
        <v>58</v>
      </c>
      <c r="G2057" t="s">
        <v>59</v>
      </c>
      <c r="H2057" t="s">
        <v>60</v>
      </c>
      <c r="J2057" t="s">
        <v>86</v>
      </c>
      <c r="L2057" t="s">
        <v>62</v>
      </c>
      <c r="M2057" t="s">
        <v>63</v>
      </c>
      <c r="N2057" t="s">
        <v>64</v>
      </c>
      <c r="P2057" t="s">
        <v>65</v>
      </c>
      <c r="R2057">
        <v>7.3</v>
      </c>
      <c r="T2057">
        <v>4.6760000000000002</v>
      </c>
      <c r="V2057">
        <v>11.395</v>
      </c>
      <c r="W2057" t="s">
        <v>66</v>
      </c>
      <c r="X2057" t="s">
        <v>67</v>
      </c>
      <c r="Y2057" t="s">
        <v>67</v>
      </c>
      <c r="Z2057" t="s">
        <v>68</v>
      </c>
      <c r="AB2057">
        <v>4</v>
      </c>
      <c r="AC2057" t="s">
        <v>61</v>
      </c>
      <c r="AJ2057" t="s">
        <v>69</v>
      </c>
      <c r="AY2057" t="s">
        <v>96</v>
      </c>
      <c r="AZ2057">
        <v>6797</v>
      </c>
      <c r="BA2057" t="s">
        <v>97</v>
      </c>
      <c r="BB2057" t="s">
        <v>98</v>
      </c>
      <c r="BC2057">
        <v>1986</v>
      </c>
      <c r="BD2057" t="s">
        <v>90</v>
      </c>
    </row>
    <row r="2058" spans="1:56" x14ac:dyDescent="0.35">
      <c r="A2058">
        <v>732116</v>
      </c>
      <c r="B2058" t="s">
        <v>1600</v>
      </c>
      <c r="E2058">
        <v>50</v>
      </c>
      <c r="F2058" t="s">
        <v>58</v>
      </c>
      <c r="G2058" t="s">
        <v>59</v>
      </c>
      <c r="H2058" t="s">
        <v>60</v>
      </c>
      <c r="J2058" t="s">
        <v>86</v>
      </c>
      <c r="L2058" t="s">
        <v>62</v>
      </c>
      <c r="M2058" t="s">
        <v>63</v>
      </c>
      <c r="N2058" t="s">
        <v>64</v>
      </c>
      <c r="P2058" t="s">
        <v>65</v>
      </c>
      <c r="R2058">
        <v>9</v>
      </c>
      <c r="T2058">
        <v>6.1539999999999999</v>
      </c>
      <c r="V2058">
        <v>13.162000000000001</v>
      </c>
      <c r="W2058" t="s">
        <v>66</v>
      </c>
      <c r="X2058" t="s">
        <v>67</v>
      </c>
      <c r="Y2058" t="s">
        <v>67</v>
      </c>
      <c r="Z2058" t="s">
        <v>68</v>
      </c>
      <c r="AB2058">
        <v>4</v>
      </c>
      <c r="AC2058" t="s">
        <v>61</v>
      </c>
      <c r="AJ2058" t="s">
        <v>69</v>
      </c>
      <c r="AY2058" t="s">
        <v>96</v>
      </c>
      <c r="AZ2058">
        <v>6797</v>
      </c>
      <c r="BA2058" t="s">
        <v>97</v>
      </c>
      <c r="BB2058" t="s">
        <v>98</v>
      </c>
      <c r="BC2058">
        <v>1986</v>
      </c>
      <c r="BD2058" t="s">
        <v>90</v>
      </c>
    </row>
    <row r="2059" spans="1:56" x14ac:dyDescent="0.35">
      <c r="A2059">
        <v>732263</v>
      </c>
      <c r="B2059" t="s">
        <v>1601</v>
      </c>
      <c r="D2059" t="s">
        <v>57</v>
      </c>
      <c r="E2059">
        <v>97</v>
      </c>
      <c r="F2059" t="s">
        <v>58</v>
      </c>
      <c r="G2059" t="s">
        <v>59</v>
      </c>
      <c r="H2059" t="s">
        <v>60</v>
      </c>
      <c r="J2059" t="s">
        <v>86</v>
      </c>
      <c r="K2059" t="s">
        <v>61</v>
      </c>
      <c r="L2059" t="s">
        <v>74</v>
      </c>
      <c r="M2059" t="s">
        <v>63</v>
      </c>
      <c r="N2059" t="s">
        <v>64</v>
      </c>
      <c r="P2059" t="s">
        <v>65</v>
      </c>
      <c r="R2059">
        <v>6.0900000000000003E-2</v>
      </c>
      <c r="W2059" t="s">
        <v>66</v>
      </c>
      <c r="X2059" t="s">
        <v>67</v>
      </c>
      <c r="Y2059" t="s">
        <v>67</v>
      </c>
      <c r="Z2059" t="s">
        <v>68</v>
      </c>
      <c r="AB2059">
        <v>4</v>
      </c>
      <c r="AC2059" t="s">
        <v>61</v>
      </c>
      <c r="AJ2059" t="s">
        <v>69</v>
      </c>
      <c r="AY2059" t="s">
        <v>75</v>
      </c>
      <c r="AZ2059">
        <v>3217</v>
      </c>
      <c r="BA2059" t="s">
        <v>76</v>
      </c>
      <c r="BB2059" t="s">
        <v>77</v>
      </c>
      <c r="BC2059">
        <v>1990</v>
      </c>
      <c r="BD2059" t="s">
        <v>161</v>
      </c>
    </row>
    <row r="2060" spans="1:56" x14ac:dyDescent="0.35">
      <c r="A2060">
        <v>756809</v>
      </c>
      <c r="B2060" t="s">
        <v>1602</v>
      </c>
      <c r="D2060" t="s">
        <v>85</v>
      </c>
      <c r="E2060" t="s">
        <v>86</v>
      </c>
      <c r="F2060" t="s">
        <v>58</v>
      </c>
      <c r="G2060" t="s">
        <v>59</v>
      </c>
      <c r="H2060" t="s">
        <v>60</v>
      </c>
      <c r="J2060" t="s">
        <v>86</v>
      </c>
      <c r="L2060" t="s">
        <v>62</v>
      </c>
      <c r="M2060" t="s">
        <v>63</v>
      </c>
      <c r="N2060" t="s">
        <v>64</v>
      </c>
      <c r="P2060" t="s">
        <v>100</v>
      </c>
      <c r="R2060">
        <v>23.5</v>
      </c>
      <c r="W2060" t="s">
        <v>66</v>
      </c>
      <c r="X2060" t="s">
        <v>67</v>
      </c>
      <c r="Y2060" t="s">
        <v>67</v>
      </c>
      <c r="Z2060" t="s">
        <v>68</v>
      </c>
      <c r="AB2060">
        <v>4</v>
      </c>
      <c r="AC2060" t="s">
        <v>61</v>
      </c>
      <c r="AJ2060" t="s">
        <v>69</v>
      </c>
      <c r="AY2060" t="s">
        <v>412</v>
      </c>
      <c r="AZ2060">
        <v>901</v>
      </c>
      <c r="BA2060" t="s">
        <v>413</v>
      </c>
      <c r="BB2060" t="s">
        <v>414</v>
      </c>
      <c r="BC2060">
        <v>1969</v>
      </c>
      <c r="BD2060" t="s">
        <v>90</v>
      </c>
    </row>
    <row r="2061" spans="1:56" x14ac:dyDescent="0.35">
      <c r="A2061">
        <v>760236</v>
      </c>
      <c r="B2061" t="s">
        <v>1603</v>
      </c>
      <c r="D2061" t="s">
        <v>57</v>
      </c>
      <c r="E2061">
        <v>98</v>
      </c>
      <c r="F2061" t="s">
        <v>58</v>
      </c>
      <c r="G2061" t="s">
        <v>59</v>
      </c>
      <c r="H2061" t="s">
        <v>60</v>
      </c>
      <c r="J2061">
        <v>32</v>
      </c>
      <c r="K2061" t="s">
        <v>61</v>
      </c>
      <c r="L2061" t="s">
        <v>74</v>
      </c>
      <c r="M2061" t="s">
        <v>63</v>
      </c>
      <c r="N2061" t="s">
        <v>64</v>
      </c>
      <c r="P2061" t="s">
        <v>65</v>
      </c>
      <c r="R2061">
        <v>9.33</v>
      </c>
      <c r="T2061">
        <v>8.51</v>
      </c>
      <c r="V2061">
        <v>10.199999999999999</v>
      </c>
      <c r="W2061" t="s">
        <v>66</v>
      </c>
      <c r="X2061" t="s">
        <v>67</v>
      </c>
      <c r="Y2061" t="s">
        <v>67</v>
      </c>
      <c r="Z2061" t="s">
        <v>68</v>
      </c>
      <c r="AB2061">
        <v>4</v>
      </c>
      <c r="AC2061" t="s">
        <v>61</v>
      </c>
      <c r="AJ2061" t="s">
        <v>69</v>
      </c>
      <c r="AY2061" t="s">
        <v>141</v>
      </c>
      <c r="AZ2061">
        <v>12447</v>
      </c>
      <c r="BA2061" t="s">
        <v>142</v>
      </c>
      <c r="BB2061" t="s">
        <v>143</v>
      </c>
      <c r="BC2061">
        <v>1985</v>
      </c>
      <c r="BD2061" t="s">
        <v>73</v>
      </c>
    </row>
    <row r="2062" spans="1:56" x14ac:dyDescent="0.35">
      <c r="A2062">
        <v>760236</v>
      </c>
      <c r="B2062" t="s">
        <v>1603</v>
      </c>
      <c r="D2062" t="s">
        <v>57</v>
      </c>
      <c r="E2062">
        <v>98</v>
      </c>
      <c r="F2062" t="s">
        <v>58</v>
      </c>
      <c r="G2062" t="s">
        <v>59</v>
      </c>
      <c r="H2062" t="s">
        <v>60</v>
      </c>
      <c r="J2062">
        <v>29</v>
      </c>
      <c r="K2062" t="s">
        <v>61</v>
      </c>
      <c r="L2062" t="s">
        <v>74</v>
      </c>
      <c r="M2062" t="s">
        <v>63</v>
      </c>
      <c r="N2062" t="s">
        <v>64</v>
      </c>
      <c r="P2062" t="s">
        <v>65</v>
      </c>
      <c r="R2062">
        <v>7.17</v>
      </c>
      <c r="W2062" t="s">
        <v>66</v>
      </c>
      <c r="X2062" t="s">
        <v>67</v>
      </c>
      <c r="Y2062" t="s">
        <v>67</v>
      </c>
      <c r="Z2062" t="s">
        <v>68</v>
      </c>
      <c r="AB2062">
        <v>4</v>
      </c>
      <c r="AC2062" t="s">
        <v>61</v>
      </c>
      <c r="AJ2062" t="s">
        <v>69</v>
      </c>
      <c r="AY2062" t="s">
        <v>80</v>
      </c>
      <c r="AZ2062">
        <v>12859</v>
      </c>
      <c r="BA2062" t="s">
        <v>81</v>
      </c>
      <c r="BB2062" t="s">
        <v>82</v>
      </c>
      <c r="BC2062">
        <v>1988</v>
      </c>
      <c r="BD2062" t="s">
        <v>73</v>
      </c>
    </row>
    <row r="2063" spans="1:56" x14ac:dyDescent="0.35">
      <c r="A2063">
        <v>761659</v>
      </c>
      <c r="B2063" t="s">
        <v>1604</v>
      </c>
      <c r="D2063" t="s">
        <v>57</v>
      </c>
      <c r="E2063">
        <v>99</v>
      </c>
      <c r="F2063" t="s">
        <v>58</v>
      </c>
      <c r="G2063" t="s">
        <v>59</v>
      </c>
      <c r="H2063" t="s">
        <v>60</v>
      </c>
      <c r="J2063">
        <v>29</v>
      </c>
      <c r="K2063" t="s">
        <v>61</v>
      </c>
      <c r="L2063" t="s">
        <v>74</v>
      </c>
      <c r="M2063" t="s">
        <v>63</v>
      </c>
      <c r="N2063" t="s">
        <v>64</v>
      </c>
      <c r="P2063" t="s">
        <v>65</v>
      </c>
      <c r="R2063">
        <v>89.3</v>
      </c>
      <c r="T2063">
        <v>82.1</v>
      </c>
      <c r="V2063">
        <v>97.3</v>
      </c>
      <c r="W2063" t="s">
        <v>66</v>
      </c>
      <c r="X2063" t="s">
        <v>67</v>
      </c>
      <c r="Y2063" t="s">
        <v>67</v>
      </c>
      <c r="Z2063" t="s">
        <v>68</v>
      </c>
      <c r="AB2063">
        <v>4</v>
      </c>
      <c r="AC2063" t="s">
        <v>61</v>
      </c>
      <c r="AJ2063" t="s">
        <v>69</v>
      </c>
      <c r="AY2063" t="s">
        <v>286</v>
      </c>
      <c r="AZ2063">
        <v>12448</v>
      </c>
      <c r="BA2063" t="s">
        <v>287</v>
      </c>
      <c r="BB2063" t="s">
        <v>288</v>
      </c>
      <c r="BC2063">
        <v>1984</v>
      </c>
      <c r="BD2063" t="s">
        <v>73</v>
      </c>
    </row>
    <row r="2064" spans="1:56" x14ac:dyDescent="0.35">
      <c r="A2064">
        <v>764012</v>
      </c>
      <c r="B2064" t="s">
        <v>1605</v>
      </c>
      <c r="D2064" t="s">
        <v>57</v>
      </c>
      <c r="E2064" t="s">
        <v>128</v>
      </c>
      <c r="F2064" t="s">
        <v>58</v>
      </c>
      <c r="G2064" t="s">
        <v>59</v>
      </c>
      <c r="H2064" t="s">
        <v>60</v>
      </c>
      <c r="I2064" t="s">
        <v>129</v>
      </c>
      <c r="J2064" t="s">
        <v>86</v>
      </c>
      <c r="K2064" t="s">
        <v>61</v>
      </c>
      <c r="L2064" t="s">
        <v>74</v>
      </c>
      <c r="M2064" t="s">
        <v>63</v>
      </c>
      <c r="N2064" t="s">
        <v>64</v>
      </c>
      <c r="P2064" t="s">
        <v>65</v>
      </c>
      <c r="R2064">
        <v>10.1</v>
      </c>
      <c r="T2064">
        <v>9.1300000000000008</v>
      </c>
      <c r="V2064">
        <v>11.1</v>
      </c>
      <c r="W2064" t="s">
        <v>66</v>
      </c>
      <c r="X2064" t="s">
        <v>67</v>
      </c>
      <c r="Y2064" t="s">
        <v>67</v>
      </c>
      <c r="Z2064" t="s">
        <v>68</v>
      </c>
      <c r="AB2064">
        <v>4</v>
      </c>
      <c r="AC2064" t="s">
        <v>61</v>
      </c>
      <c r="AJ2064" t="s">
        <v>69</v>
      </c>
      <c r="AY2064" t="s">
        <v>541</v>
      </c>
      <c r="AZ2064">
        <v>2721</v>
      </c>
      <c r="BA2064" t="s">
        <v>542</v>
      </c>
      <c r="BB2064" t="s">
        <v>543</v>
      </c>
      <c r="BC2064">
        <v>1989</v>
      </c>
      <c r="BD2064" t="s">
        <v>544</v>
      </c>
    </row>
    <row r="2065" spans="1:56" x14ac:dyDescent="0.35">
      <c r="A2065">
        <v>764012</v>
      </c>
      <c r="B2065" t="s">
        <v>1605</v>
      </c>
      <c r="D2065" t="s">
        <v>57</v>
      </c>
      <c r="E2065">
        <v>98</v>
      </c>
      <c r="F2065" t="s">
        <v>58</v>
      </c>
      <c r="G2065" t="s">
        <v>59</v>
      </c>
      <c r="H2065" t="s">
        <v>60</v>
      </c>
      <c r="J2065" t="s">
        <v>86</v>
      </c>
      <c r="K2065" t="s">
        <v>61</v>
      </c>
      <c r="L2065" t="s">
        <v>74</v>
      </c>
      <c r="M2065" t="s">
        <v>63</v>
      </c>
      <c r="N2065" t="s">
        <v>64</v>
      </c>
      <c r="P2065" t="s">
        <v>65</v>
      </c>
      <c r="R2065">
        <v>10.1</v>
      </c>
      <c r="T2065">
        <v>9.1300000000000008</v>
      </c>
      <c r="V2065">
        <v>11.1</v>
      </c>
      <c r="W2065" t="s">
        <v>66</v>
      </c>
      <c r="X2065" t="s">
        <v>67</v>
      </c>
      <c r="Y2065" t="s">
        <v>67</v>
      </c>
      <c r="Z2065" t="s">
        <v>68</v>
      </c>
      <c r="AB2065">
        <v>4</v>
      </c>
      <c r="AC2065" t="s">
        <v>61</v>
      </c>
      <c r="AJ2065" t="s">
        <v>69</v>
      </c>
      <c r="AY2065" t="s">
        <v>80</v>
      </c>
      <c r="AZ2065">
        <v>12859</v>
      </c>
      <c r="BA2065" t="s">
        <v>81</v>
      </c>
      <c r="BB2065" t="s">
        <v>82</v>
      </c>
      <c r="BC2065">
        <v>1988</v>
      </c>
      <c r="BD2065" t="s">
        <v>161</v>
      </c>
    </row>
    <row r="2066" spans="1:56" x14ac:dyDescent="0.35">
      <c r="A2066">
        <v>764136</v>
      </c>
      <c r="B2066" t="s">
        <v>1606</v>
      </c>
      <c r="D2066" t="s">
        <v>57</v>
      </c>
      <c r="E2066">
        <v>99</v>
      </c>
      <c r="F2066" t="s">
        <v>58</v>
      </c>
      <c r="G2066" t="s">
        <v>59</v>
      </c>
      <c r="H2066" t="s">
        <v>60</v>
      </c>
      <c r="J2066">
        <v>30</v>
      </c>
      <c r="K2066" t="s">
        <v>61</v>
      </c>
      <c r="L2066" t="s">
        <v>74</v>
      </c>
      <c r="M2066" t="s">
        <v>63</v>
      </c>
      <c r="N2066" t="s">
        <v>64</v>
      </c>
      <c r="P2066" t="s">
        <v>65</v>
      </c>
      <c r="R2066">
        <v>3.78</v>
      </c>
      <c r="W2066" t="s">
        <v>66</v>
      </c>
      <c r="X2066" t="s">
        <v>67</v>
      </c>
      <c r="Y2066" t="s">
        <v>67</v>
      </c>
      <c r="Z2066" t="s">
        <v>68</v>
      </c>
      <c r="AB2066">
        <v>4</v>
      </c>
      <c r="AC2066" t="s">
        <v>61</v>
      </c>
      <c r="AJ2066" t="s">
        <v>69</v>
      </c>
      <c r="AY2066" t="s">
        <v>263</v>
      </c>
      <c r="AZ2066">
        <v>12858</v>
      </c>
      <c r="BA2066" t="s">
        <v>264</v>
      </c>
      <c r="BB2066" t="s">
        <v>265</v>
      </c>
      <c r="BC2066">
        <v>1986</v>
      </c>
      <c r="BD2066" t="s">
        <v>73</v>
      </c>
    </row>
    <row r="2067" spans="1:56" x14ac:dyDescent="0.35">
      <c r="A2067">
        <v>768945</v>
      </c>
      <c r="B2067" t="s">
        <v>1607</v>
      </c>
      <c r="D2067" t="s">
        <v>57</v>
      </c>
      <c r="E2067">
        <v>97</v>
      </c>
      <c r="F2067" t="s">
        <v>58</v>
      </c>
      <c r="G2067" t="s">
        <v>59</v>
      </c>
      <c r="H2067" t="s">
        <v>60</v>
      </c>
      <c r="J2067">
        <v>30</v>
      </c>
      <c r="K2067" t="s">
        <v>61</v>
      </c>
      <c r="L2067" t="s">
        <v>74</v>
      </c>
      <c r="M2067" t="s">
        <v>63</v>
      </c>
      <c r="N2067" t="s">
        <v>64</v>
      </c>
      <c r="P2067" t="s">
        <v>65</v>
      </c>
      <c r="R2067">
        <v>25</v>
      </c>
      <c r="T2067">
        <v>22.6</v>
      </c>
      <c r="V2067">
        <v>27.6</v>
      </c>
      <c r="W2067" t="s">
        <v>66</v>
      </c>
      <c r="X2067" t="s">
        <v>67</v>
      </c>
      <c r="Y2067" t="s">
        <v>67</v>
      </c>
      <c r="Z2067" t="s">
        <v>68</v>
      </c>
      <c r="AB2067">
        <v>4</v>
      </c>
      <c r="AC2067" t="s">
        <v>61</v>
      </c>
      <c r="AJ2067" t="s">
        <v>69</v>
      </c>
      <c r="AY2067" t="s">
        <v>263</v>
      </c>
      <c r="AZ2067">
        <v>12858</v>
      </c>
      <c r="BA2067" t="s">
        <v>264</v>
      </c>
      <c r="BB2067" t="s">
        <v>265</v>
      </c>
      <c r="BC2067">
        <v>1986</v>
      </c>
      <c r="BD2067" t="s">
        <v>73</v>
      </c>
    </row>
    <row r="2068" spans="1:56" x14ac:dyDescent="0.35">
      <c r="A2068">
        <v>769288</v>
      </c>
      <c r="B2068" t="s">
        <v>1608</v>
      </c>
      <c r="D2068" t="s">
        <v>57</v>
      </c>
      <c r="E2068">
        <v>98</v>
      </c>
      <c r="F2068" t="s">
        <v>58</v>
      </c>
      <c r="G2068" t="s">
        <v>59</v>
      </c>
      <c r="H2068" t="s">
        <v>60</v>
      </c>
      <c r="J2068">
        <v>31</v>
      </c>
      <c r="K2068" t="s">
        <v>61</v>
      </c>
      <c r="L2068" t="s">
        <v>74</v>
      </c>
      <c r="M2068" t="s">
        <v>63</v>
      </c>
      <c r="N2068" t="s">
        <v>64</v>
      </c>
      <c r="P2068" t="s">
        <v>65</v>
      </c>
      <c r="R2068">
        <v>157</v>
      </c>
      <c r="T2068">
        <v>103</v>
      </c>
      <c r="V2068">
        <v>238</v>
      </c>
      <c r="W2068" t="s">
        <v>66</v>
      </c>
      <c r="X2068" t="s">
        <v>67</v>
      </c>
      <c r="Y2068" t="s">
        <v>67</v>
      </c>
      <c r="Z2068" t="s">
        <v>68</v>
      </c>
      <c r="AB2068">
        <v>4</v>
      </c>
      <c r="AC2068" t="s">
        <v>61</v>
      </c>
      <c r="AJ2068" t="s">
        <v>69</v>
      </c>
      <c r="AY2068" t="s">
        <v>263</v>
      </c>
      <c r="AZ2068">
        <v>12858</v>
      </c>
      <c r="BA2068" t="s">
        <v>264</v>
      </c>
      <c r="BB2068" t="s">
        <v>265</v>
      </c>
      <c r="BC2068">
        <v>1986</v>
      </c>
      <c r="BD2068" t="s">
        <v>73</v>
      </c>
    </row>
    <row r="2069" spans="1:56" x14ac:dyDescent="0.35">
      <c r="A2069">
        <v>771608</v>
      </c>
      <c r="B2069" t="s">
        <v>1609</v>
      </c>
      <c r="D2069" t="s">
        <v>57</v>
      </c>
      <c r="E2069" t="s">
        <v>128</v>
      </c>
      <c r="F2069" t="s">
        <v>58</v>
      </c>
      <c r="G2069" t="s">
        <v>59</v>
      </c>
      <c r="H2069" t="s">
        <v>60</v>
      </c>
      <c r="I2069" t="s">
        <v>129</v>
      </c>
      <c r="J2069" t="s">
        <v>86</v>
      </c>
      <c r="K2069" t="s">
        <v>61</v>
      </c>
      <c r="L2069" t="s">
        <v>74</v>
      </c>
      <c r="M2069" t="s">
        <v>63</v>
      </c>
      <c r="N2069" t="s">
        <v>64</v>
      </c>
      <c r="P2069" t="s">
        <v>65</v>
      </c>
      <c r="R2069">
        <v>37.1</v>
      </c>
      <c r="W2069" t="s">
        <v>66</v>
      </c>
      <c r="X2069" t="s">
        <v>67</v>
      </c>
      <c r="Y2069" t="s">
        <v>67</v>
      </c>
      <c r="Z2069" t="s">
        <v>68</v>
      </c>
      <c r="AB2069">
        <v>4</v>
      </c>
      <c r="AC2069" t="s">
        <v>61</v>
      </c>
      <c r="AJ2069" t="s">
        <v>69</v>
      </c>
      <c r="AY2069" t="s">
        <v>134</v>
      </c>
      <c r="AZ2069">
        <v>15031</v>
      </c>
      <c r="BA2069" t="s">
        <v>135</v>
      </c>
      <c r="BB2069" t="s">
        <v>136</v>
      </c>
      <c r="BC2069">
        <v>1995</v>
      </c>
      <c r="BD2069" t="s">
        <v>133</v>
      </c>
    </row>
    <row r="2070" spans="1:56" x14ac:dyDescent="0.35">
      <c r="A2070">
        <v>771608</v>
      </c>
      <c r="B2070" t="s">
        <v>1609</v>
      </c>
      <c r="D2070" t="s">
        <v>57</v>
      </c>
      <c r="E2070">
        <v>97</v>
      </c>
      <c r="F2070" t="s">
        <v>58</v>
      </c>
      <c r="G2070" t="s">
        <v>59</v>
      </c>
      <c r="H2070" t="s">
        <v>60</v>
      </c>
      <c r="J2070">
        <v>31</v>
      </c>
      <c r="K2070" t="s">
        <v>61</v>
      </c>
      <c r="L2070" t="s">
        <v>74</v>
      </c>
      <c r="M2070" t="s">
        <v>63</v>
      </c>
      <c r="N2070" t="s">
        <v>64</v>
      </c>
      <c r="P2070" t="s">
        <v>65</v>
      </c>
      <c r="R2070">
        <v>37.1</v>
      </c>
      <c r="W2070" t="s">
        <v>66</v>
      </c>
      <c r="X2070" t="s">
        <v>67</v>
      </c>
      <c r="Y2070" t="s">
        <v>67</v>
      </c>
      <c r="Z2070" t="s">
        <v>68</v>
      </c>
      <c r="AB2070">
        <v>4</v>
      </c>
      <c r="AC2070" t="s">
        <v>61</v>
      </c>
      <c r="AJ2070" t="s">
        <v>69</v>
      </c>
      <c r="AY2070" t="s">
        <v>286</v>
      </c>
      <c r="AZ2070">
        <v>12448</v>
      </c>
      <c r="BA2070" t="s">
        <v>287</v>
      </c>
      <c r="BB2070" t="s">
        <v>288</v>
      </c>
      <c r="BC2070">
        <v>1984</v>
      </c>
      <c r="BD2070" t="s">
        <v>73</v>
      </c>
    </row>
    <row r="2071" spans="1:56" x14ac:dyDescent="0.35">
      <c r="A2071">
        <v>780698</v>
      </c>
      <c r="B2071" t="s">
        <v>1610</v>
      </c>
      <c r="D2071" t="s">
        <v>57</v>
      </c>
      <c r="E2071">
        <v>98</v>
      </c>
      <c r="F2071" t="s">
        <v>58</v>
      </c>
      <c r="G2071" t="s">
        <v>59</v>
      </c>
      <c r="H2071" t="s">
        <v>60</v>
      </c>
      <c r="I2071" t="s">
        <v>129</v>
      </c>
      <c r="J2071">
        <v>31</v>
      </c>
      <c r="K2071" t="s">
        <v>61</v>
      </c>
      <c r="L2071" t="s">
        <v>190</v>
      </c>
      <c r="M2071" t="s">
        <v>63</v>
      </c>
      <c r="N2071" t="s">
        <v>64</v>
      </c>
      <c r="O2071">
        <v>6</v>
      </c>
      <c r="P2071" t="s">
        <v>65</v>
      </c>
      <c r="R2071">
        <v>18.43</v>
      </c>
      <c r="W2071" t="s">
        <v>66</v>
      </c>
      <c r="X2071" t="s">
        <v>67</v>
      </c>
      <c r="Y2071" t="s">
        <v>67</v>
      </c>
      <c r="Z2071" t="s">
        <v>68</v>
      </c>
      <c r="AB2071">
        <v>4</v>
      </c>
      <c r="AC2071" t="s">
        <v>61</v>
      </c>
      <c r="AJ2071" t="s">
        <v>69</v>
      </c>
      <c r="AY2071" t="s">
        <v>223</v>
      </c>
      <c r="AZ2071">
        <v>164628</v>
      </c>
      <c r="BA2071" t="s">
        <v>224</v>
      </c>
      <c r="BB2071" t="s">
        <v>225</v>
      </c>
      <c r="BC2071">
        <v>1990</v>
      </c>
      <c r="BD2071" t="s">
        <v>73</v>
      </c>
    </row>
    <row r="2072" spans="1:56" x14ac:dyDescent="0.35">
      <c r="A2072">
        <v>786196</v>
      </c>
      <c r="B2072" t="s">
        <v>1611</v>
      </c>
      <c r="D2072" t="s">
        <v>57</v>
      </c>
      <c r="E2072">
        <v>98</v>
      </c>
      <c r="F2072" t="s">
        <v>58</v>
      </c>
      <c r="G2072" t="s">
        <v>59</v>
      </c>
      <c r="H2072" t="s">
        <v>60</v>
      </c>
      <c r="J2072" t="s">
        <v>86</v>
      </c>
      <c r="K2072" t="s">
        <v>61</v>
      </c>
      <c r="L2072" t="s">
        <v>74</v>
      </c>
      <c r="M2072" t="s">
        <v>63</v>
      </c>
      <c r="N2072" t="s">
        <v>64</v>
      </c>
      <c r="O2072">
        <v>6</v>
      </c>
      <c r="P2072" t="s">
        <v>65</v>
      </c>
      <c r="R2072">
        <v>0.23699999999999999</v>
      </c>
      <c r="W2072" t="s">
        <v>66</v>
      </c>
      <c r="X2072" t="s">
        <v>67</v>
      </c>
      <c r="Y2072" t="s">
        <v>67</v>
      </c>
      <c r="Z2072" t="s">
        <v>68</v>
      </c>
      <c r="AB2072">
        <v>4</v>
      </c>
      <c r="AC2072" t="s">
        <v>61</v>
      </c>
      <c r="AJ2072" t="s">
        <v>69</v>
      </c>
      <c r="AY2072" t="s">
        <v>120</v>
      </c>
      <c r="AZ2072">
        <v>14097</v>
      </c>
      <c r="BA2072" t="s">
        <v>121</v>
      </c>
      <c r="BB2072" t="s">
        <v>122</v>
      </c>
      <c r="BC2072">
        <v>1989</v>
      </c>
      <c r="BD2072" t="s">
        <v>123</v>
      </c>
    </row>
    <row r="2073" spans="1:56" x14ac:dyDescent="0.35">
      <c r="A2073">
        <v>786196</v>
      </c>
      <c r="B2073" t="s">
        <v>1611</v>
      </c>
      <c r="D2073" t="s">
        <v>57</v>
      </c>
      <c r="E2073">
        <v>94.6</v>
      </c>
      <c r="F2073" t="s">
        <v>58</v>
      </c>
      <c r="G2073" t="s">
        <v>59</v>
      </c>
      <c r="H2073" t="s">
        <v>60</v>
      </c>
      <c r="J2073" t="s">
        <v>86</v>
      </c>
      <c r="L2073" t="s">
        <v>74</v>
      </c>
      <c r="M2073" t="s">
        <v>63</v>
      </c>
      <c r="N2073" t="s">
        <v>64</v>
      </c>
      <c r="P2073" t="s">
        <v>65</v>
      </c>
      <c r="R2073">
        <v>0.22</v>
      </c>
      <c r="W2073" t="s">
        <v>66</v>
      </c>
      <c r="X2073" t="s">
        <v>67</v>
      </c>
      <c r="Y2073" t="s">
        <v>67</v>
      </c>
      <c r="Z2073" t="s">
        <v>68</v>
      </c>
      <c r="AB2073">
        <v>4</v>
      </c>
      <c r="AC2073" t="s">
        <v>61</v>
      </c>
      <c r="AJ2073" t="s">
        <v>69</v>
      </c>
      <c r="AY2073" t="s">
        <v>208</v>
      </c>
      <c r="AZ2073">
        <v>605</v>
      </c>
      <c r="BA2073" t="s">
        <v>209</v>
      </c>
      <c r="BB2073" t="s">
        <v>210</v>
      </c>
      <c r="BC2073">
        <v>1970</v>
      </c>
      <c r="BD2073" t="s">
        <v>90</v>
      </c>
    </row>
    <row r="2074" spans="1:56" x14ac:dyDescent="0.35">
      <c r="A2074">
        <v>791286</v>
      </c>
      <c r="B2074" t="s">
        <v>1612</v>
      </c>
      <c r="D2074" t="s">
        <v>57</v>
      </c>
      <c r="E2074" t="s">
        <v>810</v>
      </c>
      <c r="F2074" t="s">
        <v>58</v>
      </c>
      <c r="G2074" t="s">
        <v>59</v>
      </c>
      <c r="H2074" t="s">
        <v>60</v>
      </c>
      <c r="J2074">
        <v>31</v>
      </c>
      <c r="K2074" t="s">
        <v>61</v>
      </c>
      <c r="L2074" t="s">
        <v>74</v>
      </c>
      <c r="M2074" t="s">
        <v>63</v>
      </c>
      <c r="N2074" t="s">
        <v>64</v>
      </c>
      <c r="P2074" t="s">
        <v>65</v>
      </c>
      <c r="R2074">
        <v>53.7</v>
      </c>
      <c r="T2074">
        <v>50.8</v>
      </c>
      <c r="V2074">
        <v>56.7</v>
      </c>
      <c r="W2074" t="s">
        <v>66</v>
      </c>
      <c r="X2074" t="s">
        <v>67</v>
      </c>
      <c r="Y2074" t="s">
        <v>67</v>
      </c>
      <c r="Z2074" t="s">
        <v>68</v>
      </c>
      <c r="AB2074">
        <v>4</v>
      </c>
      <c r="AC2074" t="s">
        <v>61</v>
      </c>
      <c r="AJ2074" t="s">
        <v>69</v>
      </c>
      <c r="AY2074" t="s">
        <v>263</v>
      </c>
      <c r="AZ2074">
        <v>12858</v>
      </c>
      <c r="BA2074" t="s">
        <v>264</v>
      </c>
      <c r="BB2074" t="s">
        <v>265</v>
      </c>
      <c r="BC2074">
        <v>1986</v>
      </c>
      <c r="BD2074" t="s">
        <v>73</v>
      </c>
    </row>
    <row r="2075" spans="1:56" x14ac:dyDescent="0.35">
      <c r="A2075">
        <v>813785</v>
      </c>
      <c r="B2075" t="s">
        <v>1613</v>
      </c>
      <c r="D2075" t="s">
        <v>85</v>
      </c>
      <c r="E2075" t="s">
        <v>86</v>
      </c>
      <c r="F2075" t="s">
        <v>58</v>
      </c>
      <c r="G2075" t="s">
        <v>59</v>
      </c>
      <c r="H2075" t="s">
        <v>60</v>
      </c>
      <c r="J2075" t="s">
        <v>86</v>
      </c>
      <c r="L2075" t="s">
        <v>62</v>
      </c>
      <c r="M2075" t="s">
        <v>63</v>
      </c>
      <c r="N2075" t="s">
        <v>64</v>
      </c>
      <c r="P2075" t="s">
        <v>100</v>
      </c>
      <c r="R2075">
        <v>18</v>
      </c>
      <c r="W2075" t="s">
        <v>66</v>
      </c>
      <c r="X2075" t="s">
        <v>67</v>
      </c>
      <c r="Y2075" t="s">
        <v>67</v>
      </c>
      <c r="Z2075" t="s">
        <v>68</v>
      </c>
      <c r="AB2075">
        <v>4</v>
      </c>
      <c r="AC2075" t="s">
        <v>61</v>
      </c>
      <c r="AJ2075" t="s">
        <v>69</v>
      </c>
      <c r="AY2075" t="s">
        <v>412</v>
      </c>
      <c r="AZ2075">
        <v>901</v>
      </c>
      <c r="BA2075" t="s">
        <v>413</v>
      </c>
      <c r="BB2075" t="s">
        <v>414</v>
      </c>
      <c r="BC2075">
        <v>1969</v>
      </c>
      <c r="BD2075" t="s">
        <v>90</v>
      </c>
    </row>
    <row r="2076" spans="1:56" x14ac:dyDescent="0.35">
      <c r="A2076">
        <v>818611</v>
      </c>
      <c r="B2076" t="s">
        <v>1614</v>
      </c>
      <c r="D2076" t="s">
        <v>57</v>
      </c>
      <c r="E2076" t="s">
        <v>810</v>
      </c>
      <c r="F2076" t="s">
        <v>58</v>
      </c>
      <c r="G2076" t="s">
        <v>59</v>
      </c>
      <c r="H2076" t="s">
        <v>60</v>
      </c>
      <c r="I2076" t="s">
        <v>129</v>
      </c>
      <c r="J2076" t="s">
        <v>86</v>
      </c>
      <c r="K2076" t="s">
        <v>61</v>
      </c>
      <c r="L2076" t="s">
        <v>74</v>
      </c>
      <c r="M2076" t="s">
        <v>63</v>
      </c>
      <c r="N2076" t="s">
        <v>64</v>
      </c>
      <c r="P2076" t="s">
        <v>65</v>
      </c>
      <c r="R2076">
        <v>4.8</v>
      </c>
      <c r="W2076" t="s">
        <v>66</v>
      </c>
      <c r="X2076" t="s">
        <v>67</v>
      </c>
      <c r="Y2076" t="s">
        <v>67</v>
      </c>
      <c r="Z2076" t="s">
        <v>68</v>
      </c>
      <c r="AB2076">
        <v>4</v>
      </c>
      <c r="AC2076" t="s">
        <v>61</v>
      </c>
      <c r="AJ2076" t="s">
        <v>69</v>
      </c>
      <c r="AY2076" t="s">
        <v>847</v>
      </c>
      <c r="AZ2076">
        <v>13120</v>
      </c>
      <c r="BA2076" t="s">
        <v>848</v>
      </c>
      <c r="BB2076" t="s">
        <v>849</v>
      </c>
      <c r="BC2076">
        <v>1988</v>
      </c>
      <c r="BD2076" t="s">
        <v>833</v>
      </c>
    </row>
    <row r="2077" spans="1:56" x14ac:dyDescent="0.35">
      <c r="A2077">
        <v>818611</v>
      </c>
      <c r="B2077" t="s">
        <v>1614</v>
      </c>
      <c r="D2077" t="s">
        <v>57</v>
      </c>
      <c r="E2077" t="s">
        <v>810</v>
      </c>
      <c r="F2077" t="s">
        <v>58</v>
      </c>
      <c r="G2077" t="s">
        <v>59</v>
      </c>
      <c r="H2077" t="s">
        <v>60</v>
      </c>
      <c r="J2077">
        <v>28</v>
      </c>
      <c r="K2077" t="s">
        <v>61</v>
      </c>
      <c r="L2077" t="s">
        <v>74</v>
      </c>
      <c r="M2077" t="s">
        <v>63</v>
      </c>
      <c r="N2077" t="s">
        <v>64</v>
      </c>
      <c r="P2077" t="s">
        <v>65</v>
      </c>
      <c r="R2077">
        <v>4.8</v>
      </c>
      <c r="W2077" t="s">
        <v>66</v>
      </c>
      <c r="X2077" t="s">
        <v>67</v>
      </c>
      <c r="Y2077" t="s">
        <v>67</v>
      </c>
      <c r="Z2077" t="s">
        <v>68</v>
      </c>
      <c r="AB2077">
        <v>4</v>
      </c>
      <c r="AC2077" t="s">
        <v>61</v>
      </c>
      <c r="AJ2077" t="s">
        <v>69</v>
      </c>
      <c r="AY2077" t="s">
        <v>263</v>
      </c>
      <c r="AZ2077">
        <v>12858</v>
      </c>
      <c r="BA2077" t="s">
        <v>264</v>
      </c>
      <c r="BB2077" t="s">
        <v>265</v>
      </c>
      <c r="BC2077">
        <v>1986</v>
      </c>
      <c r="BD2077" t="s">
        <v>73</v>
      </c>
    </row>
    <row r="2078" spans="1:56" x14ac:dyDescent="0.35">
      <c r="A2078">
        <v>818724</v>
      </c>
      <c r="B2078" t="s">
        <v>1615</v>
      </c>
      <c r="D2078" t="s">
        <v>57</v>
      </c>
      <c r="E2078">
        <v>96</v>
      </c>
      <c r="F2078" t="s">
        <v>58</v>
      </c>
      <c r="G2078" t="s">
        <v>59</v>
      </c>
      <c r="H2078" t="s">
        <v>60</v>
      </c>
      <c r="J2078">
        <v>31</v>
      </c>
      <c r="K2078" t="s">
        <v>61</v>
      </c>
      <c r="L2078" t="s">
        <v>74</v>
      </c>
      <c r="M2078" t="s">
        <v>63</v>
      </c>
      <c r="N2078" t="s">
        <v>64</v>
      </c>
      <c r="P2078" t="s">
        <v>65</v>
      </c>
      <c r="R2078">
        <v>0.41299999999999998</v>
      </c>
      <c r="T2078">
        <v>0.37</v>
      </c>
      <c r="V2078">
        <v>0.46</v>
      </c>
      <c r="W2078" t="s">
        <v>66</v>
      </c>
      <c r="X2078" t="s">
        <v>67</v>
      </c>
      <c r="Y2078" t="s">
        <v>67</v>
      </c>
      <c r="Z2078" t="s">
        <v>68</v>
      </c>
      <c r="AB2078">
        <v>4</v>
      </c>
      <c r="AC2078" t="s">
        <v>61</v>
      </c>
      <c r="AJ2078" t="s">
        <v>69</v>
      </c>
      <c r="AY2078" t="s">
        <v>80</v>
      </c>
      <c r="AZ2078">
        <v>12859</v>
      </c>
      <c r="BA2078" t="s">
        <v>81</v>
      </c>
      <c r="BB2078" t="s">
        <v>82</v>
      </c>
      <c r="BC2078">
        <v>1988</v>
      </c>
      <c r="BD2078" t="s">
        <v>73</v>
      </c>
    </row>
    <row r="2079" spans="1:56" x14ac:dyDescent="0.35">
      <c r="A2079">
        <v>818724</v>
      </c>
      <c r="B2079" t="s">
        <v>1615</v>
      </c>
      <c r="D2079" t="s">
        <v>57</v>
      </c>
      <c r="E2079" t="s">
        <v>128</v>
      </c>
      <c r="F2079" t="s">
        <v>58</v>
      </c>
      <c r="G2079" t="s">
        <v>59</v>
      </c>
      <c r="H2079" t="s">
        <v>60</v>
      </c>
      <c r="I2079" t="s">
        <v>129</v>
      </c>
      <c r="J2079" t="s">
        <v>86</v>
      </c>
      <c r="K2079" t="s">
        <v>61</v>
      </c>
      <c r="L2079" t="s">
        <v>74</v>
      </c>
      <c r="M2079" t="s">
        <v>63</v>
      </c>
      <c r="N2079" t="s">
        <v>64</v>
      </c>
      <c r="P2079" t="s">
        <v>65</v>
      </c>
      <c r="R2079">
        <v>0.41299999999999998</v>
      </c>
      <c r="T2079">
        <v>0.37</v>
      </c>
      <c r="V2079">
        <v>0.46</v>
      </c>
      <c r="W2079" t="s">
        <v>66</v>
      </c>
      <c r="X2079" t="s">
        <v>67</v>
      </c>
      <c r="Y2079" t="s">
        <v>67</v>
      </c>
      <c r="Z2079" t="s">
        <v>68</v>
      </c>
      <c r="AB2079">
        <v>4</v>
      </c>
      <c r="AC2079" t="s">
        <v>61</v>
      </c>
      <c r="AJ2079" t="s">
        <v>69</v>
      </c>
      <c r="AY2079" t="s">
        <v>541</v>
      </c>
      <c r="AZ2079">
        <v>2721</v>
      </c>
      <c r="BA2079" t="s">
        <v>542</v>
      </c>
      <c r="BB2079" t="s">
        <v>543</v>
      </c>
      <c r="BC2079">
        <v>1989</v>
      </c>
      <c r="BD2079" t="s">
        <v>544</v>
      </c>
    </row>
    <row r="2080" spans="1:56" x14ac:dyDescent="0.35">
      <c r="A2080">
        <v>821556</v>
      </c>
      <c r="B2080" t="s">
        <v>1616</v>
      </c>
      <c r="D2080" t="s">
        <v>57</v>
      </c>
      <c r="E2080" t="s">
        <v>79</v>
      </c>
      <c r="F2080" t="s">
        <v>58</v>
      </c>
      <c r="G2080" t="s">
        <v>59</v>
      </c>
      <c r="H2080" t="s">
        <v>60</v>
      </c>
      <c r="J2080">
        <v>31</v>
      </c>
      <c r="K2080" t="s">
        <v>61</v>
      </c>
      <c r="L2080" t="s">
        <v>74</v>
      </c>
      <c r="M2080" t="s">
        <v>63</v>
      </c>
      <c r="N2080" t="s">
        <v>64</v>
      </c>
      <c r="P2080" t="s">
        <v>65</v>
      </c>
      <c r="R2080">
        <v>15.2</v>
      </c>
      <c r="W2080" t="s">
        <v>66</v>
      </c>
      <c r="X2080" t="s">
        <v>67</v>
      </c>
      <c r="Y2080" t="s">
        <v>67</v>
      </c>
      <c r="Z2080" t="s">
        <v>68</v>
      </c>
      <c r="AB2080">
        <v>4</v>
      </c>
      <c r="AC2080" t="s">
        <v>61</v>
      </c>
      <c r="AJ2080" t="s">
        <v>69</v>
      </c>
      <c r="AY2080" t="s">
        <v>263</v>
      </c>
      <c r="AZ2080">
        <v>12858</v>
      </c>
      <c r="BA2080" t="s">
        <v>264</v>
      </c>
      <c r="BB2080" t="s">
        <v>265</v>
      </c>
      <c r="BC2080">
        <v>1986</v>
      </c>
      <c r="BD2080" t="s">
        <v>73</v>
      </c>
    </row>
    <row r="2081" spans="1:56" x14ac:dyDescent="0.35">
      <c r="A2081">
        <v>822866</v>
      </c>
      <c r="B2081" t="s">
        <v>1617</v>
      </c>
      <c r="D2081" t="s">
        <v>57</v>
      </c>
      <c r="E2081">
        <v>97</v>
      </c>
      <c r="F2081" t="s">
        <v>58</v>
      </c>
      <c r="G2081" t="s">
        <v>59</v>
      </c>
      <c r="H2081" t="s">
        <v>60</v>
      </c>
      <c r="J2081">
        <v>31</v>
      </c>
      <c r="K2081" t="s">
        <v>61</v>
      </c>
      <c r="L2081" t="s">
        <v>74</v>
      </c>
      <c r="M2081" t="s">
        <v>63</v>
      </c>
      <c r="N2081" t="s">
        <v>64</v>
      </c>
      <c r="P2081" t="s">
        <v>65</v>
      </c>
      <c r="R2081">
        <v>18.399999999999999</v>
      </c>
      <c r="W2081" t="s">
        <v>66</v>
      </c>
      <c r="X2081" t="s">
        <v>67</v>
      </c>
      <c r="Y2081" t="s">
        <v>67</v>
      </c>
      <c r="Z2081" t="s">
        <v>68</v>
      </c>
      <c r="AB2081">
        <v>4</v>
      </c>
      <c r="AC2081" t="s">
        <v>61</v>
      </c>
      <c r="AJ2081" t="s">
        <v>69</v>
      </c>
      <c r="AY2081" t="s">
        <v>286</v>
      </c>
      <c r="AZ2081">
        <v>12448</v>
      </c>
      <c r="BA2081" t="s">
        <v>287</v>
      </c>
      <c r="BB2081" t="s">
        <v>288</v>
      </c>
      <c r="BC2081">
        <v>1984</v>
      </c>
      <c r="BD2081" t="s">
        <v>73</v>
      </c>
    </row>
    <row r="2082" spans="1:56" x14ac:dyDescent="0.35">
      <c r="A2082">
        <v>829265</v>
      </c>
      <c r="B2082" t="s">
        <v>1618</v>
      </c>
      <c r="E2082">
        <v>100</v>
      </c>
      <c r="F2082" t="s">
        <v>58</v>
      </c>
      <c r="G2082" t="s">
        <v>59</v>
      </c>
      <c r="H2082" t="s">
        <v>60</v>
      </c>
      <c r="J2082" t="s">
        <v>86</v>
      </c>
      <c r="L2082" t="s">
        <v>62</v>
      </c>
      <c r="M2082" t="s">
        <v>63</v>
      </c>
      <c r="N2082" t="s">
        <v>64</v>
      </c>
      <c r="P2082" t="s">
        <v>65</v>
      </c>
      <c r="Q2082" t="s">
        <v>153</v>
      </c>
      <c r="R2082">
        <v>6.7</v>
      </c>
      <c r="W2082" t="s">
        <v>66</v>
      </c>
      <c r="X2082" t="s">
        <v>67</v>
      </c>
      <c r="Y2082" t="s">
        <v>67</v>
      </c>
      <c r="Z2082" t="s">
        <v>68</v>
      </c>
      <c r="AB2082">
        <v>4</v>
      </c>
      <c r="AC2082" t="s">
        <v>61</v>
      </c>
      <c r="AJ2082" t="s">
        <v>69</v>
      </c>
      <c r="AY2082" t="s">
        <v>96</v>
      </c>
      <c r="AZ2082">
        <v>6797</v>
      </c>
      <c r="BA2082" t="s">
        <v>97</v>
      </c>
      <c r="BB2082" t="s">
        <v>98</v>
      </c>
      <c r="BC2082">
        <v>1986</v>
      </c>
      <c r="BD2082" t="s">
        <v>90</v>
      </c>
    </row>
    <row r="2083" spans="1:56" x14ac:dyDescent="0.35">
      <c r="A2083">
        <v>831823</v>
      </c>
      <c r="B2083" t="s">
        <v>1619</v>
      </c>
      <c r="D2083" t="s">
        <v>57</v>
      </c>
      <c r="E2083">
        <v>99</v>
      </c>
      <c r="F2083" t="s">
        <v>58</v>
      </c>
      <c r="G2083" t="s">
        <v>59</v>
      </c>
      <c r="H2083" t="s">
        <v>60</v>
      </c>
      <c r="J2083">
        <v>30</v>
      </c>
      <c r="K2083" t="s">
        <v>61</v>
      </c>
      <c r="L2083" t="s">
        <v>74</v>
      </c>
      <c r="M2083" t="s">
        <v>63</v>
      </c>
      <c r="N2083" t="s">
        <v>64</v>
      </c>
      <c r="O2083">
        <v>6</v>
      </c>
      <c r="P2083" t="s">
        <v>65</v>
      </c>
      <c r="R2083">
        <v>4.95</v>
      </c>
      <c r="T2083">
        <v>4.55</v>
      </c>
      <c r="V2083">
        <v>5.38</v>
      </c>
      <c r="W2083" t="s">
        <v>66</v>
      </c>
      <c r="X2083" t="s">
        <v>67</v>
      </c>
      <c r="Y2083" t="s">
        <v>67</v>
      </c>
      <c r="Z2083" t="s">
        <v>68</v>
      </c>
      <c r="AB2083">
        <v>4</v>
      </c>
      <c r="AC2083" t="s">
        <v>61</v>
      </c>
      <c r="AJ2083" t="s">
        <v>69</v>
      </c>
      <c r="AY2083" t="s">
        <v>141</v>
      </c>
      <c r="AZ2083">
        <v>12447</v>
      </c>
      <c r="BA2083" t="s">
        <v>142</v>
      </c>
      <c r="BB2083" t="s">
        <v>143</v>
      </c>
      <c r="BC2083">
        <v>1985</v>
      </c>
      <c r="BD2083" t="s">
        <v>73</v>
      </c>
    </row>
    <row r="2084" spans="1:56" x14ac:dyDescent="0.35">
      <c r="A2084">
        <v>831823</v>
      </c>
      <c r="B2084" t="s">
        <v>1619</v>
      </c>
      <c r="D2084" t="s">
        <v>57</v>
      </c>
      <c r="E2084" t="s">
        <v>128</v>
      </c>
      <c r="F2084" t="s">
        <v>58</v>
      </c>
      <c r="G2084" t="s">
        <v>59</v>
      </c>
      <c r="H2084" t="s">
        <v>60</v>
      </c>
      <c r="I2084" t="s">
        <v>129</v>
      </c>
      <c r="J2084" t="s">
        <v>86</v>
      </c>
      <c r="K2084" t="s">
        <v>61</v>
      </c>
      <c r="L2084" t="s">
        <v>74</v>
      </c>
      <c r="M2084" t="s">
        <v>63</v>
      </c>
      <c r="N2084" t="s">
        <v>64</v>
      </c>
      <c r="P2084" t="s">
        <v>65</v>
      </c>
      <c r="R2084">
        <v>4.95</v>
      </c>
      <c r="W2084" t="s">
        <v>66</v>
      </c>
      <c r="X2084" t="s">
        <v>67</v>
      </c>
      <c r="Y2084" t="s">
        <v>67</v>
      </c>
      <c r="Z2084" t="s">
        <v>68</v>
      </c>
      <c r="AB2084">
        <v>4</v>
      </c>
      <c r="AC2084" t="s">
        <v>61</v>
      </c>
      <c r="AJ2084" t="s">
        <v>69</v>
      </c>
      <c r="AY2084" t="s">
        <v>134</v>
      </c>
      <c r="AZ2084">
        <v>15031</v>
      </c>
      <c r="BA2084" t="s">
        <v>135</v>
      </c>
      <c r="BB2084" t="s">
        <v>136</v>
      </c>
      <c r="BC2084">
        <v>1995</v>
      </c>
      <c r="BD2084" t="s">
        <v>133</v>
      </c>
    </row>
    <row r="2085" spans="1:56" x14ac:dyDescent="0.35">
      <c r="A2085">
        <v>834128</v>
      </c>
      <c r="B2085" t="s">
        <v>1620</v>
      </c>
      <c r="E2085">
        <v>100</v>
      </c>
      <c r="F2085" t="s">
        <v>58</v>
      </c>
      <c r="G2085" t="s">
        <v>59</v>
      </c>
      <c r="H2085" t="s">
        <v>60</v>
      </c>
      <c r="I2085" t="s">
        <v>129</v>
      </c>
      <c r="J2085" t="s">
        <v>86</v>
      </c>
      <c r="L2085" t="s">
        <v>62</v>
      </c>
      <c r="M2085" t="s">
        <v>63</v>
      </c>
      <c r="N2085" t="s">
        <v>64</v>
      </c>
      <c r="P2085" t="s">
        <v>65</v>
      </c>
      <c r="R2085">
        <v>5.7</v>
      </c>
      <c r="T2085">
        <v>2.8</v>
      </c>
      <c r="V2085">
        <v>11.7</v>
      </c>
      <c r="W2085" t="s">
        <v>66</v>
      </c>
      <c r="X2085" t="s">
        <v>67</v>
      </c>
      <c r="Y2085" t="s">
        <v>67</v>
      </c>
      <c r="Z2085" t="s">
        <v>68</v>
      </c>
      <c r="AB2085">
        <v>4</v>
      </c>
      <c r="AC2085" t="s">
        <v>61</v>
      </c>
      <c r="AJ2085" t="s">
        <v>69</v>
      </c>
      <c r="AY2085" t="s">
        <v>116</v>
      </c>
      <c r="AZ2085">
        <v>344</v>
      </c>
      <c r="BA2085" t="s">
        <v>117</v>
      </c>
      <c r="BB2085" t="s">
        <v>118</v>
      </c>
      <c r="BC2085">
        <v>1992</v>
      </c>
      <c r="BD2085" t="s">
        <v>90</v>
      </c>
    </row>
    <row r="2086" spans="1:56" x14ac:dyDescent="0.35">
      <c r="A2086">
        <v>834128</v>
      </c>
      <c r="B2086" t="s">
        <v>1620</v>
      </c>
      <c r="E2086">
        <v>98</v>
      </c>
      <c r="F2086" t="s">
        <v>58</v>
      </c>
      <c r="G2086" t="s">
        <v>59</v>
      </c>
      <c r="H2086" t="s">
        <v>60</v>
      </c>
      <c r="J2086" t="s">
        <v>86</v>
      </c>
      <c r="L2086" t="s">
        <v>62</v>
      </c>
      <c r="M2086" t="s">
        <v>63</v>
      </c>
      <c r="N2086" t="s">
        <v>64</v>
      </c>
      <c r="P2086" t="s">
        <v>65</v>
      </c>
      <c r="R2086">
        <v>16</v>
      </c>
      <c r="T2086">
        <v>9</v>
      </c>
      <c r="V2086">
        <v>18</v>
      </c>
      <c r="W2086" t="s">
        <v>66</v>
      </c>
      <c r="X2086" t="s">
        <v>67</v>
      </c>
      <c r="Y2086" t="s">
        <v>67</v>
      </c>
      <c r="Z2086" t="s">
        <v>68</v>
      </c>
      <c r="AB2086">
        <v>4</v>
      </c>
      <c r="AC2086" t="s">
        <v>61</v>
      </c>
      <c r="AJ2086" t="s">
        <v>69</v>
      </c>
      <c r="AY2086" t="s">
        <v>116</v>
      </c>
      <c r="AZ2086">
        <v>344</v>
      </c>
      <c r="BA2086" t="s">
        <v>117</v>
      </c>
      <c r="BB2086" t="s">
        <v>118</v>
      </c>
      <c r="BC2086">
        <v>1992</v>
      </c>
      <c r="BD2086" t="s">
        <v>90</v>
      </c>
    </row>
    <row r="2087" spans="1:56" x14ac:dyDescent="0.35">
      <c r="A2087">
        <v>868779</v>
      </c>
      <c r="B2087" t="s">
        <v>1621</v>
      </c>
      <c r="D2087" t="s">
        <v>57</v>
      </c>
      <c r="E2087" t="s">
        <v>810</v>
      </c>
      <c r="F2087" t="s">
        <v>58</v>
      </c>
      <c r="G2087" t="s">
        <v>59</v>
      </c>
      <c r="H2087" t="s">
        <v>60</v>
      </c>
      <c r="I2087" t="s">
        <v>129</v>
      </c>
      <c r="J2087" t="s">
        <v>86</v>
      </c>
      <c r="K2087" t="s">
        <v>61</v>
      </c>
      <c r="L2087" t="s">
        <v>74</v>
      </c>
      <c r="M2087" t="s">
        <v>63</v>
      </c>
      <c r="N2087" t="s">
        <v>64</v>
      </c>
      <c r="P2087" t="s">
        <v>65</v>
      </c>
      <c r="R2087">
        <v>227</v>
      </c>
      <c r="W2087" t="s">
        <v>66</v>
      </c>
      <c r="X2087" t="s">
        <v>67</v>
      </c>
      <c r="Y2087" t="s">
        <v>67</v>
      </c>
      <c r="Z2087" t="s">
        <v>68</v>
      </c>
      <c r="AB2087">
        <v>4</v>
      </c>
      <c r="AC2087" t="s">
        <v>61</v>
      </c>
      <c r="AJ2087" t="s">
        <v>69</v>
      </c>
      <c r="AY2087" t="s">
        <v>847</v>
      </c>
      <c r="AZ2087">
        <v>13120</v>
      </c>
      <c r="BA2087" t="s">
        <v>848</v>
      </c>
      <c r="BB2087" t="s">
        <v>849</v>
      </c>
      <c r="BC2087">
        <v>1988</v>
      </c>
      <c r="BD2087" t="s">
        <v>833</v>
      </c>
    </row>
    <row r="2088" spans="1:56" x14ac:dyDescent="0.35">
      <c r="A2088">
        <v>868779</v>
      </c>
      <c r="B2088" t="s">
        <v>1621</v>
      </c>
      <c r="D2088" t="s">
        <v>57</v>
      </c>
      <c r="E2088">
        <v>98.5</v>
      </c>
      <c r="F2088" t="s">
        <v>58</v>
      </c>
      <c r="G2088" t="s">
        <v>59</v>
      </c>
      <c r="H2088" t="s">
        <v>60</v>
      </c>
      <c r="J2088">
        <v>30</v>
      </c>
      <c r="K2088" t="s">
        <v>61</v>
      </c>
      <c r="L2088" t="s">
        <v>74</v>
      </c>
      <c r="M2088" t="s">
        <v>63</v>
      </c>
      <c r="N2088" t="s">
        <v>64</v>
      </c>
      <c r="P2088" t="s">
        <v>65</v>
      </c>
      <c r="R2088">
        <v>227</v>
      </c>
      <c r="T2088">
        <v>213</v>
      </c>
      <c r="V2088">
        <v>242</v>
      </c>
      <c r="W2088" t="s">
        <v>66</v>
      </c>
      <c r="X2088" t="s">
        <v>67</v>
      </c>
      <c r="Y2088" t="s">
        <v>67</v>
      </c>
      <c r="Z2088" t="s">
        <v>68</v>
      </c>
      <c r="AB2088">
        <v>4</v>
      </c>
      <c r="AC2088" t="s">
        <v>61</v>
      </c>
      <c r="AJ2088" t="s">
        <v>69</v>
      </c>
      <c r="AY2088" t="s">
        <v>263</v>
      </c>
      <c r="AZ2088">
        <v>12858</v>
      </c>
      <c r="BA2088" t="s">
        <v>264</v>
      </c>
      <c r="BB2088" t="s">
        <v>265</v>
      </c>
      <c r="BC2088">
        <v>1986</v>
      </c>
      <c r="BD2088" t="s">
        <v>73</v>
      </c>
    </row>
    <row r="2089" spans="1:56" x14ac:dyDescent="0.35">
      <c r="A2089">
        <v>868859</v>
      </c>
      <c r="B2089" t="s">
        <v>1622</v>
      </c>
      <c r="D2089" t="s">
        <v>85</v>
      </c>
      <c r="E2089" t="s">
        <v>86</v>
      </c>
      <c r="F2089" t="s">
        <v>58</v>
      </c>
      <c r="G2089" t="s">
        <v>59</v>
      </c>
      <c r="H2089" t="s">
        <v>60</v>
      </c>
      <c r="J2089" t="s">
        <v>86</v>
      </c>
      <c r="L2089" t="s">
        <v>62</v>
      </c>
      <c r="M2089" t="s">
        <v>63</v>
      </c>
      <c r="N2089" t="s">
        <v>64</v>
      </c>
      <c r="P2089" t="s">
        <v>100</v>
      </c>
      <c r="R2089">
        <v>225</v>
      </c>
      <c r="W2089" t="s">
        <v>66</v>
      </c>
      <c r="X2089" t="s">
        <v>67</v>
      </c>
      <c r="Y2089" t="s">
        <v>67</v>
      </c>
      <c r="Z2089" t="s">
        <v>68</v>
      </c>
      <c r="AB2089">
        <v>4</v>
      </c>
      <c r="AC2089" t="s">
        <v>61</v>
      </c>
      <c r="AJ2089" t="s">
        <v>69</v>
      </c>
      <c r="AY2089" t="s">
        <v>412</v>
      </c>
      <c r="AZ2089">
        <v>901</v>
      </c>
      <c r="BA2089" t="s">
        <v>413</v>
      </c>
      <c r="BB2089" t="s">
        <v>414</v>
      </c>
      <c r="BC2089">
        <v>1969</v>
      </c>
      <c r="BD2089" t="s">
        <v>90</v>
      </c>
    </row>
    <row r="2090" spans="1:56" x14ac:dyDescent="0.35">
      <c r="A2090">
        <v>870724</v>
      </c>
      <c r="B2090" t="s">
        <v>1623</v>
      </c>
      <c r="D2090" t="s">
        <v>85</v>
      </c>
      <c r="E2090" t="s">
        <v>86</v>
      </c>
      <c r="F2090" t="s">
        <v>58</v>
      </c>
      <c r="G2090" t="s">
        <v>59</v>
      </c>
      <c r="H2090" t="s">
        <v>60</v>
      </c>
      <c r="J2090" t="s">
        <v>86</v>
      </c>
      <c r="L2090" t="s">
        <v>62</v>
      </c>
      <c r="M2090" t="s">
        <v>63</v>
      </c>
      <c r="N2090" t="s">
        <v>64</v>
      </c>
      <c r="O2090">
        <v>4</v>
      </c>
      <c r="P2090" t="s">
        <v>100</v>
      </c>
      <c r="Q2090" t="s">
        <v>153</v>
      </c>
      <c r="R2090">
        <v>100</v>
      </c>
      <c r="W2090" t="s">
        <v>66</v>
      </c>
      <c r="X2090" t="s">
        <v>67</v>
      </c>
      <c r="Y2090" t="s">
        <v>67</v>
      </c>
      <c r="Z2090" t="s">
        <v>68</v>
      </c>
      <c r="AB2090">
        <v>4</v>
      </c>
      <c r="AC2090" t="s">
        <v>61</v>
      </c>
      <c r="AJ2090" t="s">
        <v>69</v>
      </c>
      <c r="AY2090" t="s">
        <v>173</v>
      </c>
      <c r="AZ2090">
        <v>167113</v>
      </c>
      <c r="BA2090" t="s">
        <v>174</v>
      </c>
      <c r="BB2090" t="s">
        <v>175</v>
      </c>
      <c r="BC2090">
        <v>1974</v>
      </c>
      <c r="BD2090" t="s">
        <v>90</v>
      </c>
    </row>
    <row r="2091" spans="1:56" x14ac:dyDescent="0.35">
      <c r="A2091">
        <v>872311</v>
      </c>
      <c r="B2091" t="s">
        <v>1624</v>
      </c>
      <c r="D2091" t="s">
        <v>57</v>
      </c>
      <c r="E2091">
        <v>96</v>
      </c>
      <c r="F2091" t="s">
        <v>58</v>
      </c>
      <c r="G2091" t="s">
        <v>59</v>
      </c>
      <c r="H2091" t="s">
        <v>60</v>
      </c>
      <c r="J2091">
        <v>30</v>
      </c>
      <c r="K2091" t="s">
        <v>61</v>
      </c>
      <c r="L2091" t="s">
        <v>74</v>
      </c>
      <c r="M2091" t="s">
        <v>63</v>
      </c>
      <c r="N2091" t="s">
        <v>64</v>
      </c>
      <c r="P2091" t="s">
        <v>65</v>
      </c>
      <c r="R2091">
        <v>6.19</v>
      </c>
      <c r="T2091">
        <v>5.65</v>
      </c>
      <c r="V2091">
        <v>6.77</v>
      </c>
      <c r="W2091" t="s">
        <v>66</v>
      </c>
      <c r="X2091" t="s">
        <v>67</v>
      </c>
      <c r="Y2091" t="s">
        <v>67</v>
      </c>
      <c r="Z2091" t="s">
        <v>68</v>
      </c>
      <c r="AB2091">
        <v>4</v>
      </c>
      <c r="AC2091" t="s">
        <v>61</v>
      </c>
      <c r="AJ2091" t="s">
        <v>69</v>
      </c>
      <c r="AY2091" t="s">
        <v>80</v>
      </c>
      <c r="AZ2091">
        <v>12859</v>
      </c>
      <c r="BA2091" t="s">
        <v>81</v>
      </c>
      <c r="BB2091" t="s">
        <v>82</v>
      </c>
      <c r="BC2091">
        <v>1988</v>
      </c>
      <c r="BD2091" t="s">
        <v>73</v>
      </c>
    </row>
    <row r="2092" spans="1:56" x14ac:dyDescent="0.35">
      <c r="A2092">
        <v>874420</v>
      </c>
      <c r="B2092" t="s">
        <v>1625</v>
      </c>
      <c r="D2092" t="s">
        <v>57</v>
      </c>
      <c r="E2092" t="s">
        <v>810</v>
      </c>
      <c r="F2092" t="s">
        <v>58</v>
      </c>
      <c r="G2092" t="s">
        <v>59</v>
      </c>
      <c r="H2092" t="s">
        <v>60</v>
      </c>
      <c r="J2092" t="s">
        <v>86</v>
      </c>
      <c r="K2092" t="s">
        <v>61</v>
      </c>
      <c r="L2092" t="s">
        <v>74</v>
      </c>
      <c r="M2092" t="s">
        <v>63</v>
      </c>
      <c r="N2092" t="s">
        <v>64</v>
      </c>
      <c r="P2092" t="s">
        <v>65</v>
      </c>
      <c r="R2092">
        <v>1.8</v>
      </c>
      <c r="T2092">
        <v>1.6</v>
      </c>
      <c r="V2092">
        <v>2</v>
      </c>
      <c r="W2092" t="s">
        <v>66</v>
      </c>
      <c r="X2092" t="s">
        <v>67</v>
      </c>
      <c r="Y2092" t="s">
        <v>67</v>
      </c>
      <c r="Z2092" t="s">
        <v>68</v>
      </c>
      <c r="AB2092">
        <v>4</v>
      </c>
      <c r="AC2092" t="s">
        <v>61</v>
      </c>
      <c r="AJ2092" t="s">
        <v>69</v>
      </c>
      <c r="AY2092" t="s">
        <v>286</v>
      </c>
      <c r="AZ2092">
        <v>12448</v>
      </c>
      <c r="BA2092" t="s">
        <v>287</v>
      </c>
      <c r="BB2092" t="s">
        <v>288</v>
      </c>
      <c r="BC2092">
        <v>1984</v>
      </c>
      <c r="BD2092" t="s">
        <v>1626</v>
      </c>
    </row>
    <row r="2093" spans="1:56" x14ac:dyDescent="0.35">
      <c r="A2093">
        <v>882337</v>
      </c>
      <c r="B2093" t="s">
        <v>1627</v>
      </c>
      <c r="D2093" t="s">
        <v>57</v>
      </c>
      <c r="E2093">
        <v>99</v>
      </c>
      <c r="F2093" t="s">
        <v>58</v>
      </c>
      <c r="G2093" t="s">
        <v>59</v>
      </c>
      <c r="H2093" t="s">
        <v>60</v>
      </c>
      <c r="J2093">
        <v>30</v>
      </c>
      <c r="K2093" t="s">
        <v>61</v>
      </c>
      <c r="L2093" t="s">
        <v>74</v>
      </c>
      <c r="M2093" t="s">
        <v>63</v>
      </c>
      <c r="N2093" t="s">
        <v>64</v>
      </c>
      <c r="P2093" t="s">
        <v>65</v>
      </c>
      <c r="R2093">
        <v>0.11</v>
      </c>
      <c r="W2093" t="s">
        <v>66</v>
      </c>
      <c r="X2093" t="s">
        <v>67</v>
      </c>
      <c r="Y2093" t="s">
        <v>67</v>
      </c>
      <c r="Z2093" t="s">
        <v>68</v>
      </c>
      <c r="AB2093">
        <v>4</v>
      </c>
      <c r="AC2093" t="s">
        <v>61</v>
      </c>
      <c r="AJ2093" t="s">
        <v>69</v>
      </c>
      <c r="AY2093" t="s">
        <v>141</v>
      </c>
      <c r="AZ2093">
        <v>12447</v>
      </c>
      <c r="BA2093" t="s">
        <v>142</v>
      </c>
      <c r="BB2093" t="s">
        <v>143</v>
      </c>
      <c r="BC2093">
        <v>1985</v>
      </c>
      <c r="BD2093" t="s">
        <v>73</v>
      </c>
    </row>
    <row r="2094" spans="1:56" x14ac:dyDescent="0.35">
      <c r="A2094">
        <v>886862</v>
      </c>
      <c r="B2094" t="s">
        <v>1628</v>
      </c>
      <c r="D2094" t="s">
        <v>57</v>
      </c>
      <c r="E2094">
        <v>98</v>
      </c>
      <c r="F2094" t="s">
        <v>58</v>
      </c>
      <c r="G2094" t="s">
        <v>59</v>
      </c>
      <c r="H2094" t="s">
        <v>60</v>
      </c>
      <c r="J2094">
        <v>32</v>
      </c>
      <c r="K2094" t="s">
        <v>61</v>
      </c>
      <c r="L2094" t="s">
        <v>74</v>
      </c>
      <c r="M2094" t="s">
        <v>63</v>
      </c>
      <c r="N2094" t="s">
        <v>64</v>
      </c>
      <c r="P2094" t="s">
        <v>65</v>
      </c>
      <c r="R2094">
        <v>79</v>
      </c>
      <c r="T2094">
        <v>73.8</v>
      </c>
      <c r="V2094">
        <v>84.5</v>
      </c>
      <c r="W2094" t="s">
        <v>66</v>
      </c>
      <c r="X2094" t="s">
        <v>67</v>
      </c>
      <c r="Y2094" t="s">
        <v>67</v>
      </c>
      <c r="Z2094" t="s">
        <v>68</v>
      </c>
      <c r="AB2094">
        <v>4</v>
      </c>
      <c r="AC2094" t="s">
        <v>61</v>
      </c>
      <c r="AJ2094" t="s">
        <v>69</v>
      </c>
      <c r="AY2094" t="s">
        <v>80</v>
      </c>
      <c r="AZ2094">
        <v>12859</v>
      </c>
      <c r="BA2094" t="s">
        <v>81</v>
      </c>
      <c r="BB2094" t="s">
        <v>82</v>
      </c>
      <c r="BC2094">
        <v>1988</v>
      </c>
      <c r="BD2094" t="s">
        <v>73</v>
      </c>
    </row>
    <row r="2095" spans="1:56" x14ac:dyDescent="0.35">
      <c r="A2095">
        <v>886862</v>
      </c>
      <c r="B2095" t="s">
        <v>1628</v>
      </c>
      <c r="D2095" t="s">
        <v>57</v>
      </c>
      <c r="E2095" t="s">
        <v>128</v>
      </c>
      <c r="F2095" t="s">
        <v>58</v>
      </c>
      <c r="G2095" t="s">
        <v>59</v>
      </c>
      <c r="H2095" t="s">
        <v>60</v>
      </c>
      <c r="I2095" t="s">
        <v>129</v>
      </c>
      <c r="J2095" t="s">
        <v>86</v>
      </c>
      <c r="K2095" t="s">
        <v>61</v>
      </c>
      <c r="L2095" t="s">
        <v>74</v>
      </c>
      <c r="M2095" t="s">
        <v>63</v>
      </c>
      <c r="N2095" t="s">
        <v>64</v>
      </c>
      <c r="P2095" t="s">
        <v>65</v>
      </c>
      <c r="R2095">
        <v>78.099999999999994</v>
      </c>
      <c r="W2095" t="s">
        <v>66</v>
      </c>
      <c r="X2095" t="s">
        <v>67</v>
      </c>
      <c r="Y2095" t="s">
        <v>67</v>
      </c>
      <c r="Z2095" t="s">
        <v>68</v>
      </c>
      <c r="AB2095">
        <v>4</v>
      </c>
      <c r="AC2095" t="s">
        <v>61</v>
      </c>
      <c r="AJ2095" t="s">
        <v>69</v>
      </c>
      <c r="AY2095" t="s">
        <v>134</v>
      </c>
      <c r="AZ2095">
        <v>15031</v>
      </c>
      <c r="BA2095" t="s">
        <v>135</v>
      </c>
      <c r="BB2095" t="s">
        <v>136</v>
      </c>
      <c r="BC2095">
        <v>1995</v>
      </c>
      <c r="BD2095" t="s">
        <v>133</v>
      </c>
    </row>
    <row r="2096" spans="1:56" x14ac:dyDescent="0.35">
      <c r="A2096">
        <v>920661</v>
      </c>
      <c r="B2096" t="s">
        <v>1629</v>
      </c>
      <c r="D2096" t="s">
        <v>57</v>
      </c>
      <c r="E2096" t="s">
        <v>79</v>
      </c>
      <c r="F2096" t="s">
        <v>58</v>
      </c>
      <c r="G2096" t="s">
        <v>59</v>
      </c>
      <c r="H2096" t="s">
        <v>60</v>
      </c>
      <c r="J2096">
        <v>31</v>
      </c>
      <c r="K2096" t="s">
        <v>61</v>
      </c>
      <c r="L2096" t="s">
        <v>74</v>
      </c>
      <c r="M2096" t="s">
        <v>63</v>
      </c>
      <c r="N2096" t="s">
        <v>64</v>
      </c>
      <c r="P2096" t="s">
        <v>65</v>
      </c>
      <c r="R2096">
        <v>244</v>
      </c>
      <c r="T2096">
        <v>224</v>
      </c>
      <c r="V2096">
        <v>266</v>
      </c>
      <c r="W2096" t="s">
        <v>66</v>
      </c>
      <c r="X2096" t="s">
        <v>67</v>
      </c>
      <c r="Y2096" t="s">
        <v>67</v>
      </c>
      <c r="Z2096" t="s">
        <v>68</v>
      </c>
      <c r="AB2096">
        <v>4</v>
      </c>
      <c r="AC2096" t="s">
        <v>61</v>
      </c>
      <c r="AJ2096" t="s">
        <v>69</v>
      </c>
      <c r="AY2096" t="s">
        <v>263</v>
      </c>
      <c r="AZ2096">
        <v>12858</v>
      </c>
      <c r="BA2096" t="s">
        <v>264</v>
      </c>
      <c r="BB2096" t="s">
        <v>265</v>
      </c>
      <c r="BC2096">
        <v>1986</v>
      </c>
      <c r="BD2096" t="s">
        <v>73</v>
      </c>
    </row>
    <row r="2097" spans="1:56" x14ac:dyDescent="0.35">
      <c r="A2097">
        <v>924414</v>
      </c>
      <c r="B2097" t="s">
        <v>1630</v>
      </c>
      <c r="D2097" t="s">
        <v>57</v>
      </c>
      <c r="E2097">
        <v>95</v>
      </c>
      <c r="F2097" t="s">
        <v>58</v>
      </c>
      <c r="G2097" t="s">
        <v>59</v>
      </c>
      <c r="H2097" t="s">
        <v>60</v>
      </c>
      <c r="J2097">
        <v>29</v>
      </c>
      <c r="K2097" t="s">
        <v>61</v>
      </c>
      <c r="L2097" t="s">
        <v>74</v>
      </c>
      <c r="M2097" t="s">
        <v>63</v>
      </c>
      <c r="N2097" t="s">
        <v>64</v>
      </c>
      <c r="P2097" t="s">
        <v>65</v>
      </c>
      <c r="R2097">
        <v>38.1</v>
      </c>
      <c r="T2097">
        <v>33.4</v>
      </c>
      <c r="V2097">
        <v>43.3</v>
      </c>
      <c r="W2097" t="s">
        <v>66</v>
      </c>
      <c r="X2097" t="s">
        <v>67</v>
      </c>
      <c r="Y2097" t="s">
        <v>67</v>
      </c>
      <c r="Z2097" t="s">
        <v>68</v>
      </c>
      <c r="AB2097">
        <v>4</v>
      </c>
      <c r="AC2097" t="s">
        <v>61</v>
      </c>
      <c r="AJ2097" t="s">
        <v>69</v>
      </c>
      <c r="AY2097" t="s">
        <v>80</v>
      </c>
      <c r="AZ2097">
        <v>12859</v>
      </c>
      <c r="BA2097" t="s">
        <v>81</v>
      </c>
      <c r="BB2097" t="s">
        <v>82</v>
      </c>
      <c r="BC2097">
        <v>1988</v>
      </c>
      <c r="BD2097" t="s">
        <v>73</v>
      </c>
    </row>
    <row r="2098" spans="1:56" x14ac:dyDescent="0.35">
      <c r="A2098">
        <v>924414</v>
      </c>
      <c r="B2098" t="s">
        <v>1630</v>
      </c>
      <c r="D2098" t="s">
        <v>57</v>
      </c>
      <c r="E2098" t="s">
        <v>128</v>
      </c>
      <c r="F2098" t="s">
        <v>58</v>
      </c>
      <c r="G2098" t="s">
        <v>59</v>
      </c>
      <c r="H2098" t="s">
        <v>60</v>
      </c>
      <c r="I2098" t="s">
        <v>129</v>
      </c>
      <c r="J2098" t="s">
        <v>86</v>
      </c>
      <c r="K2098" t="s">
        <v>61</v>
      </c>
      <c r="L2098" t="s">
        <v>74</v>
      </c>
      <c r="M2098" t="s">
        <v>63</v>
      </c>
      <c r="N2098" t="s">
        <v>64</v>
      </c>
      <c r="P2098" t="s">
        <v>65</v>
      </c>
      <c r="R2098">
        <v>38.1</v>
      </c>
      <c r="T2098">
        <v>33.4</v>
      </c>
      <c r="V2098">
        <v>43.3</v>
      </c>
      <c r="W2098" t="s">
        <v>66</v>
      </c>
      <c r="X2098" t="s">
        <v>67</v>
      </c>
      <c r="Y2098" t="s">
        <v>67</v>
      </c>
      <c r="Z2098" t="s">
        <v>68</v>
      </c>
      <c r="AB2098">
        <v>4</v>
      </c>
      <c r="AC2098" t="s">
        <v>61</v>
      </c>
      <c r="AJ2098" t="s">
        <v>69</v>
      </c>
      <c r="AY2098" t="s">
        <v>541</v>
      </c>
      <c r="AZ2098">
        <v>2721</v>
      </c>
      <c r="BA2098" t="s">
        <v>542</v>
      </c>
      <c r="BB2098" t="s">
        <v>543</v>
      </c>
      <c r="BC2098">
        <v>1989</v>
      </c>
      <c r="BD2098" t="s">
        <v>544</v>
      </c>
    </row>
    <row r="2099" spans="1:56" x14ac:dyDescent="0.35">
      <c r="A2099">
        <v>927742</v>
      </c>
      <c r="B2099" t="s">
        <v>1631</v>
      </c>
      <c r="D2099" t="s">
        <v>57</v>
      </c>
      <c r="E2099">
        <v>97</v>
      </c>
      <c r="F2099" t="s">
        <v>58</v>
      </c>
      <c r="G2099" t="s">
        <v>59</v>
      </c>
      <c r="H2099" t="s">
        <v>60</v>
      </c>
      <c r="J2099">
        <v>29</v>
      </c>
      <c r="K2099" t="s">
        <v>61</v>
      </c>
      <c r="L2099" t="s">
        <v>74</v>
      </c>
      <c r="M2099" t="s">
        <v>63</v>
      </c>
      <c r="N2099" t="s">
        <v>64</v>
      </c>
      <c r="P2099" t="s">
        <v>65</v>
      </c>
      <c r="R2099">
        <v>36.1</v>
      </c>
      <c r="T2099">
        <v>33.6</v>
      </c>
      <c r="V2099">
        <v>38.799999999999997</v>
      </c>
      <c r="W2099" t="s">
        <v>66</v>
      </c>
      <c r="X2099" t="s">
        <v>67</v>
      </c>
      <c r="Y2099" t="s">
        <v>67</v>
      </c>
      <c r="Z2099" t="s">
        <v>68</v>
      </c>
      <c r="AB2099">
        <v>4</v>
      </c>
      <c r="AC2099" t="s">
        <v>61</v>
      </c>
      <c r="AJ2099" t="s">
        <v>69</v>
      </c>
      <c r="AY2099" t="s">
        <v>263</v>
      </c>
      <c r="AZ2099">
        <v>12858</v>
      </c>
      <c r="BA2099" t="s">
        <v>264</v>
      </c>
      <c r="BB2099" t="s">
        <v>265</v>
      </c>
      <c r="BC2099">
        <v>1986</v>
      </c>
      <c r="BD2099" t="s">
        <v>73</v>
      </c>
    </row>
    <row r="2100" spans="1:56" x14ac:dyDescent="0.35">
      <c r="A2100">
        <v>927742</v>
      </c>
      <c r="B2100" t="s">
        <v>1631</v>
      </c>
      <c r="D2100" t="s">
        <v>57</v>
      </c>
      <c r="E2100" t="s">
        <v>128</v>
      </c>
      <c r="F2100" t="s">
        <v>58</v>
      </c>
      <c r="G2100" t="s">
        <v>59</v>
      </c>
      <c r="H2100" t="s">
        <v>60</v>
      </c>
      <c r="I2100" t="s">
        <v>129</v>
      </c>
      <c r="J2100" t="s">
        <v>86</v>
      </c>
      <c r="K2100" t="s">
        <v>61</v>
      </c>
      <c r="L2100" t="s">
        <v>74</v>
      </c>
      <c r="M2100" t="s">
        <v>63</v>
      </c>
      <c r="N2100" t="s">
        <v>64</v>
      </c>
      <c r="P2100" t="s">
        <v>65</v>
      </c>
      <c r="R2100">
        <v>36.1</v>
      </c>
      <c r="T2100">
        <v>33.6</v>
      </c>
      <c r="V2100">
        <v>38.799999999999997</v>
      </c>
      <c r="W2100" t="s">
        <v>66</v>
      </c>
      <c r="X2100" t="s">
        <v>67</v>
      </c>
      <c r="Y2100" t="s">
        <v>67</v>
      </c>
      <c r="Z2100" t="s">
        <v>68</v>
      </c>
      <c r="AB2100">
        <v>4</v>
      </c>
      <c r="AC2100" t="s">
        <v>61</v>
      </c>
      <c r="AJ2100" t="s">
        <v>69</v>
      </c>
      <c r="AY2100" t="s">
        <v>541</v>
      </c>
      <c r="AZ2100">
        <v>2721</v>
      </c>
      <c r="BA2100" t="s">
        <v>542</v>
      </c>
      <c r="BB2100" t="s">
        <v>543</v>
      </c>
      <c r="BC2100">
        <v>1989</v>
      </c>
      <c r="BD2100" t="s">
        <v>544</v>
      </c>
    </row>
    <row r="2101" spans="1:56" x14ac:dyDescent="0.35">
      <c r="A2101">
        <v>928961</v>
      </c>
      <c r="B2101" t="s">
        <v>1632</v>
      </c>
      <c r="D2101" t="s">
        <v>57</v>
      </c>
      <c r="E2101" t="s">
        <v>128</v>
      </c>
      <c r="F2101" t="s">
        <v>58</v>
      </c>
      <c r="G2101" t="s">
        <v>59</v>
      </c>
      <c r="H2101" t="s">
        <v>60</v>
      </c>
      <c r="I2101" t="s">
        <v>129</v>
      </c>
      <c r="J2101" t="s">
        <v>86</v>
      </c>
      <c r="K2101" t="s">
        <v>61</v>
      </c>
      <c r="L2101" t="s">
        <v>74</v>
      </c>
      <c r="M2101" t="s">
        <v>63</v>
      </c>
      <c r="N2101" t="s">
        <v>64</v>
      </c>
      <c r="P2101" t="s">
        <v>65</v>
      </c>
      <c r="R2101">
        <v>381</v>
      </c>
      <c r="T2101">
        <v>352</v>
      </c>
      <c r="V2101">
        <v>412</v>
      </c>
      <c r="W2101" t="s">
        <v>66</v>
      </c>
      <c r="X2101" t="s">
        <v>67</v>
      </c>
      <c r="Y2101" t="s">
        <v>67</v>
      </c>
      <c r="Z2101" t="s">
        <v>68</v>
      </c>
      <c r="AB2101">
        <v>4</v>
      </c>
      <c r="AC2101" t="s">
        <v>61</v>
      </c>
      <c r="AJ2101" t="s">
        <v>69</v>
      </c>
      <c r="AY2101" t="s">
        <v>541</v>
      </c>
      <c r="AZ2101">
        <v>2721</v>
      </c>
      <c r="BA2101" t="s">
        <v>542</v>
      </c>
      <c r="BB2101" t="s">
        <v>543</v>
      </c>
      <c r="BC2101">
        <v>1989</v>
      </c>
      <c r="BD2101" t="s">
        <v>544</v>
      </c>
    </row>
    <row r="2102" spans="1:56" x14ac:dyDescent="0.35">
      <c r="A2102">
        <v>928961</v>
      </c>
      <c r="B2102" t="s">
        <v>1632</v>
      </c>
      <c r="D2102" t="s">
        <v>57</v>
      </c>
      <c r="E2102">
        <v>98</v>
      </c>
      <c r="F2102" t="s">
        <v>58</v>
      </c>
      <c r="G2102" t="s">
        <v>59</v>
      </c>
      <c r="H2102" t="s">
        <v>60</v>
      </c>
      <c r="J2102" t="s">
        <v>86</v>
      </c>
      <c r="K2102" t="s">
        <v>61</v>
      </c>
      <c r="L2102" t="s">
        <v>74</v>
      </c>
      <c r="M2102" t="s">
        <v>63</v>
      </c>
      <c r="N2102" t="s">
        <v>64</v>
      </c>
      <c r="P2102" t="s">
        <v>65</v>
      </c>
      <c r="R2102">
        <v>381</v>
      </c>
      <c r="T2102">
        <v>352</v>
      </c>
      <c r="V2102">
        <v>412</v>
      </c>
      <c r="W2102" t="s">
        <v>66</v>
      </c>
      <c r="X2102" t="s">
        <v>67</v>
      </c>
      <c r="Y2102" t="s">
        <v>67</v>
      </c>
      <c r="Z2102" t="s">
        <v>68</v>
      </c>
      <c r="AB2102">
        <v>4</v>
      </c>
      <c r="AC2102" t="s">
        <v>61</v>
      </c>
      <c r="AJ2102" t="s">
        <v>69</v>
      </c>
      <c r="AY2102" t="s">
        <v>80</v>
      </c>
      <c r="AZ2102">
        <v>12859</v>
      </c>
      <c r="BA2102" t="s">
        <v>81</v>
      </c>
      <c r="BB2102" t="s">
        <v>82</v>
      </c>
      <c r="BC2102">
        <v>1988</v>
      </c>
      <c r="BD2102" t="s">
        <v>161</v>
      </c>
    </row>
    <row r="2103" spans="1:56" x14ac:dyDescent="0.35">
      <c r="A2103">
        <v>928972</v>
      </c>
      <c r="B2103" t="s">
        <v>1633</v>
      </c>
      <c r="D2103" t="s">
        <v>57</v>
      </c>
      <c r="E2103" t="s">
        <v>128</v>
      </c>
      <c r="F2103" t="s">
        <v>58</v>
      </c>
      <c r="G2103" t="s">
        <v>59</v>
      </c>
      <c r="H2103" t="s">
        <v>60</v>
      </c>
      <c r="I2103" t="s">
        <v>129</v>
      </c>
      <c r="J2103" t="s">
        <v>86</v>
      </c>
      <c r="K2103" t="s">
        <v>61</v>
      </c>
      <c r="L2103" t="s">
        <v>74</v>
      </c>
      <c r="M2103" t="s">
        <v>63</v>
      </c>
      <c r="N2103" t="s">
        <v>64</v>
      </c>
      <c r="P2103" t="s">
        <v>65</v>
      </c>
      <c r="R2103">
        <v>271</v>
      </c>
      <c r="W2103" t="s">
        <v>66</v>
      </c>
      <c r="X2103" t="s">
        <v>67</v>
      </c>
      <c r="Y2103" t="s">
        <v>67</v>
      </c>
      <c r="Z2103" t="s">
        <v>68</v>
      </c>
      <c r="AB2103">
        <v>4</v>
      </c>
      <c r="AC2103" t="s">
        <v>61</v>
      </c>
      <c r="AJ2103" t="s">
        <v>69</v>
      </c>
      <c r="AY2103" t="s">
        <v>541</v>
      </c>
      <c r="AZ2103">
        <v>2721</v>
      </c>
      <c r="BA2103" t="s">
        <v>542</v>
      </c>
      <c r="BB2103" t="s">
        <v>543</v>
      </c>
      <c r="BC2103">
        <v>1989</v>
      </c>
      <c r="BD2103" t="s">
        <v>544</v>
      </c>
    </row>
    <row r="2104" spans="1:56" x14ac:dyDescent="0.35">
      <c r="A2104">
        <v>928972</v>
      </c>
      <c r="B2104" t="s">
        <v>1633</v>
      </c>
      <c r="D2104" t="s">
        <v>57</v>
      </c>
      <c r="E2104">
        <v>98</v>
      </c>
      <c r="F2104" t="s">
        <v>58</v>
      </c>
      <c r="G2104" t="s">
        <v>59</v>
      </c>
      <c r="H2104" t="s">
        <v>60</v>
      </c>
      <c r="J2104">
        <v>30</v>
      </c>
      <c r="K2104" t="s">
        <v>61</v>
      </c>
      <c r="L2104" t="s">
        <v>74</v>
      </c>
      <c r="M2104" t="s">
        <v>63</v>
      </c>
      <c r="N2104" t="s">
        <v>64</v>
      </c>
      <c r="P2104" t="s">
        <v>65</v>
      </c>
      <c r="R2104">
        <v>271</v>
      </c>
      <c r="T2104">
        <v>256</v>
      </c>
      <c r="V2104">
        <v>287</v>
      </c>
      <c r="W2104" t="s">
        <v>66</v>
      </c>
      <c r="X2104" t="s">
        <v>67</v>
      </c>
      <c r="Y2104" t="s">
        <v>67</v>
      </c>
      <c r="Z2104" t="s">
        <v>68</v>
      </c>
      <c r="AB2104">
        <v>4</v>
      </c>
      <c r="AC2104" t="s">
        <v>61</v>
      </c>
      <c r="AJ2104" t="s">
        <v>69</v>
      </c>
      <c r="AY2104" t="s">
        <v>80</v>
      </c>
      <c r="AZ2104">
        <v>12859</v>
      </c>
      <c r="BA2104" t="s">
        <v>81</v>
      </c>
      <c r="BB2104" t="s">
        <v>82</v>
      </c>
      <c r="BC2104">
        <v>1988</v>
      </c>
      <c r="BD2104" t="s">
        <v>73</v>
      </c>
    </row>
    <row r="2105" spans="1:56" x14ac:dyDescent="0.35">
      <c r="A2105">
        <v>932161</v>
      </c>
      <c r="B2105" t="s">
        <v>1634</v>
      </c>
      <c r="D2105" t="s">
        <v>57</v>
      </c>
      <c r="E2105">
        <v>98</v>
      </c>
      <c r="F2105" t="s">
        <v>58</v>
      </c>
      <c r="G2105" t="s">
        <v>59</v>
      </c>
      <c r="H2105" t="s">
        <v>60</v>
      </c>
      <c r="J2105">
        <v>28</v>
      </c>
      <c r="K2105" t="s">
        <v>61</v>
      </c>
      <c r="L2105" t="s">
        <v>74</v>
      </c>
      <c r="M2105" t="s">
        <v>63</v>
      </c>
      <c r="N2105" t="s">
        <v>64</v>
      </c>
      <c r="P2105" t="s">
        <v>65</v>
      </c>
      <c r="R2105">
        <v>157</v>
      </c>
      <c r="T2105">
        <v>149</v>
      </c>
      <c r="V2105">
        <v>166</v>
      </c>
      <c r="W2105" t="s">
        <v>66</v>
      </c>
      <c r="X2105" t="s">
        <v>67</v>
      </c>
      <c r="Y2105" t="s">
        <v>67</v>
      </c>
      <c r="Z2105" t="s">
        <v>68</v>
      </c>
      <c r="AB2105">
        <v>4</v>
      </c>
      <c r="AC2105" t="s">
        <v>61</v>
      </c>
      <c r="AJ2105" t="s">
        <v>69</v>
      </c>
      <c r="AY2105" t="s">
        <v>286</v>
      </c>
      <c r="AZ2105">
        <v>12448</v>
      </c>
      <c r="BA2105" t="s">
        <v>287</v>
      </c>
      <c r="BB2105" t="s">
        <v>288</v>
      </c>
      <c r="BC2105">
        <v>1984</v>
      </c>
      <c r="BD2105" t="s">
        <v>73</v>
      </c>
    </row>
    <row r="2106" spans="1:56" x14ac:dyDescent="0.35">
      <c r="A2106">
        <v>937202</v>
      </c>
      <c r="B2106" t="s">
        <v>1635</v>
      </c>
      <c r="D2106" t="s">
        <v>57</v>
      </c>
      <c r="E2106" t="s">
        <v>86</v>
      </c>
      <c r="F2106" t="s">
        <v>58</v>
      </c>
      <c r="G2106" t="s">
        <v>59</v>
      </c>
      <c r="H2106" t="s">
        <v>60</v>
      </c>
      <c r="J2106">
        <v>32</v>
      </c>
      <c r="K2106" t="s">
        <v>61</v>
      </c>
      <c r="L2106" t="s">
        <v>74</v>
      </c>
      <c r="M2106" t="s">
        <v>63</v>
      </c>
      <c r="N2106" t="s">
        <v>64</v>
      </c>
      <c r="P2106" t="s">
        <v>65</v>
      </c>
      <c r="R2106">
        <v>11.7</v>
      </c>
      <c r="W2106" t="s">
        <v>66</v>
      </c>
      <c r="X2106" t="s">
        <v>67</v>
      </c>
      <c r="Y2106" t="s">
        <v>67</v>
      </c>
      <c r="Z2106" t="s">
        <v>68</v>
      </c>
      <c r="AB2106">
        <v>4</v>
      </c>
      <c r="AC2106" t="s">
        <v>61</v>
      </c>
      <c r="AJ2106" t="s">
        <v>69</v>
      </c>
      <c r="AY2106" t="s">
        <v>138</v>
      </c>
      <c r="AZ2106">
        <v>4154</v>
      </c>
      <c r="BA2106" t="s">
        <v>356</v>
      </c>
      <c r="BB2106" t="s">
        <v>357</v>
      </c>
      <c r="BC2106">
        <v>1981</v>
      </c>
      <c r="BD2106" t="s">
        <v>73</v>
      </c>
    </row>
    <row r="2107" spans="1:56" x14ac:dyDescent="0.35">
      <c r="A2107">
        <v>939231</v>
      </c>
      <c r="B2107" t="s">
        <v>1636</v>
      </c>
      <c r="D2107" t="s">
        <v>57</v>
      </c>
      <c r="E2107">
        <v>99</v>
      </c>
      <c r="F2107" t="s">
        <v>58</v>
      </c>
      <c r="G2107" t="s">
        <v>59</v>
      </c>
      <c r="H2107" t="s">
        <v>60</v>
      </c>
      <c r="J2107">
        <v>31</v>
      </c>
      <c r="K2107" t="s">
        <v>61</v>
      </c>
      <c r="L2107" t="s">
        <v>74</v>
      </c>
      <c r="M2107" t="s">
        <v>63</v>
      </c>
      <c r="N2107" t="s">
        <v>64</v>
      </c>
      <c r="P2107" t="s">
        <v>65</v>
      </c>
      <c r="R2107">
        <v>16.100000000000001</v>
      </c>
      <c r="T2107">
        <v>15.1</v>
      </c>
      <c r="V2107">
        <v>17.2</v>
      </c>
      <c r="W2107" t="s">
        <v>66</v>
      </c>
      <c r="X2107" t="s">
        <v>67</v>
      </c>
      <c r="Y2107" t="s">
        <v>67</v>
      </c>
      <c r="Z2107" t="s">
        <v>68</v>
      </c>
      <c r="AB2107">
        <v>4</v>
      </c>
      <c r="AC2107" t="s">
        <v>61</v>
      </c>
      <c r="AJ2107" t="s">
        <v>69</v>
      </c>
      <c r="AY2107" t="s">
        <v>263</v>
      </c>
      <c r="AZ2107">
        <v>12858</v>
      </c>
      <c r="BA2107" t="s">
        <v>264</v>
      </c>
      <c r="BB2107" t="s">
        <v>265</v>
      </c>
      <c r="BC2107">
        <v>1986</v>
      </c>
      <c r="BD2107" t="s">
        <v>73</v>
      </c>
    </row>
    <row r="2108" spans="1:56" x14ac:dyDescent="0.35">
      <c r="A2108">
        <v>944229</v>
      </c>
      <c r="B2108" t="s">
        <v>1637</v>
      </c>
      <c r="C2108" t="s">
        <v>91</v>
      </c>
      <c r="D2108" t="s">
        <v>57</v>
      </c>
      <c r="E2108" t="s">
        <v>86</v>
      </c>
      <c r="F2108" t="s">
        <v>58</v>
      </c>
      <c r="G2108" t="s">
        <v>59</v>
      </c>
      <c r="H2108" t="s">
        <v>60</v>
      </c>
      <c r="I2108" t="s">
        <v>129</v>
      </c>
      <c r="J2108" t="s">
        <v>86</v>
      </c>
      <c r="L2108" t="s">
        <v>62</v>
      </c>
      <c r="M2108" t="s">
        <v>63</v>
      </c>
      <c r="N2108" t="s">
        <v>64</v>
      </c>
      <c r="P2108" t="s">
        <v>65</v>
      </c>
      <c r="R2108">
        <v>1.0900000000000001</v>
      </c>
      <c r="T2108">
        <v>0.93</v>
      </c>
      <c r="V2108">
        <v>1.26</v>
      </c>
      <c r="W2108" t="s">
        <v>66</v>
      </c>
      <c r="X2108" t="s">
        <v>67</v>
      </c>
      <c r="Y2108" t="s">
        <v>67</v>
      </c>
      <c r="Z2108" t="s">
        <v>68</v>
      </c>
      <c r="AB2108">
        <v>4</v>
      </c>
      <c r="AC2108" t="s">
        <v>61</v>
      </c>
      <c r="AJ2108" t="s">
        <v>69</v>
      </c>
      <c r="AY2108" t="s">
        <v>1140</v>
      </c>
      <c r="AZ2108">
        <v>15169</v>
      </c>
      <c r="BA2108" t="s">
        <v>1141</v>
      </c>
      <c r="BB2108" t="s">
        <v>1142</v>
      </c>
      <c r="BC2108">
        <v>1982</v>
      </c>
      <c r="BD2108" t="s">
        <v>90</v>
      </c>
    </row>
    <row r="2109" spans="1:56" x14ac:dyDescent="0.35">
      <c r="A2109">
        <v>945517</v>
      </c>
      <c r="B2109" t="s">
        <v>1638</v>
      </c>
      <c r="D2109" t="s">
        <v>57</v>
      </c>
      <c r="E2109">
        <v>97</v>
      </c>
      <c r="F2109" t="s">
        <v>58</v>
      </c>
      <c r="G2109" t="s">
        <v>59</v>
      </c>
      <c r="H2109" t="s">
        <v>60</v>
      </c>
      <c r="J2109">
        <v>30</v>
      </c>
      <c r="K2109" t="s">
        <v>61</v>
      </c>
      <c r="L2109" t="s">
        <v>74</v>
      </c>
      <c r="M2109" t="s">
        <v>63</v>
      </c>
      <c r="N2109" t="s">
        <v>64</v>
      </c>
      <c r="P2109" t="s">
        <v>65</v>
      </c>
      <c r="R2109">
        <v>87.3</v>
      </c>
      <c r="T2109">
        <v>81.099999999999994</v>
      </c>
      <c r="V2109">
        <v>94</v>
      </c>
      <c r="W2109" t="s">
        <v>66</v>
      </c>
      <c r="X2109" t="s">
        <v>67</v>
      </c>
      <c r="Y2109" t="s">
        <v>67</v>
      </c>
      <c r="Z2109" t="s">
        <v>68</v>
      </c>
      <c r="AB2109">
        <v>4</v>
      </c>
      <c r="AC2109" t="s">
        <v>61</v>
      </c>
      <c r="AJ2109" t="s">
        <v>69</v>
      </c>
      <c r="AY2109" t="s">
        <v>75</v>
      </c>
      <c r="AZ2109">
        <v>3217</v>
      </c>
      <c r="BA2109" t="s">
        <v>76</v>
      </c>
      <c r="BB2109" t="s">
        <v>77</v>
      </c>
      <c r="BC2109">
        <v>1990</v>
      </c>
      <c r="BD2109" t="s">
        <v>73</v>
      </c>
    </row>
    <row r="2110" spans="1:56" x14ac:dyDescent="0.35">
      <c r="A2110">
        <v>955839</v>
      </c>
      <c r="B2110" t="s">
        <v>1639</v>
      </c>
      <c r="C2110" t="s">
        <v>195</v>
      </c>
      <c r="D2110" t="s">
        <v>57</v>
      </c>
      <c r="E2110" t="s">
        <v>86</v>
      </c>
      <c r="F2110" t="s">
        <v>58</v>
      </c>
      <c r="G2110" t="s">
        <v>59</v>
      </c>
      <c r="H2110" t="s">
        <v>60</v>
      </c>
      <c r="J2110">
        <v>29</v>
      </c>
      <c r="K2110" t="s">
        <v>61</v>
      </c>
      <c r="L2110" t="s">
        <v>74</v>
      </c>
      <c r="M2110" t="s">
        <v>63</v>
      </c>
      <c r="N2110" t="s">
        <v>64</v>
      </c>
      <c r="O2110">
        <v>4</v>
      </c>
      <c r="P2110" t="s">
        <v>65</v>
      </c>
      <c r="R2110">
        <v>0.05</v>
      </c>
      <c r="W2110" t="s">
        <v>66</v>
      </c>
      <c r="X2110" t="s">
        <v>67</v>
      </c>
      <c r="Y2110" t="s">
        <v>67</v>
      </c>
      <c r="Z2110" t="s">
        <v>68</v>
      </c>
      <c r="AB2110">
        <v>4</v>
      </c>
      <c r="AC2110" t="s">
        <v>61</v>
      </c>
      <c r="AJ2110" t="s">
        <v>69</v>
      </c>
      <c r="AY2110" t="s">
        <v>141</v>
      </c>
      <c r="AZ2110">
        <v>12447</v>
      </c>
      <c r="BA2110" t="s">
        <v>142</v>
      </c>
      <c r="BB2110" t="s">
        <v>143</v>
      </c>
      <c r="BC2110">
        <v>1985</v>
      </c>
      <c r="BD2110" t="s">
        <v>73</v>
      </c>
    </row>
    <row r="2111" spans="1:56" x14ac:dyDescent="0.35">
      <c r="A2111">
        <v>957517</v>
      </c>
      <c r="B2111" t="s">
        <v>1640</v>
      </c>
      <c r="E2111">
        <v>100</v>
      </c>
      <c r="F2111" t="s">
        <v>58</v>
      </c>
      <c r="G2111" t="s">
        <v>59</v>
      </c>
      <c r="H2111" t="s">
        <v>60</v>
      </c>
      <c r="J2111" t="s">
        <v>86</v>
      </c>
      <c r="L2111" t="s">
        <v>62</v>
      </c>
      <c r="M2111" t="s">
        <v>63</v>
      </c>
      <c r="N2111" t="s">
        <v>64</v>
      </c>
      <c r="P2111" t="s">
        <v>65</v>
      </c>
      <c r="R2111">
        <v>48</v>
      </c>
      <c r="T2111">
        <v>38</v>
      </c>
      <c r="V2111">
        <v>60</v>
      </c>
      <c r="W2111" t="s">
        <v>66</v>
      </c>
      <c r="X2111" t="s">
        <v>67</v>
      </c>
      <c r="Y2111" t="s">
        <v>67</v>
      </c>
      <c r="Z2111" t="s">
        <v>68</v>
      </c>
      <c r="AB2111">
        <v>4</v>
      </c>
      <c r="AC2111" t="s">
        <v>61</v>
      </c>
      <c r="AJ2111" t="s">
        <v>69</v>
      </c>
      <c r="AY2111" t="s">
        <v>96</v>
      </c>
      <c r="AZ2111">
        <v>6797</v>
      </c>
      <c r="BA2111" t="s">
        <v>97</v>
      </c>
      <c r="BB2111" t="s">
        <v>98</v>
      </c>
      <c r="BC2111">
        <v>1986</v>
      </c>
      <c r="BD2111" t="s">
        <v>90</v>
      </c>
    </row>
    <row r="2112" spans="1:56" x14ac:dyDescent="0.35">
      <c r="A2112">
        <v>999611</v>
      </c>
      <c r="B2112" t="s">
        <v>1641</v>
      </c>
      <c r="D2112" t="s">
        <v>57</v>
      </c>
      <c r="E2112" t="s">
        <v>810</v>
      </c>
      <c r="F2112" t="s">
        <v>58</v>
      </c>
      <c r="G2112" t="s">
        <v>59</v>
      </c>
      <c r="H2112" t="s">
        <v>60</v>
      </c>
      <c r="J2112">
        <v>34</v>
      </c>
      <c r="K2112" t="s">
        <v>61</v>
      </c>
      <c r="L2112" t="s">
        <v>74</v>
      </c>
      <c r="M2112" t="s">
        <v>63</v>
      </c>
      <c r="N2112" t="s">
        <v>64</v>
      </c>
      <c r="P2112" t="s">
        <v>65</v>
      </c>
      <c r="R2112">
        <v>3.61</v>
      </c>
      <c r="W2112" t="s">
        <v>66</v>
      </c>
      <c r="X2112" t="s">
        <v>67</v>
      </c>
      <c r="Y2112" t="s">
        <v>67</v>
      </c>
      <c r="Z2112" t="s">
        <v>68</v>
      </c>
      <c r="AB2112">
        <v>4</v>
      </c>
      <c r="AC2112" t="s">
        <v>61</v>
      </c>
      <c r="AJ2112" t="s">
        <v>69</v>
      </c>
      <c r="AY2112" t="s">
        <v>263</v>
      </c>
      <c r="AZ2112">
        <v>12858</v>
      </c>
      <c r="BA2112" t="s">
        <v>264</v>
      </c>
      <c r="BB2112" t="s">
        <v>265</v>
      </c>
      <c r="BC2112">
        <v>1986</v>
      </c>
      <c r="BD2112" t="s">
        <v>73</v>
      </c>
    </row>
    <row r="2113" spans="1:56" x14ac:dyDescent="0.35">
      <c r="A2113">
        <v>999611</v>
      </c>
      <c r="B2113" t="s">
        <v>1641</v>
      </c>
      <c r="D2113" t="s">
        <v>57</v>
      </c>
      <c r="E2113" t="s">
        <v>810</v>
      </c>
      <c r="F2113" t="s">
        <v>58</v>
      </c>
      <c r="G2113" t="s">
        <v>59</v>
      </c>
      <c r="H2113" t="s">
        <v>60</v>
      </c>
      <c r="J2113">
        <v>33</v>
      </c>
      <c r="K2113" t="s">
        <v>61</v>
      </c>
      <c r="L2113" t="s">
        <v>74</v>
      </c>
      <c r="M2113" t="s">
        <v>63</v>
      </c>
      <c r="N2113" t="s">
        <v>64</v>
      </c>
      <c r="P2113" t="s">
        <v>65</v>
      </c>
      <c r="R2113">
        <v>3.1</v>
      </c>
      <c r="W2113" t="s">
        <v>66</v>
      </c>
      <c r="X2113" t="s">
        <v>67</v>
      </c>
      <c r="Y2113" t="s">
        <v>67</v>
      </c>
      <c r="Z2113" t="s">
        <v>68</v>
      </c>
      <c r="AB2113">
        <v>4</v>
      </c>
      <c r="AC2113" t="s">
        <v>61</v>
      </c>
      <c r="AJ2113" t="s">
        <v>69</v>
      </c>
      <c r="AY2113" t="s">
        <v>263</v>
      </c>
      <c r="AZ2113">
        <v>12858</v>
      </c>
      <c r="BA2113" t="s">
        <v>264</v>
      </c>
      <c r="BB2113" t="s">
        <v>265</v>
      </c>
      <c r="BC2113">
        <v>1986</v>
      </c>
      <c r="BD2113" t="s">
        <v>73</v>
      </c>
    </row>
    <row r="2114" spans="1:56" x14ac:dyDescent="0.35">
      <c r="A2114">
        <v>999611</v>
      </c>
      <c r="B2114" t="s">
        <v>1641</v>
      </c>
      <c r="D2114" t="s">
        <v>57</v>
      </c>
      <c r="E2114" t="s">
        <v>810</v>
      </c>
      <c r="F2114" t="s">
        <v>58</v>
      </c>
      <c r="G2114" t="s">
        <v>59</v>
      </c>
      <c r="H2114" t="s">
        <v>60</v>
      </c>
      <c r="I2114" t="s">
        <v>129</v>
      </c>
      <c r="J2114" t="s">
        <v>86</v>
      </c>
      <c r="K2114" t="s">
        <v>61</v>
      </c>
      <c r="L2114" t="s">
        <v>74</v>
      </c>
      <c r="M2114" t="s">
        <v>63</v>
      </c>
      <c r="N2114" t="s">
        <v>64</v>
      </c>
      <c r="P2114" t="s">
        <v>65</v>
      </c>
      <c r="R2114">
        <v>3.1</v>
      </c>
      <c r="W2114" t="s">
        <v>66</v>
      </c>
      <c r="X2114" t="s">
        <v>67</v>
      </c>
      <c r="Y2114" t="s">
        <v>67</v>
      </c>
      <c r="Z2114" t="s">
        <v>68</v>
      </c>
      <c r="AB2114">
        <v>4</v>
      </c>
      <c r="AC2114" t="s">
        <v>61</v>
      </c>
      <c r="AJ2114" t="s">
        <v>69</v>
      </c>
      <c r="AY2114" t="s">
        <v>847</v>
      </c>
      <c r="AZ2114">
        <v>13120</v>
      </c>
      <c r="BA2114" t="s">
        <v>848</v>
      </c>
      <c r="BB2114" t="s">
        <v>849</v>
      </c>
      <c r="BC2114">
        <v>1988</v>
      </c>
      <c r="BD2114" t="s">
        <v>833</v>
      </c>
    </row>
    <row r="2115" spans="1:56" x14ac:dyDescent="0.35">
      <c r="A2115">
        <v>999611</v>
      </c>
      <c r="B2115" t="s">
        <v>1641</v>
      </c>
      <c r="D2115" t="s">
        <v>57</v>
      </c>
      <c r="E2115" t="s">
        <v>810</v>
      </c>
      <c r="F2115" t="s">
        <v>58</v>
      </c>
      <c r="G2115" t="s">
        <v>59</v>
      </c>
      <c r="H2115" t="s">
        <v>60</v>
      </c>
      <c r="I2115" t="s">
        <v>129</v>
      </c>
      <c r="J2115" t="s">
        <v>86</v>
      </c>
      <c r="K2115" t="s">
        <v>61</v>
      </c>
      <c r="L2115" t="s">
        <v>74</v>
      </c>
      <c r="M2115" t="s">
        <v>63</v>
      </c>
      <c r="N2115" t="s">
        <v>64</v>
      </c>
      <c r="P2115" t="s">
        <v>65</v>
      </c>
      <c r="R2115">
        <v>3.61</v>
      </c>
      <c r="W2115" t="s">
        <v>66</v>
      </c>
      <c r="X2115" t="s">
        <v>67</v>
      </c>
      <c r="Y2115" t="s">
        <v>67</v>
      </c>
      <c r="Z2115" t="s">
        <v>68</v>
      </c>
      <c r="AB2115">
        <v>4</v>
      </c>
      <c r="AC2115" t="s">
        <v>61</v>
      </c>
      <c r="AJ2115" t="s">
        <v>69</v>
      </c>
      <c r="AY2115" t="s">
        <v>847</v>
      </c>
      <c r="AZ2115">
        <v>13120</v>
      </c>
      <c r="BA2115" t="s">
        <v>848</v>
      </c>
      <c r="BB2115" t="s">
        <v>849</v>
      </c>
      <c r="BC2115">
        <v>1988</v>
      </c>
      <c r="BD2115" t="s">
        <v>833</v>
      </c>
    </row>
    <row r="2116" spans="1:56" x14ac:dyDescent="0.35">
      <c r="A2116">
        <v>999815</v>
      </c>
      <c r="B2116" t="s">
        <v>1642</v>
      </c>
      <c r="E2116">
        <v>98.1</v>
      </c>
      <c r="F2116" t="s">
        <v>58</v>
      </c>
      <c r="G2116" t="s">
        <v>59</v>
      </c>
      <c r="H2116" t="s">
        <v>60</v>
      </c>
      <c r="J2116" t="s">
        <v>86</v>
      </c>
      <c r="L2116" t="s">
        <v>62</v>
      </c>
      <c r="M2116" t="s">
        <v>63</v>
      </c>
      <c r="N2116" t="s">
        <v>64</v>
      </c>
      <c r="P2116" t="s">
        <v>65</v>
      </c>
      <c r="Q2116" t="s">
        <v>153</v>
      </c>
      <c r="R2116">
        <v>100</v>
      </c>
      <c r="W2116" t="s">
        <v>66</v>
      </c>
      <c r="X2116" t="s">
        <v>67</v>
      </c>
      <c r="Y2116" t="s">
        <v>67</v>
      </c>
      <c r="Z2116" t="s">
        <v>68</v>
      </c>
      <c r="AB2116">
        <v>4</v>
      </c>
      <c r="AC2116" t="s">
        <v>61</v>
      </c>
      <c r="AJ2116" t="s">
        <v>69</v>
      </c>
      <c r="AY2116" t="s">
        <v>96</v>
      </c>
      <c r="AZ2116">
        <v>6797</v>
      </c>
      <c r="BA2116" t="s">
        <v>97</v>
      </c>
      <c r="BB2116" t="s">
        <v>98</v>
      </c>
      <c r="BC2116">
        <v>1986</v>
      </c>
      <c r="BD2116" t="s">
        <v>90</v>
      </c>
    </row>
    <row r="2117" spans="1:56" x14ac:dyDescent="0.35">
      <c r="A2117">
        <v>1064488</v>
      </c>
      <c r="B2117" t="s">
        <v>1643</v>
      </c>
      <c r="D2117" t="s">
        <v>85</v>
      </c>
      <c r="E2117">
        <v>15</v>
      </c>
      <c r="F2117" t="s">
        <v>58</v>
      </c>
      <c r="G2117" t="s">
        <v>59</v>
      </c>
      <c r="H2117" t="s">
        <v>60</v>
      </c>
      <c r="J2117" t="s">
        <v>86</v>
      </c>
      <c r="L2117" t="s">
        <v>62</v>
      </c>
      <c r="M2117" t="s">
        <v>63</v>
      </c>
      <c r="N2117" t="s">
        <v>64</v>
      </c>
      <c r="P2117" t="s">
        <v>100</v>
      </c>
      <c r="Q2117" t="s">
        <v>153</v>
      </c>
      <c r="R2117">
        <v>180</v>
      </c>
      <c r="W2117" t="s">
        <v>66</v>
      </c>
      <c r="X2117" t="s">
        <v>67</v>
      </c>
      <c r="Y2117" t="s">
        <v>67</v>
      </c>
      <c r="Z2117" t="s">
        <v>68</v>
      </c>
      <c r="AB2117">
        <v>4</v>
      </c>
      <c r="AC2117" t="s">
        <v>61</v>
      </c>
      <c r="AJ2117" t="s">
        <v>69</v>
      </c>
      <c r="AY2117" t="s">
        <v>1246</v>
      </c>
      <c r="AZ2117">
        <v>6969</v>
      </c>
      <c r="BA2117" t="s">
        <v>1247</v>
      </c>
      <c r="BB2117" t="s">
        <v>1248</v>
      </c>
      <c r="BC2117">
        <v>1973</v>
      </c>
      <c r="BD2117" t="s">
        <v>90</v>
      </c>
    </row>
    <row r="2118" spans="1:56" x14ac:dyDescent="0.35">
      <c r="A2118">
        <v>1064488</v>
      </c>
      <c r="B2118" t="s">
        <v>1643</v>
      </c>
      <c r="D2118" t="s">
        <v>85</v>
      </c>
      <c r="E2118" t="s">
        <v>86</v>
      </c>
      <c r="F2118" t="s">
        <v>58</v>
      </c>
      <c r="G2118" t="s">
        <v>59</v>
      </c>
      <c r="H2118" t="s">
        <v>60</v>
      </c>
      <c r="J2118" t="s">
        <v>86</v>
      </c>
      <c r="L2118" t="s">
        <v>62</v>
      </c>
      <c r="M2118" t="s">
        <v>63</v>
      </c>
      <c r="N2118" t="s">
        <v>64</v>
      </c>
      <c r="P2118" t="s">
        <v>100</v>
      </c>
      <c r="Q2118" t="s">
        <v>153</v>
      </c>
      <c r="R2118">
        <v>180</v>
      </c>
      <c r="W2118" t="s">
        <v>66</v>
      </c>
      <c r="X2118" t="s">
        <v>67</v>
      </c>
      <c r="Y2118" t="s">
        <v>67</v>
      </c>
      <c r="Z2118" t="s">
        <v>68</v>
      </c>
      <c r="AB2118">
        <v>4</v>
      </c>
      <c r="AC2118" t="s">
        <v>61</v>
      </c>
      <c r="AJ2118" t="s">
        <v>69</v>
      </c>
      <c r="AY2118" t="s">
        <v>1243</v>
      </c>
      <c r="AZ2118">
        <v>5789</v>
      </c>
      <c r="BA2118" t="s">
        <v>1244</v>
      </c>
      <c r="BB2118" t="s">
        <v>1245</v>
      </c>
      <c r="BC2118">
        <v>1974</v>
      </c>
      <c r="BD2118" t="s">
        <v>90</v>
      </c>
    </row>
    <row r="2119" spans="1:56" x14ac:dyDescent="0.35">
      <c r="A2119">
        <v>1071836</v>
      </c>
      <c r="B2119" t="s">
        <v>1644</v>
      </c>
      <c r="E2119">
        <v>80</v>
      </c>
      <c r="F2119" t="s">
        <v>58</v>
      </c>
      <c r="G2119" t="s">
        <v>59</v>
      </c>
      <c r="H2119" t="s">
        <v>60</v>
      </c>
      <c r="J2119" t="s">
        <v>86</v>
      </c>
      <c r="L2119" t="s">
        <v>62</v>
      </c>
      <c r="M2119" t="s">
        <v>63</v>
      </c>
      <c r="N2119" t="s">
        <v>64</v>
      </c>
      <c r="P2119" t="s">
        <v>100</v>
      </c>
      <c r="R2119">
        <v>67.900000000000006</v>
      </c>
      <c r="T2119">
        <v>59.1</v>
      </c>
      <c r="V2119">
        <v>98.9</v>
      </c>
      <c r="W2119" t="s">
        <v>66</v>
      </c>
      <c r="X2119" t="s">
        <v>67</v>
      </c>
      <c r="Y2119" t="s">
        <v>67</v>
      </c>
      <c r="Z2119" t="s">
        <v>68</v>
      </c>
      <c r="AB2119">
        <v>4</v>
      </c>
      <c r="AC2119" t="s">
        <v>61</v>
      </c>
      <c r="AJ2119" t="s">
        <v>69</v>
      </c>
      <c r="AY2119" t="s">
        <v>116</v>
      </c>
      <c r="AZ2119">
        <v>344</v>
      </c>
      <c r="BA2119" t="s">
        <v>117</v>
      </c>
      <c r="BB2119" t="s">
        <v>118</v>
      </c>
      <c r="BC2119">
        <v>1992</v>
      </c>
      <c r="BD2119" t="s">
        <v>90</v>
      </c>
    </row>
    <row r="2120" spans="1:56" x14ac:dyDescent="0.35">
      <c r="A2120">
        <v>1071836</v>
      </c>
      <c r="B2120" t="s">
        <v>1644</v>
      </c>
      <c r="E2120">
        <v>41</v>
      </c>
      <c r="F2120" t="s">
        <v>58</v>
      </c>
      <c r="G2120" t="s">
        <v>59</v>
      </c>
      <c r="H2120" t="s">
        <v>60</v>
      </c>
      <c r="J2120" t="s">
        <v>86</v>
      </c>
      <c r="L2120" t="s">
        <v>62</v>
      </c>
      <c r="M2120" t="s">
        <v>63</v>
      </c>
      <c r="N2120" t="s">
        <v>64</v>
      </c>
      <c r="P2120" t="s">
        <v>65</v>
      </c>
      <c r="R2120">
        <v>4.8</v>
      </c>
      <c r="T2120">
        <v>3.7</v>
      </c>
      <c r="V2120">
        <v>6.3</v>
      </c>
      <c r="W2120" t="s">
        <v>66</v>
      </c>
      <c r="X2120" t="s">
        <v>67</v>
      </c>
      <c r="Y2120" t="s">
        <v>67</v>
      </c>
      <c r="Z2120" t="s">
        <v>68</v>
      </c>
      <c r="AB2120">
        <v>4</v>
      </c>
      <c r="AC2120" t="s">
        <v>61</v>
      </c>
      <c r="AJ2120" t="s">
        <v>69</v>
      </c>
      <c r="AY2120" t="s">
        <v>96</v>
      </c>
      <c r="AZ2120">
        <v>6797</v>
      </c>
      <c r="BA2120" t="s">
        <v>97</v>
      </c>
      <c r="BB2120" t="s">
        <v>98</v>
      </c>
      <c r="BC2120">
        <v>1986</v>
      </c>
      <c r="BD2120" t="s">
        <v>90</v>
      </c>
    </row>
    <row r="2121" spans="1:56" x14ac:dyDescent="0.35">
      <c r="A2121">
        <v>1071836</v>
      </c>
      <c r="B2121" t="s">
        <v>1644</v>
      </c>
      <c r="E2121">
        <v>41</v>
      </c>
      <c r="F2121" t="s">
        <v>58</v>
      </c>
      <c r="G2121" t="s">
        <v>59</v>
      </c>
      <c r="H2121" t="s">
        <v>60</v>
      </c>
      <c r="J2121" t="s">
        <v>86</v>
      </c>
      <c r="L2121" t="s">
        <v>62</v>
      </c>
      <c r="M2121" t="s">
        <v>63</v>
      </c>
      <c r="N2121" t="s">
        <v>64</v>
      </c>
      <c r="P2121" t="s">
        <v>65</v>
      </c>
      <c r="R2121">
        <v>4.3</v>
      </c>
      <c r="T2121">
        <v>3.2</v>
      </c>
      <c r="V2121">
        <v>5.8</v>
      </c>
      <c r="W2121" t="s">
        <v>66</v>
      </c>
      <c r="X2121" t="s">
        <v>67</v>
      </c>
      <c r="Y2121" t="s">
        <v>67</v>
      </c>
      <c r="Z2121" t="s">
        <v>68</v>
      </c>
      <c r="AB2121">
        <v>4</v>
      </c>
      <c r="AC2121" t="s">
        <v>61</v>
      </c>
      <c r="AJ2121" t="s">
        <v>69</v>
      </c>
      <c r="AY2121" t="s">
        <v>96</v>
      </c>
      <c r="AZ2121">
        <v>6797</v>
      </c>
      <c r="BA2121" t="s">
        <v>97</v>
      </c>
      <c r="BB2121" t="s">
        <v>98</v>
      </c>
      <c r="BC2121">
        <v>1986</v>
      </c>
      <c r="BD2121" t="s">
        <v>90</v>
      </c>
    </row>
    <row r="2122" spans="1:56" x14ac:dyDescent="0.35">
      <c r="A2122">
        <v>1071836</v>
      </c>
      <c r="B2122" t="s">
        <v>1644</v>
      </c>
      <c r="E2122">
        <v>96.7</v>
      </c>
      <c r="F2122" t="s">
        <v>58</v>
      </c>
      <c r="G2122" t="s">
        <v>59</v>
      </c>
      <c r="H2122" t="s">
        <v>60</v>
      </c>
      <c r="J2122" t="s">
        <v>86</v>
      </c>
      <c r="L2122" t="s">
        <v>62</v>
      </c>
      <c r="M2122" t="s">
        <v>63</v>
      </c>
      <c r="N2122" t="s">
        <v>64</v>
      </c>
      <c r="P2122" t="s">
        <v>65</v>
      </c>
      <c r="R2122">
        <v>97</v>
      </c>
      <c r="T2122">
        <v>79</v>
      </c>
      <c r="V2122">
        <v>120</v>
      </c>
      <c r="W2122" t="s">
        <v>66</v>
      </c>
      <c r="X2122" t="s">
        <v>67</v>
      </c>
      <c r="Y2122" t="s">
        <v>67</v>
      </c>
      <c r="Z2122" t="s">
        <v>68</v>
      </c>
      <c r="AB2122">
        <v>4</v>
      </c>
      <c r="AC2122" t="s">
        <v>61</v>
      </c>
      <c r="AJ2122" t="s">
        <v>69</v>
      </c>
      <c r="AY2122" t="s">
        <v>96</v>
      </c>
      <c r="AZ2122">
        <v>6797</v>
      </c>
      <c r="BA2122" t="s">
        <v>97</v>
      </c>
      <c r="BB2122" t="s">
        <v>98</v>
      </c>
      <c r="BC2122">
        <v>1986</v>
      </c>
      <c r="BD2122" t="s">
        <v>90</v>
      </c>
    </row>
    <row r="2123" spans="1:56" x14ac:dyDescent="0.35">
      <c r="A2123">
        <v>1071836</v>
      </c>
      <c r="B2123" t="s">
        <v>1644</v>
      </c>
      <c r="E2123">
        <v>41</v>
      </c>
      <c r="F2123" t="s">
        <v>58</v>
      </c>
      <c r="G2123" t="s">
        <v>59</v>
      </c>
      <c r="H2123" t="s">
        <v>60</v>
      </c>
      <c r="J2123" t="s">
        <v>86</v>
      </c>
      <c r="L2123" t="s">
        <v>62</v>
      </c>
      <c r="M2123" t="s">
        <v>63</v>
      </c>
      <c r="N2123" t="s">
        <v>64</v>
      </c>
      <c r="P2123" t="s">
        <v>65</v>
      </c>
      <c r="R2123">
        <v>2.9</v>
      </c>
      <c r="T2123">
        <v>1.7</v>
      </c>
      <c r="V2123">
        <v>5</v>
      </c>
      <c r="W2123" t="s">
        <v>66</v>
      </c>
      <c r="X2123" t="s">
        <v>67</v>
      </c>
      <c r="Y2123" t="s">
        <v>67</v>
      </c>
      <c r="Z2123" t="s">
        <v>68</v>
      </c>
      <c r="AB2123">
        <v>4</v>
      </c>
      <c r="AC2123" t="s">
        <v>61</v>
      </c>
      <c r="AJ2123" t="s">
        <v>69</v>
      </c>
      <c r="AY2123" t="s">
        <v>96</v>
      </c>
      <c r="AZ2123">
        <v>6797</v>
      </c>
      <c r="BA2123" t="s">
        <v>97</v>
      </c>
      <c r="BB2123" t="s">
        <v>98</v>
      </c>
      <c r="BC2123">
        <v>1986</v>
      </c>
      <c r="BD2123" t="s">
        <v>90</v>
      </c>
    </row>
    <row r="2124" spans="1:56" x14ac:dyDescent="0.35">
      <c r="A2124">
        <v>1071836</v>
      </c>
      <c r="B2124" t="s">
        <v>1644</v>
      </c>
      <c r="E2124">
        <v>41</v>
      </c>
      <c r="F2124" t="s">
        <v>58</v>
      </c>
      <c r="G2124" t="s">
        <v>59</v>
      </c>
      <c r="H2124" t="s">
        <v>60</v>
      </c>
      <c r="J2124" t="s">
        <v>86</v>
      </c>
      <c r="L2124" t="s">
        <v>62</v>
      </c>
      <c r="M2124" t="s">
        <v>63</v>
      </c>
      <c r="N2124" t="s">
        <v>64</v>
      </c>
      <c r="P2124" t="s">
        <v>65</v>
      </c>
      <c r="R2124">
        <v>2.2999999999999998</v>
      </c>
      <c r="T2124">
        <v>1.9</v>
      </c>
      <c r="V2124">
        <v>2.8</v>
      </c>
      <c r="W2124" t="s">
        <v>66</v>
      </c>
      <c r="X2124" t="s">
        <v>67</v>
      </c>
      <c r="Y2124" t="s">
        <v>67</v>
      </c>
      <c r="Z2124" t="s">
        <v>68</v>
      </c>
      <c r="AB2124">
        <v>4</v>
      </c>
      <c r="AC2124" t="s">
        <v>61</v>
      </c>
      <c r="AJ2124" t="s">
        <v>69</v>
      </c>
      <c r="AY2124" t="s">
        <v>96</v>
      </c>
      <c r="AZ2124">
        <v>6797</v>
      </c>
      <c r="BA2124" t="s">
        <v>97</v>
      </c>
      <c r="BB2124" t="s">
        <v>98</v>
      </c>
      <c r="BC2124">
        <v>1986</v>
      </c>
      <c r="BD2124" t="s">
        <v>90</v>
      </c>
    </row>
    <row r="2125" spans="1:56" x14ac:dyDescent="0.35">
      <c r="A2125">
        <v>1072975</v>
      </c>
      <c r="B2125" t="s">
        <v>1645</v>
      </c>
      <c r="D2125" t="s">
        <v>57</v>
      </c>
      <c r="E2125">
        <v>98.5</v>
      </c>
      <c r="F2125" t="s">
        <v>58</v>
      </c>
      <c r="G2125" t="s">
        <v>59</v>
      </c>
      <c r="H2125" t="s">
        <v>60</v>
      </c>
      <c r="J2125" t="s">
        <v>86</v>
      </c>
      <c r="K2125" t="s">
        <v>61</v>
      </c>
      <c r="L2125" t="s">
        <v>74</v>
      </c>
      <c r="M2125" t="s">
        <v>63</v>
      </c>
      <c r="N2125" t="s">
        <v>64</v>
      </c>
      <c r="P2125" t="s">
        <v>65</v>
      </c>
      <c r="R2125">
        <v>177</v>
      </c>
      <c r="T2125">
        <v>168</v>
      </c>
      <c r="V2125">
        <v>188</v>
      </c>
      <c r="W2125" t="s">
        <v>66</v>
      </c>
      <c r="X2125" t="s">
        <v>67</v>
      </c>
      <c r="Y2125" t="s">
        <v>67</v>
      </c>
      <c r="Z2125" t="s">
        <v>68</v>
      </c>
      <c r="AB2125">
        <v>4</v>
      </c>
      <c r="AC2125" t="s">
        <v>61</v>
      </c>
      <c r="AJ2125" t="s">
        <v>69</v>
      </c>
      <c r="AY2125" t="s">
        <v>263</v>
      </c>
      <c r="AZ2125">
        <v>12858</v>
      </c>
      <c r="BA2125" t="s">
        <v>264</v>
      </c>
      <c r="BB2125" t="s">
        <v>265</v>
      </c>
      <c r="BC2125">
        <v>1986</v>
      </c>
      <c r="BD2125" t="s">
        <v>1035</v>
      </c>
    </row>
    <row r="2126" spans="1:56" x14ac:dyDescent="0.35">
      <c r="A2126">
        <v>1080326</v>
      </c>
      <c r="B2126" t="s">
        <v>1646</v>
      </c>
      <c r="D2126" t="s">
        <v>57</v>
      </c>
      <c r="E2126">
        <v>99</v>
      </c>
      <c r="F2126" t="s">
        <v>58</v>
      </c>
      <c r="G2126" t="s">
        <v>59</v>
      </c>
      <c r="H2126" t="s">
        <v>60</v>
      </c>
      <c r="J2126">
        <v>30</v>
      </c>
      <c r="K2126" t="s">
        <v>61</v>
      </c>
      <c r="L2126" t="s">
        <v>74</v>
      </c>
      <c r="M2126" t="s">
        <v>63</v>
      </c>
      <c r="N2126" t="s">
        <v>64</v>
      </c>
      <c r="P2126" t="s">
        <v>65</v>
      </c>
      <c r="R2126">
        <v>336</v>
      </c>
      <c r="T2126">
        <v>304</v>
      </c>
      <c r="V2126">
        <v>371</v>
      </c>
      <c r="W2126" t="s">
        <v>66</v>
      </c>
      <c r="X2126" t="s">
        <v>67</v>
      </c>
      <c r="Y2126" t="s">
        <v>67</v>
      </c>
      <c r="Z2126" t="s">
        <v>68</v>
      </c>
      <c r="AB2126">
        <v>4</v>
      </c>
      <c r="AC2126" t="s">
        <v>61</v>
      </c>
      <c r="AJ2126" t="s">
        <v>69</v>
      </c>
      <c r="AY2126" t="s">
        <v>80</v>
      </c>
      <c r="AZ2126">
        <v>12859</v>
      </c>
      <c r="BA2126" t="s">
        <v>81</v>
      </c>
      <c r="BB2126" t="s">
        <v>82</v>
      </c>
      <c r="BC2126">
        <v>1988</v>
      </c>
      <c r="BD2126" t="s">
        <v>73</v>
      </c>
    </row>
    <row r="2127" spans="1:56" x14ac:dyDescent="0.35">
      <c r="A2127">
        <v>1111780</v>
      </c>
      <c r="B2127" t="s">
        <v>1647</v>
      </c>
      <c r="D2127" t="s">
        <v>57</v>
      </c>
      <c r="E2127" t="s">
        <v>86</v>
      </c>
      <c r="F2127" t="s">
        <v>58</v>
      </c>
      <c r="G2127" t="s">
        <v>59</v>
      </c>
      <c r="H2127" t="s">
        <v>60</v>
      </c>
      <c r="J2127" t="s">
        <v>86</v>
      </c>
      <c r="L2127" t="s">
        <v>62</v>
      </c>
      <c r="M2127" t="s">
        <v>63</v>
      </c>
      <c r="N2127" t="s">
        <v>64</v>
      </c>
      <c r="O2127" t="s">
        <v>267</v>
      </c>
      <c r="P2127" t="s">
        <v>201</v>
      </c>
      <c r="R2127">
        <v>40.6</v>
      </c>
      <c r="T2127">
        <v>31.4</v>
      </c>
      <c r="V2127">
        <v>54.2</v>
      </c>
      <c r="W2127" t="s">
        <v>66</v>
      </c>
      <c r="X2127" t="s">
        <v>67</v>
      </c>
      <c r="Y2127" t="s">
        <v>67</v>
      </c>
      <c r="Z2127" t="s">
        <v>68</v>
      </c>
      <c r="AB2127">
        <v>4</v>
      </c>
      <c r="AC2127" t="s">
        <v>61</v>
      </c>
      <c r="AJ2127" t="s">
        <v>69</v>
      </c>
      <c r="AY2127" t="s">
        <v>268</v>
      </c>
      <c r="AZ2127">
        <v>2965</v>
      </c>
      <c r="BA2127" t="s">
        <v>269</v>
      </c>
      <c r="BB2127" t="s">
        <v>270</v>
      </c>
      <c r="BC2127">
        <v>1981</v>
      </c>
      <c r="BD2127" t="s">
        <v>90</v>
      </c>
    </row>
    <row r="2128" spans="1:56" x14ac:dyDescent="0.35">
      <c r="A2128">
        <v>1112385</v>
      </c>
      <c r="B2128" t="s">
        <v>1648</v>
      </c>
      <c r="D2128" t="s">
        <v>85</v>
      </c>
      <c r="E2128" t="s">
        <v>86</v>
      </c>
      <c r="F2128" t="s">
        <v>58</v>
      </c>
      <c r="G2128" t="s">
        <v>59</v>
      </c>
      <c r="H2128" t="s">
        <v>60</v>
      </c>
      <c r="J2128" t="s">
        <v>86</v>
      </c>
      <c r="L2128" t="s">
        <v>62</v>
      </c>
      <c r="M2128" t="s">
        <v>63</v>
      </c>
      <c r="N2128" t="s">
        <v>64</v>
      </c>
      <c r="P2128" t="s">
        <v>100</v>
      </c>
      <c r="R2128">
        <v>42.5</v>
      </c>
      <c r="W2128" t="s">
        <v>66</v>
      </c>
      <c r="X2128" t="s">
        <v>67</v>
      </c>
      <c r="Y2128" t="s">
        <v>67</v>
      </c>
      <c r="Z2128" t="s">
        <v>68</v>
      </c>
      <c r="AB2128">
        <v>4</v>
      </c>
      <c r="AC2128" t="s">
        <v>61</v>
      </c>
      <c r="AJ2128" t="s">
        <v>69</v>
      </c>
      <c r="AY2128" t="s">
        <v>412</v>
      </c>
      <c r="AZ2128">
        <v>901</v>
      </c>
      <c r="BA2128" t="s">
        <v>413</v>
      </c>
      <c r="BB2128" t="s">
        <v>414</v>
      </c>
      <c r="BC2128">
        <v>1969</v>
      </c>
      <c r="BD2128" t="s">
        <v>90</v>
      </c>
    </row>
    <row r="2129" spans="1:56" x14ac:dyDescent="0.35">
      <c r="A2129">
        <v>1122549</v>
      </c>
      <c r="B2129" t="s">
        <v>1649</v>
      </c>
      <c r="D2129" t="s">
        <v>57</v>
      </c>
      <c r="E2129">
        <v>97</v>
      </c>
      <c r="F2129" t="s">
        <v>58</v>
      </c>
      <c r="G2129" t="s">
        <v>59</v>
      </c>
      <c r="H2129" t="s">
        <v>60</v>
      </c>
      <c r="J2129">
        <v>30</v>
      </c>
      <c r="K2129" t="s">
        <v>61</v>
      </c>
      <c r="L2129" t="s">
        <v>74</v>
      </c>
      <c r="M2129" t="s">
        <v>63</v>
      </c>
      <c r="N2129" t="s">
        <v>64</v>
      </c>
      <c r="P2129" t="s">
        <v>65</v>
      </c>
      <c r="R2129">
        <v>168</v>
      </c>
      <c r="T2129">
        <v>156</v>
      </c>
      <c r="V2129">
        <v>180</v>
      </c>
      <c r="W2129" t="s">
        <v>66</v>
      </c>
      <c r="X2129" t="s">
        <v>67</v>
      </c>
      <c r="Y2129" t="s">
        <v>67</v>
      </c>
      <c r="Z2129" t="s">
        <v>68</v>
      </c>
      <c r="AB2129">
        <v>4</v>
      </c>
      <c r="AC2129" t="s">
        <v>61</v>
      </c>
      <c r="AJ2129" t="s">
        <v>69</v>
      </c>
      <c r="AY2129" t="s">
        <v>263</v>
      </c>
      <c r="AZ2129">
        <v>12858</v>
      </c>
      <c r="BA2129" t="s">
        <v>264</v>
      </c>
      <c r="BB2129" t="s">
        <v>265</v>
      </c>
      <c r="BC2129">
        <v>1986</v>
      </c>
      <c r="BD2129" t="s">
        <v>73</v>
      </c>
    </row>
    <row r="2130" spans="1:56" x14ac:dyDescent="0.35">
      <c r="A2130">
        <v>1122549</v>
      </c>
      <c r="B2130" t="s">
        <v>1649</v>
      </c>
      <c r="D2130" t="s">
        <v>57</v>
      </c>
      <c r="E2130" t="s">
        <v>128</v>
      </c>
      <c r="F2130" t="s">
        <v>58</v>
      </c>
      <c r="G2130" t="s">
        <v>59</v>
      </c>
      <c r="H2130" t="s">
        <v>60</v>
      </c>
      <c r="I2130" t="s">
        <v>129</v>
      </c>
      <c r="J2130" t="s">
        <v>86</v>
      </c>
      <c r="K2130" t="s">
        <v>61</v>
      </c>
      <c r="L2130" t="s">
        <v>74</v>
      </c>
      <c r="M2130" t="s">
        <v>63</v>
      </c>
      <c r="N2130" t="s">
        <v>64</v>
      </c>
      <c r="P2130" t="s">
        <v>65</v>
      </c>
      <c r="R2130">
        <v>168</v>
      </c>
      <c r="W2130" t="s">
        <v>66</v>
      </c>
      <c r="X2130" t="s">
        <v>67</v>
      </c>
      <c r="Y2130" t="s">
        <v>67</v>
      </c>
      <c r="Z2130" t="s">
        <v>68</v>
      </c>
      <c r="AB2130">
        <v>4</v>
      </c>
      <c r="AC2130" t="s">
        <v>61</v>
      </c>
      <c r="AJ2130" t="s">
        <v>69</v>
      </c>
      <c r="AY2130" t="s">
        <v>134</v>
      </c>
      <c r="AZ2130">
        <v>15031</v>
      </c>
      <c r="BA2130" t="s">
        <v>135</v>
      </c>
      <c r="BB2130" t="s">
        <v>136</v>
      </c>
      <c r="BC2130">
        <v>1995</v>
      </c>
      <c r="BD2130" t="s">
        <v>133</v>
      </c>
    </row>
    <row r="2131" spans="1:56" x14ac:dyDescent="0.35">
      <c r="A2131">
        <v>1126461</v>
      </c>
      <c r="B2131" t="s">
        <v>1650</v>
      </c>
      <c r="D2131" t="s">
        <v>57</v>
      </c>
      <c r="E2131" t="s">
        <v>128</v>
      </c>
      <c r="F2131" t="s">
        <v>58</v>
      </c>
      <c r="G2131" t="s">
        <v>59</v>
      </c>
      <c r="H2131" t="s">
        <v>60</v>
      </c>
      <c r="I2131" t="s">
        <v>129</v>
      </c>
      <c r="J2131" t="s">
        <v>86</v>
      </c>
      <c r="K2131" t="s">
        <v>61</v>
      </c>
      <c r="L2131" t="s">
        <v>74</v>
      </c>
      <c r="M2131" t="s">
        <v>63</v>
      </c>
      <c r="N2131" t="s">
        <v>64</v>
      </c>
      <c r="P2131" t="s">
        <v>65</v>
      </c>
      <c r="R2131">
        <v>13</v>
      </c>
      <c r="W2131" t="s">
        <v>66</v>
      </c>
      <c r="X2131" t="s">
        <v>67</v>
      </c>
      <c r="Y2131" t="s">
        <v>67</v>
      </c>
      <c r="Z2131" t="s">
        <v>68</v>
      </c>
      <c r="AB2131">
        <v>4</v>
      </c>
      <c r="AC2131" t="s">
        <v>61</v>
      </c>
      <c r="AJ2131" t="s">
        <v>69</v>
      </c>
      <c r="AY2131" t="s">
        <v>134</v>
      </c>
      <c r="AZ2131">
        <v>15031</v>
      </c>
      <c r="BA2131" t="s">
        <v>135</v>
      </c>
      <c r="BB2131" t="s">
        <v>136</v>
      </c>
      <c r="BC2131">
        <v>1995</v>
      </c>
      <c r="BD2131" t="s">
        <v>133</v>
      </c>
    </row>
    <row r="2132" spans="1:56" x14ac:dyDescent="0.35">
      <c r="A2132">
        <v>1126461</v>
      </c>
      <c r="B2132" t="s">
        <v>1650</v>
      </c>
      <c r="D2132" t="s">
        <v>57</v>
      </c>
      <c r="E2132">
        <v>99</v>
      </c>
      <c r="F2132" t="s">
        <v>58</v>
      </c>
      <c r="G2132" t="s">
        <v>59</v>
      </c>
      <c r="H2132" t="s">
        <v>60</v>
      </c>
      <c r="J2132">
        <v>33</v>
      </c>
      <c r="K2132" t="s">
        <v>61</v>
      </c>
      <c r="L2132" t="s">
        <v>74</v>
      </c>
      <c r="M2132" t="s">
        <v>63</v>
      </c>
      <c r="N2132" t="s">
        <v>64</v>
      </c>
      <c r="O2132">
        <v>6</v>
      </c>
      <c r="P2132" t="s">
        <v>65</v>
      </c>
      <c r="R2132">
        <v>11</v>
      </c>
      <c r="T2132">
        <v>9.82</v>
      </c>
      <c r="V2132">
        <v>12.4</v>
      </c>
      <c r="W2132" t="s">
        <v>66</v>
      </c>
      <c r="X2132" t="s">
        <v>67</v>
      </c>
      <c r="Y2132" t="s">
        <v>67</v>
      </c>
      <c r="Z2132" t="s">
        <v>68</v>
      </c>
      <c r="AB2132">
        <v>4</v>
      </c>
      <c r="AC2132" t="s">
        <v>61</v>
      </c>
      <c r="AJ2132" t="s">
        <v>69</v>
      </c>
      <c r="AY2132" t="s">
        <v>141</v>
      </c>
      <c r="AZ2132">
        <v>12447</v>
      </c>
      <c r="BA2132" t="s">
        <v>142</v>
      </c>
      <c r="BB2132" t="s">
        <v>143</v>
      </c>
      <c r="BC2132">
        <v>1985</v>
      </c>
      <c r="BD2132" t="s">
        <v>73</v>
      </c>
    </row>
    <row r="2133" spans="1:56" x14ac:dyDescent="0.35">
      <c r="A2133">
        <v>1126461</v>
      </c>
      <c r="B2133" t="s">
        <v>1650</v>
      </c>
      <c r="D2133" t="s">
        <v>57</v>
      </c>
      <c r="E2133">
        <v>99</v>
      </c>
      <c r="F2133" t="s">
        <v>58</v>
      </c>
      <c r="G2133" t="s">
        <v>59</v>
      </c>
      <c r="H2133" t="s">
        <v>60</v>
      </c>
      <c r="J2133" t="s">
        <v>86</v>
      </c>
      <c r="K2133" t="s">
        <v>61</v>
      </c>
      <c r="L2133" t="s">
        <v>74</v>
      </c>
      <c r="M2133" t="s">
        <v>63</v>
      </c>
      <c r="N2133" t="s">
        <v>64</v>
      </c>
      <c r="P2133" t="s">
        <v>65</v>
      </c>
      <c r="R2133">
        <v>10.9</v>
      </c>
      <c r="T2133">
        <v>9.68</v>
      </c>
      <c r="V2133">
        <v>12.2</v>
      </c>
      <c r="W2133" t="s">
        <v>66</v>
      </c>
      <c r="X2133" t="s">
        <v>67</v>
      </c>
      <c r="Y2133" t="s">
        <v>67</v>
      </c>
      <c r="Z2133" t="s">
        <v>68</v>
      </c>
      <c r="AB2133">
        <v>4</v>
      </c>
      <c r="AC2133" t="s">
        <v>61</v>
      </c>
      <c r="AJ2133" t="s">
        <v>69</v>
      </c>
      <c r="AY2133" t="s">
        <v>258</v>
      </c>
      <c r="AZ2133">
        <v>10954</v>
      </c>
      <c r="BA2133" t="s">
        <v>259</v>
      </c>
      <c r="BB2133" t="s">
        <v>260</v>
      </c>
      <c r="BC2133">
        <v>1984</v>
      </c>
      <c r="BD2133" t="s">
        <v>261</v>
      </c>
    </row>
    <row r="2134" spans="1:56" x14ac:dyDescent="0.35">
      <c r="A2134">
        <v>1126790</v>
      </c>
      <c r="B2134" t="s">
        <v>1651</v>
      </c>
      <c r="D2134" t="s">
        <v>57</v>
      </c>
      <c r="E2134" t="s">
        <v>79</v>
      </c>
      <c r="F2134" t="s">
        <v>58</v>
      </c>
      <c r="G2134" t="s">
        <v>59</v>
      </c>
      <c r="H2134" t="s">
        <v>60</v>
      </c>
      <c r="I2134" t="s">
        <v>129</v>
      </c>
      <c r="J2134" t="s">
        <v>86</v>
      </c>
      <c r="K2134" t="s">
        <v>61</v>
      </c>
      <c r="L2134" t="s">
        <v>74</v>
      </c>
      <c r="M2134" t="s">
        <v>63</v>
      </c>
      <c r="N2134" t="s">
        <v>64</v>
      </c>
      <c r="P2134" t="s">
        <v>65</v>
      </c>
      <c r="R2134">
        <v>5.77</v>
      </c>
      <c r="T2134">
        <v>5.2</v>
      </c>
      <c r="V2134">
        <v>6.41</v>
      </c>
      <c r="W2134" t="s">
        <v>66</v>
      </c>
      <c r="X2134" t="s">
        <v>67</v>
      </c>
      <c r="Y2134" t="s">
        <v>290</v>
      </c>
      <c r="Z2134" t="s">
        <v>68</v>
      </c>
      <c r="AB2134">
        <v>4</v>
      </c>
      <c r="AC2134" t="s">
        <v>61</v>
      </c>
      <c r="AJ2134" t="s">
        <v>69</v>
      </c>
      <c r="AY2134" t="s">
        <v>291</v>
      </c>
      <c r="AZ2134">
        <v>3910</v>
      </c>
      <c r="BA2134" t="s">
        <v>292</v>
      </c>
      <c r="BB2134" t="s">
        <v>293</v>
      </c>
      <c r="BC2134">
        <v>1992</v>
      </c>
      <c r="BD2134" t="s">
        <v>294</v>
      </c>
    </row>
    <row r="2135" spans="1:56" x14ac:dyDescent="0.35">
      <c r="A2135">
        <v>1126790</v>
      </c>
      <c r="B2135" t="s">
        <v>1651</v>
      </c>
      <c r="D2135" t="s">
        <v>57</v>
      </c>
      <c r="E2135" t="s">
        <v>79</v>
      </c>
      <c r="F2135" t="s">
        <v>58</v>
      </c>
      <c r="G2135" t="s">
        <v>59</v>
      </c>
      <c r="H2135" t="s">
        <v>60</v>
      </c>
      <c r="I2135" t="s">
        <v>188</v>
      </c>
      <c r="J2135" t="s">
        <v>289</v>
      </c>
      <c r="K2135" t="s">
        <v>184</v>
      </c>
      <c r="L2135" t="s">
        <v>74</v>
      </c>
      <c r="M2135" t="s">
        <v>63</v>
      </c>
      <c r="N2135" t="s">
        <v>64</v>
      </c>
      <c r="P2135" t="s">
        <v>65</v>
      </c>
      <c r="Q2135" t="s">
        <v>153</v>
      </c>
      <c r="R2135">
        <v>5.88</v>
      </c>
      <c r="W2135" t="s">
        <v>66</v>
      </c>
      <c r="X2135" t="s">
        <v>67</v>
      </c>
      <c r="Y2135" t="s">
        <v>290</v>
      </c>
      <c r="Z2135" t="s">
        <v>68</v>
      </c>
      <c r="AB2135">
        <v>4</v>
      </c>
      <c r="AC2135" t="s">
        <v>61</v>
      </c>
      <c r="AJ2135" t="s">
        <v>69</v>
      </c>
      <c r="AY2135" t="s">
        <v>291</v>
      </c>
      <c r="AZ2135">
        <v>3910</v>
      </c>
      <c r="BA2135" t="s">
        <v>292</v>
      </c>
      <c r="BB2135" t="s">
        <v>293</v>
      </c>
      <c r="BC2135">
        <v>1992</v>
      </c>
      <c r="BD2135" t="s">
        <v>185</v>
      </c>
    </row>
    <row r="2136" spans="1:56" x14ac:dyDescent="0.35">
      <c r="A2136">
        <v>1126790</v>
      </c>
      <c r="B2136" t="s">
        <v>1651</v>
      </c>
      <c r="D2136" t="s">
        <v>57</v>
      </c>
      <c r="E2136">
        <v>99</v>
      </c>
      <c r="F2136" t="s">
        <v>58</v>
      </c>
      <c r="G2136" t="s">
        <v>59</v>
      </c>
      <c r="H2136" t="s">
        <v>60</v>
      </c>
      <c r="J2136">
        <v>30</v>
      </c>
      <c r="K2136" t="s">
        <v>61</v>
      </c>
      <c r="L2136" t="s">
        <v>74</v>
      </c>
      <c r="M2136" t="s">
        <v>63</v>
      </c>
      <c r="N2136" t="s">
        <v>64</v>
      </c>
      <c r="P2136" t="s">
        <v>65</v>
      </c>
      <c r="R2136">
        <v>5.77</v>
      </c>
      <c r="T2136">
        <v>5.2</v>
      </c>
      <c r="V2136">
        <v>6.41</v>
      </c>
      <c r="W2136" t="s">
        <v>66</v>
      </c>
      <c r="X2136" t="s">
        <v>67</v>
      </c>
      <c r="Y2136" t="s">
        <v>67</v>
      </c>
      <c r="Z2136" t="s">
        <v>68</v>
      </c>
      <c r="AB2136">
        <v>4</v>
      </c>
      <c r="AC2136" t="s">
        <v>61</v>
      </c>
      <c r="AJ2136" t="s">
        <v>69</v>
      </c>
      <c r="AY2136" t="s">
        <v>75</v>
      </c>
      <c r="AZ2136">
        <v>3217</v>
      </c>
      <c r="BA2136" t="s">
        <v>76</v>
      </c>
      <c r="BB2136" t="s">
        <v>77</v>
      </c>
      <c r="BC2136">
        <v>1990</v>
      </c>
      <c r="BD2136" t="s">
        <v>73</v>
      </c>
    </row>
    <row r="2137" spans="1:56" x14ac:dyDescent="0.35">
      <c r="A2137">
        <v>1129357</v>
      </c>
      <c r="B2137" t="s">
        <v>1652</v>
      </c>
      <c r="D2137" t="s">
        <v>57</v>
      </c>
      <c r="E2137">
        <v>99</v>
      </c>
      <c r="F2137" t="s">
        <v>58</v>
      </c>
      <c r="G2137" t="s">
        <v>59</v>
      </c>
      <c r="H2137" t="s">
        <v>60</v>
      </c>
      <c r="J2137">
        <v>26</v>
      </c>
      <c r="K2137" t="s">
        <v>61</v>
      </c>
      <c r="L2137" t="s">
        <v>74</v>
      </c>
      <c r="M2137" t="s">
        <v>63</v>
      </c>
      <c r="N2137" t="s">
        <v>64</v>
      </c>
      <c r="P2137" t="s">
        <v>65</v>
      </c>
      <c r="R2137">
        <v>46.8</v>
      </c>
      <c r="T2137">
        <v>41.2</v>
      </c>
      <c r="V2137">
        <v>53.2</v>
      </c>
      <c r="W2137" t="s">
        <v>66</v>
      </c>
      <c r="X2137" t="s">
        <v>67</v>
      </c>
      <c r="Y2137" t="s">
        <v>67</v>
      </c>
      <c r="Z2137" t="s">
        <v>68</v>
      </c>
      <c r="AB2137">
        <v>4</v>
      </c>
      <c r="AC2137" t="s">
        <v>61</v>
      </c>
      <c r="AJ2137" t="s">
        <v>69</v>
      </c>
      <c r="AY2137" t="s">
        <v>286</v>
      </c>
      <c r="AZ2137">
        <v>12448</v>
      </c>
      <c r="BA2137" t="s">
        <v>287</v>
      </c>
      <c r="BB2137" t="s">
        <v>288</v>
      </c>
      <c r="BC2137">
        <v>1984</v>
      </c>
      <c r="BD2137" t="s">
        <v>73</v>
      </c>
    </row>
    <row r="2138" spans="1:56" x14ac:dyDescent="0.35">
      <c r="A2138">
        <v>1184572</v>
      </c>
      <c r="B2138" t="s">
        <v>1653</v>
      </c>
      <c r="D2138" t="s">
        <v>85</v>
      </c>
      <c r="E2138" t="s">
        <v>86</v>
      </c>
      <c r="F2138" t="s">
        <v>58</v>
      </c>
      <c r="G2138" t="s">
        <v>59</v>
      </c>
      <c r="H2138" t="s">
        <v>60</v>
      </c>
      <c r="I2138" t="s">
        <v>1029</v>
      </c>
      <c r="J2138" t="s">
        <v>86</v>
      </c>
      <c r="L2138" t="s">
        <v>74</v>
      </c>
      <c r="M2138" t="s">
        <v>63</v>
      </c>
      <c r="N2138" t="s">
        <v>64</v>
      </c>
      <c r="O2138">
        <v>6</v>
      </c>
      <c r="P2138" t="s">
        <v>201</v>
      </c>
      <c r="R2138">
        <v>3.9E-2</v>
      </c>
      <c r="T2138">
        <v>2.4E-2</v>
      </c>
      <c r="V2138">
        <v>5.3999999999999999E-2</v>
      </c>
      <c r="W2138" t="s">
        <v>66</v>
      </c>
      <c r="X2138" t="s">
        <v>67</v>
      </c>
      <c r="Y2138" t="s">
        <v>67</v>
      </c>
      <c r="Z2138" t="s">
        <v>68</v>
      </c>
      <c r="AB2138">
        <v>4</v>
      </c>
      <c r="AC2138" t="s">
        <v>61</v>
      </c>
      <c r="AJ2138" t="s">
        <v>69</v>
      </c>
      <c r="AY2138" t="s">
        <v>1024</v>
      </c>
      <c r="AZ2138">
        <v>97384</v>
      </c>
      <c r="BA2138" t="s">
        <v>1654</v>
      </c>
      <c r="BB2138" t="s">
        <v>1655</v>
      </c>
      <c r="BC2138">
        <v>2006</v>
      </c>
      <c r="BD2138" t="s">
        <v>90</v>
      </c>
    </row>
    <row r="2139" spans="1:56" x14ac:dyDescent="0.35">
      <c r="A2139">
        <v>1192525</v>
      </c>
      <c r="B2139" t="s">
        <v>1656</v>
      </c>
      <c r="E2139">
        <v>5</v>
      </c>
      <c r="F2139" t="s">
        <v>58</v>
      </c>
      <c r="G2139" t="s">
        <v>59</v>
      </c>
      <c r="H2139" t="s">
        <v>60</v>
      </c>
      <c r="J2139" t="s">
        <v>86</v>
      </c>
      <c r="L2139" t="s">
        <v>62</v>
      </c>
      <c r="M2139" t="s">
        <v>63</v>
      </c>
      <c r="N2139" t="s">
        <v>64</v>
      </c>
      <c r="P2139" t="s">
        <v>100</v>
      </c>
      <c r="R2139">
        <v>9.1999999999999993</v>
      </c>
      <c r="W2139" t="s">
        <v>66</v>
      </c>
      <c r="X2139" t="s">
        <v>67</v>
      </c>
      <c r="Y2139" t="s">
        <v>67</v>
      </c>
      <c r="Z2139" t="s">
        <v>68</v>
      </c>
      <c r="AB2139">
        <v>4</v>
      </c>
      <c r="AC2139" t="s">
        <v>61</v>
      </c>
      <c r="AJ2139" t="s">
        <v>69</v>
      </c>
      <c r="AY2139" t="s">
        <v>116</v>
      </c>
      <c r="AZ2139">
        <v>344</v>
      </c>
      <c r="BA2139" t="s">
        <v>117</v>
      </c>
      <c r="BB2139" t="s">
        <v>118</v>
      </c>
      <c r="BC2139">
        <v>1992</v>
      </c>
      <c r="BD2139" t="s">
        <v>90</v>
      </c>
    </row>
    <row r="2140" spans="1:56" x14ac:dyDescent="0.35">
      <c r="A2140">
        <v>1194656</v>
      </c>
      <c r="B2140" t="s">
        <v>1657</v>
      </c>
      <c r="E2140">
        <v>98.9</v>
      </c>
      <c r="F2140" t="s">
        <v>58</v>
      </c>
      <c r="G2140" t="s">
        <v>59</v>
      </c>
      <c r="H2140" t="s">
        <v>60</v>
      </c>
      <c r="J2140" t="s">
        <v>86</v>
      </c>
      <c r="L2140" t="s">
        <v>62</v>
      </c>
      <c r="M2140" t="s">
        <v>63</v>
      </c>
      <c r="N2140" t="s">
        <v>64</v>
      </c>
      <c r="P2140" t="s">
        <v>65</v>
      </c>
      <c r="R2140">
        <v>7.12</v>
      </c>
      <c r="T2140">
        <v>5.3</v>
      </c>
      <c r="V2140">
        <v>9.56</v>
      </c>
      <c r="W2140" t="s">
        <v>66</v>
      </c>
      <c r="X2140" t="s">
        <v>67</v>
      </c>
      <c r="Y2140" t="s">
        <v>67</v>
      </c>
      <c r="Z2140" t="s">
        <v>68</v>
      </c>
      <c r="AB2140">
        <v>4</v>
      </c>
      <c r="AC2140" t="s">
        <v>61</v>
      </c>
      <c r="AJ2140" t="s">
        <v>69</v>
      </c>
      <c r="AY2140" t="s">
        <v>96</v>
      </c>
      <c r="AZ2140">
        <v>6797</v>
      </c>
      <c r="BA2140" t="s">
        <v>97</v>
      </c>
      <c r="BB2140" t="s">
        <v>98</v>
      </c>
      <c r="BC2140">
        <v>1986</v>
      </c>
      <c r="BD2140" t="s">
        <v>90</v>
      </c>
    </row>
    <row r="2141" spans="1:56" x14ac:dyDescent="0.35">
      <c r="A2141">
        <v>1194656</v>
      </c>
      <c r="B2141" t="s">
        <v>1657</v>
      </c>
      <c r="E2141">
        <v>98.9</v>
      </c>
      <c r="F2141" t="s">
        <v>58</v>
      </c>
      <c r="G2141" t="s">
        <v>59</v>
      </c>
      <c r="H2141" t="s">
        <v>60</v>
      </c>
      <c r="J2141" t="s">
        <v>86</v>
      </c>
      <c r="L2141" t="s">
        <v>62</v>
      </c>
      <c r="M2141" t="s">
        <v>63</v>
      </c>
      <c r="N2141" t="s">
        <v>64</v>
      </c>
      <c r="P2141" t="s">
        <v>65</v>
      </c>
      <c r="R2141">
        <v>6</v>
      </c>
      <c r="T2141">
        <v>3.98</v>
      </c>
      <c r="V2141">
        <v>9.07</v>
      </c>
      <c r="W2141" t="s">
        <v>66</v>
      </c>
      <c r="X2141" t="s">
        <v>67</v>
      </c>
      <c r="Y2141" t="s">
        <v>67</v>
      </c>
      <c r="Z2141" t="s">
        <v>68</v>
      </c>
      <c r="AB2141">
        <v>4</v>
      </c>
      <c r="AC2141" t="s">
        <v>61</v>
      </c>
      <c r="AJ2141" t="s">
        <v>69</v>
      </c>
      <c r="AY2141" t="s">
        <v>96</v>
      </c>
      <c r="AZ2141">
        <v>6797</v>
      </c>
      <c r="BA2141" t="s">
        <v>97</v>
      </c>
      <c r="BB2141" t="s">
        <v>98</v>
      </c>
      <c r="BC2141">
        <v>1986</v>
      </c>
      <c r="BD2141" t="s">
        <v>90</v>
      </c>
    </row>
    <row r="2142" spans="1:56" x14ac:dyDescent="0.35">
      <c r="A2142">
        <v>1198556</v>
      </c>
      <c r="B2142" t="s">
        <v>1658</v>
      </c>
      <c r="D2142" t="s">
        <v>57</v>
      </c>
      <c r="E2142" t="s">
        <v>86</v>
      </c>
      <c r="F2142" t="s">
        <v>58</v>
      </c>
      <c r="G2142" t="s">
        <v>59</v>
      </c>
      <c r="H2142" t="s">
        <v>60</v>
      </c>
      <c r="J2142">
        <v>31</v>
      </c>
      <c r="K2142" t="s">
        <v>61</v>
      </c>
      <c r="L2142" t="s">
        <v>74</v>
      </c>
      <c r="M2142" t="s">
        <v>63</v>
      </c>
      <c r="N2142" t="s">
        <v>64</v>
      </c>
      <c r="P2142" t="s">
        <v>65</v>
      </c>
      <c r="R2142">
        <v>1.27</v>
      </c>
      <c r="T2142">
        <v>1.1399999999999999</v>
      </c>
      <c r="V2142">
        <v>1.41</v>
      </c>
      <c r="W2142" t="s">
        <v>66</v>
      </c>
      <c r="X2142" t="s">
        <v>67</v>
      </c>
      <c r="Y2142" t="s">
        <v>67</v>
      </c>
      <c r="Z2142" t="s">
        <v>68</v>
      </c>
      <c r="AB2142">
        <v>4</v>
      </c>
      <c r="AC2142" t="s">
        <v>61</v>
      </c>
      <c r="AJ2142" t="s">
        <v>69</v>
      </c>
      <c r="AY2142" t="s">
        <v>141</v>
      </c>
      <c r="AZ2142">
        <v>12447</v>
      </c>
      <c r="BA2142" t="s">
        <v>142</v>
      </c>
      <c r="BB2142" t="s">
        <v>143</v>
      </c>
      <c r="BC2142">
        <v>1985</v>
      </c>
      <c r="BD2142" t="s">
        <v>73</v>
      </c>
    </row>
    <row r="2143" spans="1:56" x14ac:dyDescent="0.35">
      <c r="A2143">
        <v>1204213</v>
      </c>
      <c r="B2143" t="s">
        <v>1659</v>
      </c>
      <c r="D2143" t="s">
        <v>57</v>
      </c>
      <c r="E2143" t="s">
        <v>86</v>
      </c>
      <c r="F2143" t="s">
        <v>58</v>
      </c>
      <c r="G2143" t="s">
        <v>59</v>
      </c>
      <c r="H2143" t="s">
        <v>60</v>
      </c>
      <c r="J2143" t="s">
        <v>86</v>
      </c>
      <c r="L2143" t="s">
        <v>74</v>
      </c>
      <c r="M2143" t="s">
        <v>63</v>
      </c>
      <c r="N2143" t="s">
        <v>64</v>
      </c>
      <c r="P2143" t="s">
        <v>65</v>
      </c>
      <c r="R2143">
        <v>5.2999999999999999E-2</v>
      </c>
      <c r="T2143">
        <v>4.8000000000000001E-2</v>
      </c>
      <c r="V2143">
        <v>5.8000000000000003E-2</v>
      </c>
      <c r="W2143" t="s">
        <v>66</v>
      </c>
      <c r="X2143" t="s">
        <v>67</v>
      </c>
      <c r="Y2143" t="s">
        <v>67</v>
      </c>
      <c r="Z2143" t="s">
        <v>68</v>
      </c>
      <c r="AB2143">
        <v>4</v>
      </c>
      <c r="AC2143" t="s">
        <v>61</v>
      </c>
      <c r="AJ2143" t="s">
        <v>69</v>
      </c>
      <c r="AY2143" t="s">
        <v>325</v>
      </c>
      <c r="AZ2143">
        <v>10775</v>
      </c>
      <c r="BA2143" t="s">
        <v>326</v>
      </c>
      <c r="BB2143" t="s">
        <v>327</v>
      </c>
      <c r="BC2143">
        <v>1985</v>
      </c>
      <c r="BD2143" t="s">
        <v>90</v>
      </c>
    </row>
    <row r="2144" spans="1:56" x14ac:dyDescent="0.35">
      <c r="A2144">
        <v>1204213</v>
      </c>
      <c r="B2144" t="s">
        <v>1659</v>
      </c>
      <c r="D2144" t="s">
        <v>57</v>
      </c>
      <c r="E2144">
        <v>97</v>
      </c>
      <c r="F2144" t="s">
        <v>58</v>
      </c>
      <c r="G2144" t="s">
        <v>59</v>
      </c>
      <c r="H2144" t="s">
        <v>60</v>
      </c>
      <c r="J2144">
        <v>44</v>
      </c>
      <c r="K2144" t="s">
        <v>61</v>
      </c>
      <c r="L2144" t="s">
        <v>74</v>
      </c>
      <c r="M2144" t="s">
        <v>63</v>
      </c>
      <c r="N2144" t="s">
        <v>64</v>
      </c>
      <c r="P2144" t="s">
        <v>65</v>
      </c>
      <c r="R2144">
        <v>5.2999999999999999E-2</v>
      </c>
      <c r="T2144">
        <v>4.8000000000000001E-2</v>
      </c>
      <c r="V2144">
        <v>5.8000000000000003E-2</v>
      </c>
      <c r="W2144" t="s">
        <v>66</v>
      </c>
      <c r="X2144" t="s">
        <v>67</v>
      </c>
      <c r="Y2144" t="s">
        <v>67</v>
      </c>
      <c r="Z2144" t="s">
        <v>68</v>
      </c>
      <c r="AB2144">
        <v>4</v>
      </c>
      <c r="AC2144" t="s">
        <v>61</v>
      </c>
      <c r="AJ2144" t="s">
        <v>69</v>
      </c>
      <c r="AY2144" t="s">
        <v>141</v>
      </c>
      <c r="AZ2144">
        <v>12447</v>
      </c>
      <c r="BA2144" t="s">
        <v>142</v>
      </c>
      <c r="BB2144" t="s">
        <v>143</v>
      </c>
      <c r="BC2144">
        <v>1985</v>
      </c>
      <c r="BD2144" t="s">
        <v>73</v>
      </c>
    </row>
    <row r="2145" spans="1:56" x14ac:dyDescent="0.35">
      <c r="A2145">
        <v>1204213</v>
      </c>
      <c r="B2145" t="s">
        <v>1659</v>
      </c>
      <c r="D2145" t="s">
        <v>57</v>
      </c>
      <c r="E2145">
        <v>97</v>
      </c>
      <c r="F2145" t="s">
        <v>58</v>
      </c>
      <c r="G2145" t="s">
        <v>59</v>
      </c>
      <c r="H2145" t="s">
        <v>60</v>
      </c>
      <c r="J2145">
        <v>28</v>
      </c>
      <c r="K2145" t="s">
        <v>61</v>
      </c>
      <c r="L2145" t="s">
        <v>74</v>
      </c>
      <c r="M2145" t="s">
        <v>63</v>
      </c>
      <c r="N2145" t="s">
        <v>64</v>
      </c>
      <c r="P2145" t="s">
        <v>65</v>
      </c>
      <c r="R2145">
        <v>6.4000000000000001E-2</v>
      </c>
      <c r="W2145" t="s">
        <v>66</v>
      </c>
      <c r="X2145" t="s">
        <v>67</v>
      </c>
      <c r="Y2145" t="s">
        <v>67</v>
      </c>
      <c r="Z2145" t="s">
        <v>68</v>
      </c>
      <c r="AB2145">
        <v>4</v>
      </c>
      <c r="AC2145" t="s">
        <v>61</v>
      </c>
      <c r="AJ2145" t="s">
        <v>69</v>
      </c>
      <c r="AY2145" t="s">
        <v>80</v>
      </c>
      <c r="AZ2145">
        <v>12859</v>
      </c>
      <c r="BA2145" t="s">
        <v>81</v>
      </c>
      <c r="BB2145" t="s">
        <v>82</v>
      </c>
      <c r="BC2145">
        <v>1988</v>
      </c>
      <c r="BD2145" t="s">
        <v>73</v>
      </c>
    </row>
    <row r="2146" spans="1:56" x14ac:dyDescent="0.35">
      <c r="A2146">
        <v>1204213</v>
      </c>
      <c r="B2146" t="s">
        <v>1659</v>
      </c>
      <c r="D2146" t="s">
        <v>57</v>
      </c>
      <c r="E2146">
        <v>97</v>
      </c>
      <c r="F2146" t="s">
        <v>58</v>
      </c>
      <c r="G2146" t="s">
        <v>59</v>
      </c>
      <c r="H2146" t="s">
        <v>60</v>
      </c>
      <c r="J2146">
        <v>30</v>
      </c>
      <c r="K2146" t="s">
        <v>61</v>
      </c>
      <c r="L2146" t="s">
        <v>74</v>
      </c>
      <c r="M2146" t="s">
        <v>63</v>
      </c>
      <c r="N2146" t="s">
        <v>64</v>
      </c>
      <c r="P2146" t="s">
        <v>65</v>
      </c>
      <c r="R2146">
        <v>8.6999999999999994E-2</v>
      </c>
      <c r="W2146" t="s">
        <v>66</v>
      </c>
      <c r="X2146" t="s">
        <v>67</v>
      </c>
      <c r="Y2146" t="s">
        <v>67</v>
      </c>
      <c r="Z2146" t="s">
        <v>68</v>
      </c>
      <c r="AB2146">
        <v>4</v>
      </c>
      <c r="AC2146" t="s">
        <v>61</v>
      </c>
      <c r="AJ2146" t="s">
        <v>69</v>
      </c>
      <c r="AY2146" t="s">
        <v>286</v>
      </c>
      <c r="AZ2146">
        <v>12448</v>
      </c>
      <c r="BA2146" t="s">
        <v>287</v>
      </c>
      <c r="BB2146" t="s">
        <v>288</v>
      </c>
      <c r="BC2146">
        <v>1984</v>
      </c>
      <c r="BD2146" t="s">
        <v>73</v>
      </c>
    </row>
    <row r="2147" spans="1:56" x14ac:dyDescent="0.35">
      <c r="A2147">
        <v>1303282</v>
      </c>
      <c r="B2147" t="s">
        <v>1660</v>
      </c>
      <c r="D2147" t="s">
        <v>85</v>
      </c>
      <c r="E2147" t="s">
        <v>86</v>
      </c>
      <c r="F2147" t="s">
        <v>58</v>
      </c>
      <c r="G2147" t="s">
        <v>59</v>
      </c>
      <c r="H2147" t="s">
        <v>60</v>
      </c>
      <c r="J2147">
        <v>32</v>
      </c>
      <c r="K2147" t="s">
        <v>61</v>
      </c>
      <c r="L2147" t="s">
        <v>74</v>
      </c>
      <c r="M2147" t="s">
        <v>63</v>
      </c>
      <c r="N2147" t="s">
        <v>64</v>
      </c>
      <c r="O2147">
        <v>6</v>
      </c>
      <c r="P2147" t="s">
        <v>201</v>
      </c>
      <c r="R2147">
        <v>26.3</v>
      </c>
      <c r="W2147" t="s">
        <v>66</v>
      </c>
      <c r="X2147" t="s">
        <v>67</v>
      </c>
      <c r="Y2147" t="s">
        <v>67</v>
      </c>
      <c r="Z2147" t="s">
        <v>68</v>
      </c>
      <c r="AB2147">
        <v>4</v>
      </c>
      <c r="AC2147" t="s">
        <v>61</v>
      </c>
      <c r="AJ2147" t="s">
        <v>69</v>
      </c>
      <c r="AY2147" t="s">
        <v>1661</v>
      </c>
      <c r="AZ2147">
        <v>3687</v>
      </c>
      <c r="BA2147" t="s">
        <v>1662</v>
      </c>
      <c r="BB2147" t="s">
        <v>1663</v>
      </c>
      <c r="BC2147">
        <v>1982</v>
      </c>
      <c r="BD2147" t="s">
        <v>73</v>
      </c>
    </row>
    <row r="2148" spans="1:56" x14ac:dyDescent="0.35">
      <c r="A2148">
        <v>1303282</v>
      </c>
      <c r="B2148" t="s">
        <v>1660</v>
      </c>
      <c r="D2148" t="s">
        <v>57</v>
      </c>
      <c r="E2148" t="s">
        <v>86</v>
      </c>
      <c r="F2148" t="s">
        <v>58</v>
      </c>
      <c r="G2148" t="s">
        <v>59</v>
      </c>
      <c r="H2148" t="s">
        <v>60</v>
      </c>
      <c r="J2148" t="s">
        <v>86</v>
      </c>
      <c r="L2148" t="s">
        <v>62</v>
      </c>
      <c r="M2148" t="s">
        <v>63</v>
      </c>
      <c r="N2148" t="s">
        <v>64</v>
      </c>
      <c r="P2148" t="s">
        <v>201</v>
      </c>
      <c r="R2148">
        <v>42</v>
      </c>
      <c r="W2148" t="s">
        <v>66</v>
      </c>
      <c r="X2148" t="s">
        <v>67</v>
      </c>
      <c r="Y2148" t="s">
        <v>67</v>
      </c>
      <c r="Z2148" t="s">
        <v>68</v>
      </c>
      <c r="AB2148">
        <v>4</v>
      </c>
      <c r="AC2148" t="s">
        <v>61</v>
      </c>
      <c r="AJ2148" t="s">
        <v>69</v>
      </c>
      <c r="AY2148" t="s">
        <v>1664</v>
      </c>
      <c r="AZ2148">
        <v>11334</v>
      </c>
      <c r="BA2148" t="s">
        <v>1665</v>
      </c>
      <c r="BB2148" t="s">
        <v>1666</v>
      </c>
      <c r="BC2148">
        <v>1985</v>
      </c>
      <c r="BD2148" t="s">
        <v>90</v>
      </c>
    </row>
    <row r="2149" spans="1:56" x14ac:dyDescent="0.35">
      <c r="A2149">
        <v>1303282</v>
      </c>
      <c r="B2149" t="s">
        <v>1660</v>
      </c>
      <c r="D2149" t="s">
        <v>85</v>
      </c>
      <c r="E2149" t="s">
        <v>86</v>
      </c>
      <c r="F2149" t="s">
        <v>58</v>
      </c>
      <c r="G2149" t="s">
        <v>59</v>
      </c>
      <c r="H2149" t="s">
        <v>60</v>
      </c>
      <c r="J2149">
        <v>32</v>
      </c>
      <c r="K2149" t="s">
        <v>61</v>
      </c>
      <c r="L2149" t="s">
        <v>74</v>
      </c>
      <c r="M2149" t="s">
        <v>63</v>
      </c>
      <c r="N2149" t="s">
        <v>64</v>
      </c>
      <c r="P2149" t="s">
        <v>201</v>
      </c>
      <c r="R2149">
        <v>25.6</v>
      </c>
      <c r="W2149" t="s">
        <v>66</v>
      </c>
      <c r="X2149" t="s">
        <v>67</v>
      </c>
      <c r="Y2149" t="s">
        <v>67</v>
      </c>
      <c r="Z2149" t="s">
        <v>68</v>
      </c>
      <c r="AB2149">
        <v>4</v>
      </c>
      <c r="AC2149" t="s">
        <v>61</v>
      </c>
      <c r="AJ2149" t="s">
        <v>69</v>
      </c>
      <c r="AY2149" t="s">
        <v>1661</v>
      </c>
      <c r="AZ2149">
        <v>3687</v>
      </c>
      <c r="BA2149" t="s">
        <v>1662</v>
      </c>
      <c r="BB2149" t="s">
        <v>1663</v>
      </c>
      <c r="BC2149">
        <v>1982</v>
      </c>
      <c r="BD2149" t="s">
        <v>73</v>
      </c>
    </row>
    <row r="2150" spans="1:56" x14ac:dyDescent="0.35">
      <c r="A2150">
        <v>1303339</v>
      </c>
      <c r="B2150" t="s">
        <v>1667</v>
      </c>
      <c r="D2150" t="s">
        <v>57</v>
      </c>
      <c r="E2150" t="s">
        <v>86</v>
      </c>
      <c r="F2150" t="s">
        <v>58</v>
      </c>
      <c r="G2150" t="s">
        <v>59</v>
      </c>
      <c r="H2150" t="s">
        <v>60</v>
      </c>
      <c r="J2150" t="s">
        <v>86</v>
      </c>
      <c r="L2150" t="s">
        <v>62</v>
      </c>
      <c r="M2150" t="s">
        <v>63</v>
      </c>
      <c r="N2150" t="s">
        <v>64</v>
      </c>
      <c r="P2150" t="s">
        <v>201</v>
      </c>
      <c r="R2150">
        <v>135.1</v>
      </c>
      <c r="T2150">
        <v>107.3</v>
      </c>
      <c r="V2150">
        <v>173.6</v>
      </c>
      <c r="W2150" t="s">
        <v>66</v>
      </c>
      <c r="X2150" t="s">
        <v>67</v>
      </c>
      <c r="Y2150" t="s">
        <v>67</v>
      </c>
      <c r="Z2150" t="s">
        <v>68</v>
      </c>
      <c r="AB2150">
        <v>4</v>
      </c>
      <c r="AC2150" t="s">
        <v>61</v>
      </c>
      <c r="AJ2150" t="s">
        <v>69</v>
      </c>
      <c r="AY2150" t="s">
        <v>818</v>
      </c>
      <c r="AZ2150">
        <v>875</v>
      </c>
      <c r="BA2150" t="s">
        <v>819</v>
      </c>
      <c r="BB2150" t="s">
        <v>820</v>
      </c>
      <c r="BC2150">
        <v>1979</v>
      </c>
      <c r="BD2150" t="s">
        <v>90</v>
      </c>
    </row>
    <row r="2151" spans="1:56" x14ac:dyDescent="0.35">
      <c r="A2151">
        <v>1303339</v>
      </c>
      <c r="B2151" t="s">
        <v>1667</v>
      </c>
      <c r="D2151" t="s">
        <v>57</v>
      </c>
      <c r="E2151" t="s">
        <v>86</v>
      </c>
      <c r="F2151" t="s">
        <v>58</v>
      </c>
      <c r="G2151" t="s">
        <v>59</v>
      </c>
      <c r="H2151" t="s">
        <v>60</v>
      </c>
      <c r="J2151" t="s">
        <v>86</v>
      </c>
      <c r="L2151" t="s">
        <v>62</v>
      </c>
      <c r="M2151" t="s">
        <v>63</v>
      </c>
      <c r="N2151" t="s">
        <v>64</v>
      </c>
      <c r="O2151" t="s">
        <v>267</v>
      </c>
      <c r="P2151" t="s">
        <v>1296</v>
      </c>
      <c r="R2151">
        <v>135.1</v>
      </c>
      <c r="T2151">
        <v>107.3</v>
      </c>
      <c r="V2151">
        <v>173.6</v>
      </c>
      <c r="W2151" t="s">
        <v>66</v>
      </c>
      <c r="X2151" t="s">
        <v>67</v>
      </c>
      <c r="Y2151" t="s">
        <v>67</v>
      </c>
      <c r="Z2151" t="s">
        <v>68</v>
      </c>
      <c r="AB2151">
        <v>4</v>
      </c>
      <c r="AC2151" t="s">
        <v>61</v>
      </c>
      <c r="AJ2151" t="s">
        <v>69</v>
      </c>
      <c r="AY2151" t="s">
        <v>268</v>
      </c>
      <c r="AZ2151">
        <v>2965</v>
      </c>
      <c r="BA2151" t="s">
        <v>269</v>
      </c>
      <c r="BB2151" t="s">
        <v>270</v>
      </c>
      <c r="BC2151">
        <v>1981</v>
      </c>
      <c r="BD2151" t="s">
        <v>90</v>
      </c>
    </row>
    <row r="2152" spans="1:56" x14ac:dyDescent="0.35">
      <c r="A2152">
        <v>1306190</v>
      </c>
      <c r="B2152" t="s">
        <v>1668</v>
      </c>
      <c r="D2152" t="s">
        <v>85</v>
      </c>
      <c r="E2152" t="s">
        <v>86</v>
      </c>
      <c r="F2152" t="s">
        <v>58</v>
      </c>
      <c r="G2152" t="s">
        <v>59</v>
      </c>
      <c r="H2152" t="s">
        <v>60</v>
      </c>
      <c r="I2152" t="s">
        <v>1469</v>
      </c>
      <c r="J2152" t="s">
        <v>289</v>
      </c>
      <c r="K2152" t="s">
        <v>184</v>
      </c>
      <c r="L2152" t="s">
        <v>62</v>
      </c>
      <c r="M2152" t="s">
        <v>63</v>
      </c>
      <c r="N2152" t="s">
        <v>64</v>
      </c>
      <c r="P2152" t="s">
        <v>201</v>
      </c>
      <c r="R2152">
        <v>9.35</v>
      </c>
      <c r="W2152" t="s">
        <v>66</v>
      </c>
      <c r="X2152" t="s">
        <v>67</v>
      </c>
      <c r="Y2152" t="s">
        <v>67</v>
      </c>
      <c r="Z2152" t="s">
        <v>68</v>
      </c>
      <c r="AB2152">
        <v>4</v>
      </c>
      <c r="AC2152" t="s">
        <v>61</v>
      </c>
      <c r="AJ2152" t="s">
        <v>69</v>
      </c>
      <c r="AY2152" t="s">
        <v>1474</v>
      </c>
      <c r="AZ2152">
        <v>9180</v>
      </c>
      <c r="BA2152" t="s">
        <v>1475</v>
      </c>
      <c r="BB2152" t="s">
        <v>1476</v>
      </c>
      <c r="BC2152">
        <v>1992</v>
      </c>
      <c r="BD2152" t="s">
        <v>185</v>
      </c>
    </row>
    <row r="2153" spans="1:56" x14ac:dyDescent="0.35">
      <c r="A2153">
        <v>1306190</v>
      </c>
      <c r="B2153" t="s">
        <v>1668</v>
      </c>
      <c r="D2153" t="s">
        <v>57</v>
      </c>
      <c r="E2153" t="s">
        <v>86</v>
      </c>
      <c r="F2153" t="s">
        <v>58</v>
      </c>
      <c r="G2153" t="s">
        <v>59</v>
      </c>
      <c r="H2153" t="s">
        <v>60</v>
      </c>
      <c r="I2153" t="s">
        <v>1469</v>
      </c>
      <c r="J2153" t="s">
        <v>289</v>
      </c>
      <c r="K2153" t="s">
        <v>184</v>
      </c>
      <c r="L2153" t="s">
        <v>62</v>
      </c>
      <c r="M2153" t="s">
        <v>63</v>
      </c>
      <c r="N2153" t="s">
        <v>64</v>
      </c>
      <c r="P2153" t="s">
        <v>1296</v>
      </c>
      <c r="R2153">
        <v>0.17699999999999999</v>
      </c>
      <c r="W2153" t="s">
        <v>66</v>
      </c>
      <c r="X2153" t="s">
        <v>67</v>
      </c>
      <c r="Y2153" t="s">
        <v>67</v>
      </c>
      <c r="Z2153" t="s">
        <v>68</v>
      </c>
      <c r="AB2153">
        <v>4</v>
      </c>
      <c r="AC2153" t="s">
        <v>61</v>
      </c>
      <c r="AJ2153" t="s">
        <v>69</v>
      </c>
      <c r="AY2153" t="s">
        <v>1474</v>
      </c>
      <c r="AZ2153">
        <v>9180</v>
      </c>
      <c r="BA2153" t="s">
        <v>1475</v>
      </c>
      <c r="BB2153" t="s">
        <v>1476</v>
      </c>
      <c r="BC2153">
        <v>1992</v>
      </c>
      <c r="BD2153" t="s">
        <v>185</v>
      </c>
    </row>
    <row r="2154" spans="1:56" x14ac:dyDescent="0.35">
      <c r="A2154">
        <v>1306190</v>
      </c>
      <c r="B2154" t="s">
        <v>1668</v>
      </c>
      <c r="D2154" t="s">
        <v>57</v>
      </c>
      <c r="E2154" t="s">
        <v>86</v>
      </c>
      <c r="F2154" t="s">
        <v>58</v>
      </c>
      <c r="G2154" t="s">
        <v>59</v>
      </c>
      <c r="H2154" t="s">
        <v>60</v>
      </c>
      <c r="I2154" t="s">
        <v>1469</v>
      </c>
      <c r="J2154" t="s">
        <v>289</v>
      </c>
      <c r="K2154" t="s">
        <v>184</v>
      </c>
      <c r="L2154" t="s">
        <v>62</v>
      </c>
      <c r="M2154" t="s">
        <v>63</v>
      </c>
      <c r="N2154" t="s">
        <v>64</v>
      </c>
      <c r="P2154" t="s">
        <v>1296</v>
      </c>
      <c r="R2154">
        <v>9.92</v>
      </c>
      <c r="W2154" t="s">
        <v>66</v>
      </c>
      <c r="X2154" t="s">
        <v>67</v>
      </c>
      <c r="Y2154" t="s">
        <v>67</v>
      </c>
      <c r="Z2154" t="s">
        <v>68</v>
      </c>
      <c r="AB2154">
        <v>4</v>
      </c>
      <c r="AC2154" t="s">
        <v>61</v>
      </c>
      <c r="AJ2154" t="s">
        <v>69</v>
      </c>
      <c r="AY2154" t="s">
        <v>1474</v>
      </c>
      <c r="AZ2154">
        <v>9180</v>
      </c>
      <c r="BA2154" t="s">
        <v>1475</v>
      </c>
      <c r="BB2154" t="s">
        <v>1476</v>
      </c>
      <c r="BC2154">
        <v>1992</v>
      </c>
      <c r="BD2154" t="s">
        <v>185</v>
      </c>
    </row>
    <row r="2155" spans="1:56" x14ac:dyDescent="0.35">
      <c r="A2155">
        <v>1306190</v>
      </c>
      <c r="B2155" t="s">
        <v>1668</v>
      </c>
      <c r="D2155" t="s">
        <v>57</v>
      </c>
      <c r="E2155" t="s">
        <v>86</v>
      </c>
      <c r="F2155" t="s">
        <v>58</v>
      </c>
      <c r="G2155" t="s">
        <v>59</v>
      </c>
      <c r="H2155" t="s">
        <v>60</v>
      </c>
      <c r="I2155" t="s">
        <v>1469</v>
      </c>
      <c r="J2155" t="s">
        <v>289</v>
      </c>
      <c r="K2155" t="s">
        <v>184</v>
      </c>
      <c r="L2155" t="s">
        <v>62</v>
      </c>
      <c r="M2155" t="s">
        <v>63</v>
      </c>
      <c r="N2155" t="s">
        <v>64</v>
      </c>
      <c r="P2155" t="s">
        <v>201</v>
      </c>
      <c r="R2155">
        <v>7.0289999999999999</v>
      </c>
      <c r="W2155" t="s">
        <v>66</v>
      </c>
      <c r="X2155" t="s">
        <v>67</v>
      </c>
      <c r="Y2155" t="s">
        <v>67</v>
      </c>
      <c r="Z2155" t="s">
        <v>68</v>
      </c>
      <c r="AB2155">
        <v>4</v>
      </c>
      <c r="AC2155" t="s">
        <v>61</v>
      </c>
      <c r="AJ2155" t="s">
        <v>69</v>
      </c>
      <c r="AY2155" t="s">
        <v>1474</v>
      </c>
      <c r="AZ2155">
        <v>9180</v>
      </c>
      <c r="BA2155" t="s">
        <v>1475</v>
      </c>
      <c r="BB2155" t="s">
        <v>1476</v>
      </c>
      <c r="BC2155">
        <v>1992</v>
      </c>
      <c r="BD2155" t="s">
        <v>185</v>
      </c>
    </row>
    <row r="2156" spans="1:56" x14ac:dyDescent="0.35">
      <c r="A2156">
        <v>1306190</v>
      </c>
      <c r="B2156" t="s">
        <v>1668</v>
      </c>
      <c r="D2156" t="s">
        <v>57</v>
      </c>
      <c r="E2156" t="s">
        <v>86</v>
      </c>
      <c r="F2156" t="s">
        <v>58</v>
      </c>
      <c r="G2156" t="s">
        <v>59</v>
      </c>
      <c r="H2156" t="s">
        <v>60</v>
      </c>
      <c r="I2156" t="s">
        <v>1469</v>
      </c>
      <c r="J2156" t="s">
        <v>289</v>
      </c>
      <c r="K2156" t="s">
        <v>184</v>
      </c>
      <c r="L2156" t="s">
        <v>62</v>
      </c>
      <c r="M2156" t="s">
        <v>63</v>
      </c>
      <c r="N2156" t="s">
        <v>64</v>
      </c>
      <c r="P2156" t="s">
        <v>201</v>
      </c>
      <c r="R2156">
        <v>10.47</v>
      </c>
      <c r="W2156" t="s">
        <v>66</v>
      </c>
      <c r="X2156" t="s">
        <v>67</v>
      </c>
      <c r="Y2156" t="s">
        <v>67</v>
      </c>
      <c r="Z2156" t="s">
        <v>68</v>
      </c>
      <c r="AB2156">
        <v>4</v>
      </c>
      <c r="AC2156" t="s">
        <v>61</v>
      </c>
      <c r="AJ2156" t="s">
        <v>69</v>
      </c>
      <c r="AY2156" t="s">
        <v>1474</v>
      </c>
      <c r="AZ2156">
        <v>9180</v>
      </c>
      <c r="BA2156" t="s">
        <v>1475</v>
      </c>
      <c r="BB2156" t="s">
        <v>1476</v>
      </c>
      <c r="BC2156">
        <v>1992</v>
      </c>
      <c r="BD2156" t="s">
        <v>185</v>
      </c>
    </row>
    <row r="2157" spans="1:56" x14ac:dyDescent="0.35">
      <c r="A2157">
        <v>1306236</v>
      </c>
      <c r="B2157" t="s">
        <v>1669</v>
      </c>
      <c r="D2157" t="s">
        <v>57</v>
      </c>
      <c r="E2157" t="s">
        <v>86</v>
      </c>
      <c r="F2157" t="s">
        <v>58</v>
      </c>
      <c r="G2157" t="s">
        <v>59</v>
      </c>
      <c r="H2157" t="s">
        <v>60</v>
      </c>
      <c r="I2157" t="s">
        <v>1469</v>
      </c>
      <c r="J2157" t="s">
        <v>289</v>
      </c>
      <c r="K2157" t="s">
        <v>184</v>
      </c>
      <c r="L2157" t="s">
        <v>62</v>
      </c>
      <c r="M2157" t="s">
        <v>63</v>
      </c>
      <c r="N2157" t="s">
        <v>64</v>
      </c>
      <c r="P2157" t="s">
        <v>201</v>
      </c>
      <c r="R2157">
        <v>0.35399999999999998</v>
      </c>
      <c r="W2157" t="s">
        <v>66</v>
      </c>
      <c r="X2157" t="s">
        <v>67</v>
      </c>
      <c r="Y2157" t="s">
        <v>67</v>
      </c>
      <c r="Z2157" t="s">
        <v>68</v>
      </c>
      <c r="AB2157">
        <v>4</v>
      </c>
      <c r="AC2157" t="s">
        <v>61</v>
      </c>
      <c r="AJ2157" t="s">
        <v>69</v>
      </c>
      <c r="AY2157" t="s">
        <v>1474</v>
      </c>
      <c r="AZ2157">
        <v>9180</v>
      </c>
      <c r="BA2157" t="s">
        <v>1475</v>
      </c>
      <c r="BB2157" t="s">
        <v>1476</v>
      </c>
      <c r="BC2157">
        <v>1992</v>
      </c>
      <c r="BD2157" t="s">
        <v>185</v>
      </c>
    </row>
    <row r="2158" spans="1:56" x14ac:dyDescent="0.35">
      <c r="A2158">
        <v>1306236</v>
      </c>
      <c r="B2158" t="s">
        <v>1669</v>
      </c>
      <c r="C2158" t="s">
        <v>195</v>
      </c>
      <c r="D2158" t="s">
        <v>57</v>
      </c>
      <c r="E2158" t="s">
        <v>86</v>
      </c>
      <c r="F2158" t="s">
        <v>58</v>
      </c>
      <c r="G2158" t="s">
        <v>59</v>
      </c>
      <c r="H2158" t="s">
        <v>60</v>
      </c>
      <c r="I2158" t="s">
        <v>1469</v>
      </c>
      <c r="J2158" t="s">
        <v>289</v>
      </c>
      <c r="K2158" t="s">
        <v>184</v>
      </c>
      <c r="L2158" t="s">
        <v>62</v>
      </c>
      <c r="M2158" t="s">
        <v>63</v>
      </c>
      <c r="N2158" t="s">
        <v>64</v>
      </c>
      <c r="O2158" t="s">
        <v>1470</v>
      </c>
      <c r="P2158" t="s">
        <v>1296</v>
      </c>
      <c r="R2158">
        <v>0.108</v>
      </c>
      <c r="W2158" t="s">
        <v>66</v>
      </c>
      <c r="X2158" t="s">
        <v>67</v>
      </c>
      <c r="Y2158" t="s">
        <v>67</v>
      </c>
      <c r="Z2158" t="s">
        <v>68</v>
      </c>
      <c r="AB2158">
        <v>4</v>
      </c>
      <c r="AC2158" t="s">
        <v>61</v>
      </c>
      <c r="AJ2158" t="s">
        <v>69</v>
      </c>
      <c r="AY2158" t="s">
        <v>1471</v>
      </c>
      <c r="AZ2158">
        <v>76100</v>
      </c>
      <c r="BA2158" t="s">
        <v>1472</v>
      </c>
      <c r="BB2158" t="s">
        <v>1473</v>
      </c>
      <c r="BC2158">
        <v>1998</v>
      </c>
      <c r="BD2158" t="s">
        <v>185</v>
      </c>
    </row>
    <row r="2159" spans="1:56" x14ac:dyDescent="0.35">
      <c r="A2159">
        <v>1306236</v>
      </c>
      <c r="B2159" t="s">
        <v>1669</v>
      </c>
      <c r="D2159" t="s">
        <v>85</v>
      </c>
      <c r="E2159" t="s">
        <v>86</v>
      </c>
      <c r="F2159" t="s">
        <v>58</v>
      </c>
      <c r="G2159" t="s">
        <v>59</v>
      </c>
      <c r="H2159" t="s">
        <v>60</v>
      </c>
      <c r="I2159" t="s">
        <v>1469</v>
      </c>
      <c r="J2159" t="s">
        <v>289</v>
      </c>
      <c r="K2159" t="s">
        <v>184</v>
      </c>
      <c r="L2159" t="s">
        <v>62</v>
      </c>
      <c r="M2159" t="s">
        <v>63</v>
      </c>
      <c r="N2159" t="s">
        <v>64</v>
      </c>
      <c r="P2159" t="s">
        <v>201</v>
      </c>
      <c r="R2159">
        <v>0.33600000000000002</v>
      </c>
      <c r="W2159" t="s">
        <v>66</v>
      </c>
      <c r="X2159" t="s">
        <v>67</v>
      </c>
      <c r="Y2159" t="s">
        <v>67</v>
      </c>
      <c r="Z2159" t="s">
        <v>68</v>
      </c>
      <c r="AB2159">
        <v>4</v>
      </c>
      <c r="AC2159" t="s">
        <v>61</v>
      </c>
      <c r="AJ2159" t="s">
        <v>69</v>
      </c>
      <c r="AY2159" t="s">
        <v>1474</v>
      </c>
      <c r="AZ2159">
        <v>9180</v>
      </c>
      <c r="BA2159" t="s">
        <v>1475</v>
      </c>
      <c r="BB2159" t="s">
        <v>1476</v>
      </c>
      <c r="BC2159">
        <v>1992</v>
      </c>
      <c r="BD2159" t="s">
        <v>185</v>
      </c>
    </row>
    <row r="2160" spans="1:56" x14ac:dyDescent="0.35">
      <c r="A2160">
        <v>1306236</v>
      </c>
      <c r="B2160" t="s">
        <v>1669</v>
      </c>
      <c r="D2160" t="s">
        <v>57</v>
      </c>
      <c r="E2160" t="s">
        <v>86</v>
      </c>
      <c r="F2160" t="s">
        <v>58</v>
      </c>
      <c r="G2160" t="s">
        <v>59</v>
      </c>
      <c r="H2160" t="s">
        <v>60</v>
      </c>
      <c r="I2160" t="s">
        <v>1469</v>
      </c>
      <c r="J2160" t="s">
        <v>289</v>
      </c>
      <c r="K2160" t="s">
        <v>184</v>
      </c>
      <c r="L2160" t="s">
        <v>62</v>
      </c>
      <c r="M2160" t="s">
        <v>63</v>
      </c>
      <c r="N2160" t="s">
        <v>64</v>
      </c>
      <c r="P2160" t="s">
        <v>201</v>
      </c>
      <c r="R2160">
        <v>0.153</v>
      </c>
      <c r="W2160" t="s">
        <v>66</v>
      </c>
      <c r="X2160" t="s">
        <v>67</v>
      </c>
      <c r="Y2160" t="s">
        <v>67</v>
      </c>
      <c r="Z2160" t="s">
        <v>68</v>
      </c>
      <c r="AB2160">
        <v>4</v>
      </c>
      <c r="AC2160" t="s">
        <v>61</v>
      </c>
      <c r="AJ2160" t="s">
        <v>69</v>
      </c>
      <c r="AY2160" t="s">
        <v>1474</v>
      </c>
      <c r="AZ2160">
        <v>9180</v>
      </c>
      <c r="BA2160" t="s">
        <v>1475</v>
      </c>
      <c r="BB2160" t="s">
        <v>1476</v>
      </c>
      <c r="BC2160">
        <v>1992</v>
      </c>
      <c r="BD2160" t="s">
        <v>185</v>
      </c>
    </row>
    <row r="2161" spans="1:56" x14ac:dyDescent="0.35">
      <c r="A2161">
        <v>1306236</v>
      </c>
      <c r="B2161" t="s">
        <v>1669</v>
      </c>
      <c r="D2161" t="s">
        <v>57</v>
      </c>
      <c r="E2161" t="s">
        <v>86</v>
      </c>
      <c r="F2161" t="s">
        <v>58</v>
      </c>
      <c r="G2161" t="s">
        <v>59</v>
      </c>
      <c r="H2161" t="s">
        <v>60</v>
      </c>
      <c r="I2161" t="s">
        <v>1469</v>
      </c>
      <c r="J2161" t="s">
        <v>289</v>
      </c>
      <c r="K2161" t="s">
        <v>184</v>
      </c>
      <c r="L2161" t="s">
        <v>62</v>
      </c>
      <c r="M2161" t="s">
        <v>63</v>
      </c>
      <c r="N2161" t="s">
        <v>64</v>
      </c>
      <c r="P2161" t="s">
        <v>1296</v>
      </c>
      <c r="R2161">
        <v>0.222</v>
      </c>
      <c r="W2161" t="s">
        <v>66</v>
      </c>
      <c r="X2161" t="s">
        <v>67</v>
      </c>
      <c r="Y2161" t="s">
        <v>67</v>
      </c>
      <c r="Z2161" t="s">
        <v>68</v>
      </c>
      <c r="AB2161">
        <v>4</v>
      </c>
      <c r="AC2161" t="s">
        <v>61</v>
      </c>
      <c r="AJ2161" t="s">
        <v>69</v>
      </c>
      <c r="AY2161" t="s">
        <v>1474</v>
      </c>
      <c r="AZ2161">
        <v>9180</v>
      </c>
      <c r="BA2161" t="s">
        <v>1475</v>
      </c>
      <c r="BB2161" t="s">
        <v>1476</v>
      </c>
      <c r="BC2161">
        <v>1992</v>
      </c>
      <c r="BD2161" t="s">
        <v>185</v>
      </c>
    </row>
    <row r="2162" spans="1:56" x14ac:dyDescent="0.35">
      <c r="A2162">
        <v>1306236</v>
      </c>
      <c r="B2162" t="s">
        <v>1669</v>
      </c>
      <c r="D2162" t="s">
        <v>57</v>
      </c>
      <c r="E2162" t="s">
        <v>86</v>
      </c>
      <c r="F2162" t="s">
        <v>58</v>
      </c>
      <c r="G2162" t="s">
        <v>59</v>
      </c>
      <c r="H2162" t="s">
        <v>60</v>
      </c>
      <c r="I2162" t="s">
        <v>1469</v>
      </c>
      <c r="J2162" t="s">
        <v>289</v>
      </c>
      <c r="K2162" t="s">
        <v>184</v>
      </c>
      <c r="L2162" t="s">
        <v>62</v>
      </c>
      <c r="M2162" t="s">
        <v>63</v>
      </c>
      <c r="N2162" t="s">
        <v>64</v>
      </c>
      <c r="P2162" t="s">
        <v>1296</v>
      </c>
      <c r="R2162">
        <v>0.108</v>
      </c>
      <c r="W2162" t="s">
        <v>66</v>
      </c>
      <c r="X2162" t="s">
        <v>67</v>
      </c>
      <c r="Y2162" t="s">
        <v>67</v>
      </c>
      <c r="Z2162" t="s">
        <v>68</v>
      </c>
      <c r="AB2162">
        <v>4</v>
      </c>
      <c r="AC2162" t="s">
        <v>61</v>
      </c>
      <c r="AJ2162" t="s">
        <v>69</v>
      </c>
      <c r="AY2162" t="s">
        <v>1474</v>
      </c>
      <c r="AZ2162">
        <v>9180</v>
      </c>
      <c r="BA2162" t="s">
        <v>1475</v>
      </c>
      <c r="BB2162" t="s">
        <v>1476</v>
      </c>
      <c r="BC2162">
        <v>1992</v>
      </c>
      <c r="BD2162" t="s">
        <v>185</v>
      </c>
    </row>
    <row r="2163" spans="1:56" x14ac:dyDescent="0.35">
      <c r="A2163">
        <v>1306236</v>
      </c>
      <c r="B2163" t="s">
        <v>1669</v>
      </c>
      <c r="C2163" t="s">
        <v>195</v>
      </c>
      <c r="D2163" t="s">
        <v>57</v>
      </c>
      <c r="E2163" t="s">
        <v>86</v>
      </c>
      <c r="F2163" t="s">
        <v>58</v>
      </c>
      <c r="G2163" t="s">
        <v>59</v>
      </c>
      <c r="H2163" t="s">
        <v>60</v>
      </c>
      <c r="I2163" t="s">
        <v>1469</v>
      </c>
      <c r="J2163" t="s">
        <v>289</v>
      </c>
      <c r="K2163" t="s">
        <v>184</v>
      </c>
      <c r="L2163" t="s">
        <v>62</v>
      </c>
      <c r="M2163" t="s">
        <v>63</v>
      </c>
      <c r="N2163" t="s">
        <v>64</v>
      </c>
      <c r="O2163" t="s">
        <v>1470</v>
      </c>
      <c r="P2163" t="s">
        <v>201</v>
      </c>
      <c r="R2163">
        <v>0.35399999999999998</v>
      </c>
      <c r="W2163" t="s">
        <v>66</v>
      </c>
      <c r="X2163" t="s">
        <v>67</v>
      </c>
      <c r="Y2163" t="s">
        <v>67</v>
      </c>
      <c r="Z2163" t="s">
        <v>68</v>
      </c>
      <c r="AB2163">
        <v>4</v>
      </c>
      <c r="AC2163" t="s">
        <v>61</v>
      </c>
      <c r="AJ2163" t="s">
        <v>69</v>
      </c>
      <c r="AY2163" t="s">
        <v>1471</v>
      </c>
      <c r="AZ2163">
        <v>76100</v>
      </c>
      <c r="BA2163" t="s">
        <v>1472</v>
      </c>
      <c r="BB2163" t="s">
        <v>1473</v>
      </c>
      <c r="BC2163">
        <v>1998</v>
      </c>
      <c r="BD2163" t="s">
        <v>185</v>
      </c>
    </row>
    <row r="2164" spans="1:56" x14ac:dyDescent="0.35">
      <c r="A2164">
        <v>1309644</v>
      </c>
      <c r="B2164" t="s">
        <v>1670</v>
      </c>
      <c r="D2164" t="s">
        <v>85</v>
      </c>
      <c r="E2164" t="s">
        <v>86</v>
      </c>
      <c r="F2164" t="s">
        <v>58</v>
      </c>
      <c r="G2164" t="s">
        <v>59</v>
      </c>
      <c r="H2164" t="s">
        <v>60</v>
      </c>
      <c r="J2164" t="s">
        <v>86</v>
      </c>
      <c r="L2164" t="s">
        <v>62</v>
      </c>
      <c r="M2164" t="s">
        <v>63</v>
      </c>
      <c r="N2164" t="s">
        <v>64</v>
      </c>
      <c r="P2164" t="s">
        <v>201</v>
      </c>
      <c r="Q2164" t="s">
        <v>153</v>
      </c>
      <c r="R2164">
        <v>80</v>
      </c>
      <c r="W2164" t="s">
        <v>66</v>
      </c>
      <c r="X2164" t="s">
        <v>67</v>
      </c>
      <c r="Y2164" t="s">
        <v>67</v>
      </c>
      <c r="Z2164" t="s">
        <v>68</v>
      </c>
      <c r="AB2164">
        <v>4</v>
      </c>
      <c r="AC2164" t="s">
        <v>61</v>
      </c>
      <c r="AJ2164" t="s">
        <v>69</v>
      </c>
      <c r="AY2164" t="s">
        <v>275</v>
      </c>
      <c r="AZ2164">
        <v>2042</v>
      </c>
      <c r="BA2164" t="s">
        <v>1490</v>
      </c>
      <c r="BB2164" t="s">
        <v>1491</v>
      </c>
      <c r="BC2164">
        <v>1960</v>
      </c>
      <c r="BD2164" t="s">
        <v>90</v>
      </c>
    </row>
    <row r="2165" spans="1:56" x14ac:dyDescent="0.35">
      <c r="A2165">
        <v>1309644</v>
      </c>
      <c r="B2165" t="s">
        <v>1670</v>
      </c>
      <c r="D2165" t="s">
        <v>85</v>
      </c>
      <c r="E2165" t="s">
        <v>86</v>
      </c>
      <c r="F2165" t="s">
        <v>58</v>
      </c>
      <c r="G2165" t="s">
        <v>59</v>
      </c>
      <c r="H2165" t="s">
        <v>60</v>
      </c>
      <c r="J2165" t="s">
        <v>86</v>
      </c>
      <c r="L2165" t="s">
        <v>62</v>
      </c>
      <c r="M2165" t="s">
        <v>63</v>
      </c>
      <c r="N2165" t="s">
        <v>64</v>
      </c>
      <c r="P2165" t="s">
        <v>201</v>
      </c>
      <c r="Q2165" t="s">
        <v>153</v>
      </c>
      <c r="R2165">
        <v>80</v>
      </c>
      <c r="W2165" t="s">
        <v>66</v>
      </c>
      <c r="X2165" t="s">
        <v>67</v>
      </c>
      <c r="Y2165" t="s">
        <v>67</v>
      </c>
      <c r="Z2165" t="s">
        <v>68</v>
      </c>
      <c r="AB2165">
        <v>4</v>
      </c>
      <c r="AC2165" t="s">
        <v>61</v>
      </c>
      <c r="AJ2165" t="s">
        <v>69</v>
      </c>
      <c r="AY2165" t="s">
        <v>275</v>
      </c>
      <c r="AZ2165">
        <v>2042</v>
      </c>
      <c r="BA2165" t="s">
        <v>1490</v>
      </c>
      <c r="BB2165" t="s">
        <v>1491</v>
      </c>
      <c r="BC2165">
        <v>1960</v>
      </c>
      <c r="BD2165" t="s">
        <v>90</v>
      </c>
    </row>
    <row r="2166" spans="1:56" x14ac:dyDescent="0.35">
      <c r="A2166">
        <v>1313275</v>
      </c>
      <c r="B2166" t="s">
        <v>1671</v>
      </c>
      <c r="C2166" t="s">
        <v>195</v>
      </c>
      <c r="D2166" t="s">
        <v>85</v>
      </c>
      <c r="E2166" t="s">
        <v>86</v>
      </c>
      <c r="F2166" t="s">
        <v>58</v>
      </c>
      <c r="G2166" t="s">
        <v>59</v>
      </c>
      <c r="H2166" t="s">
        <v>60</v>
      </c>
      <c r="J2166" t="s">
        <v>86</v>
      </c>
      <c r="L2166" t="s">
        <v>62</v>
      </c>
      <c r="M2166" t="s">
        <v>63</v>
      </c>
      <c r="N2166" t="s">
        <v>64</v>
      </c>
      <c r="P2166" t="s">
        <v>201</v>
      </c>
      <c r="R2166">
        <v>577</v>
      </c>
      <c r="T2166">
        <v>417</v>
      </c>
      <c r="V2166">
        <v>846</v>
      </c>
      <c r="W2166" t="s">
        <v>66</v>
      </c>
      <c r="X2166" t="s">
        <v>67</v>
      </c>
      <c r="Y2166" t="s">
        <v>67</v>
      </c>
      <c r="Z2166" t="s">
        <v>68</v>
      </c>
      <c r="AB2166">
        <v>4</v>
      </c>
      <c r="AC2166" t="s">
        <v>61</v>
      </c>
      <c r="AJ2166" t="s">
        <v>69</v>
      </c>
      <c r="AY2166" t="s">
        <v>197</v>
      </c>
      <c r="AZ2166">
        <v>3783</v>
      </c>
      <c r="BA2166" t="s">
        <v>198</v>
      </c>
      <c r="BB2166" t="s">
        <v>199</v>
      </c>
      <c r="BC2166">
        <v>1978</v>
      </c>
      <c r="BD2166" t="s">
        <v>90</v>
      </c>
    </row>
    <row r="2167" spans="1:56" x14ac:dyDescent="0.35">
      <c r="A2167">
        <v>1313275</v>
      </c>
      <c r="B2167" t="s">
        <v>1671</v>
      </c>
      <c r="C2167" t="s">
        <v>195</v>
      </c>
      <c r="D2167" t="s">
        <v>85</v>
      </c>
      <c r="E2167" t="s">
        <v>86</v>
      </c>
      <c r="F2167" t="s">
        <v>58</v>
      </c>
      <c r="G2167" t="s">
        <v>59</v>
      </c>
      <c r="H2167" t="s">
        <v>60</v>
      </c>
      <c r="J2167" t="s">
        <v>86</v>
      </c>
      <c r="L2167" t="s">
        <v>62</v>
      </c>
      <c r="M2167" t="s">
        <v>63</v>
      </c>
      <c r="N2167" t="s">
        <v>64</v>
      </c>
      <c r="P2167" t="s">
        <v>201</v>
      </c>
      <c r="R2167">
        <v>678</v>
      </c>
      <c r="T2167">
        <v>482</v>
      </c>
      <c r="V2167">
        <v>969</v>
      </c>
      <c r="W2167" t="s">
        <v>66</v>
      </c>
      <c r="X2167" t="s">
        <v>67</v>
      </c>
      <c r="Y2167" t="s">
        <v>67</v>
      </c>
      <c r="Z2167" t="s">
        <v>68</v>
      </c>
      <c r="AB2167">
        <v>4</v>
      </c>
      <c r="AC2167" t="s">
        <v>61</v>
      </c>
      <c r="AJ2167" t="s">
        <v>69</v>
      </c>
      <c r="AY2167" t="s">
        <v>197</v>
      </c>
      <c r="AZ2167">
        <v>3783</v>
      </c>
      <c r="BA2167" t="s">
        <v>198</v>
      </c>
      <c r="BB2167" t="s">
        <v>199</v>
      </c>
      <c r="BC2167">
        <v>1978</v>
      </c>
      <c r="BD2167" t="s">
        <v>90</v>
      </c>
    </row>
    <row r="2168" spans="1:56" x14ac:dyDescent="0.35">
      <c r="A2168">
        <v>1313275</v>
      </c>
      <c r="B2168" t="s">
        <v>1671</v>
      </c>
      <c r="D2168" t="s">
        <v>85</v>
      </c>
      <c r="E2168" t="s">
        <v>86</v>
      </c>
      <c r="F2168" t="s">
        <v>58</v>
      </c>
      <c r="G2168" t="s">
        <v>59</v>
      </c>
      <c r="H2168" t="s">
        <v>60</v>
      </c>
      <c r="J2168" t="s">
        <v>86</v>
      </c>
      <c r="L2168" t="s">
        <v>62</v>
      </c>
      <c r="M2168" t="s">
        <v>63</v>
      </c>
      <c r="N2168" t="s">
        <v>64</v>
      </c>
      <c r="P2168" t="s">
        <v>201</v>
      </c>
      <c r="R2168">
        <v>70</v>
      </c>
      <c r="W2168" t="s">
        <v>66</v>
      </c>
      <c r="X2168" t="s">
        <v>67</v>
      </c>
      <c r="Y2168" t="s">
        <v>67</v>
      </c>
      <c r="Z2168" t="s">
        <v>68</v>
      </c>
      <c r="AB2168">
        <v>4</v>
      </c>
      <c r="AC2168" t="s">
        <v>61</v>
      </c>
      <c r="AJ2168" t="s">
        <v>69</v>
      </c>
      <c r="AY2168" t="s">
        <v>275</v>
      </c>
      <c r="AZ2168">
        <v>2042</v>
      </c>
      <c r="BA2168" t="s">
        <v>1490</v>
      </c>
      <c r="BB2168" t="s">
        <v>1491</v>
      </c>
      <c r="BC2168">
        <v>1960</v>
      </c>
      <c r="BD2168" t="s">
        <v>90</v>
      </c>
    </row>
    <row r="2169" spans="1:56" x14ac:dyDescent="0.35">
      <c r="A2169">
        <v>1313275</v>
      </c>
      <c r="B2169" t="s">
        <v>1671</v>
      </c>
      <c r="D2169" t="s">
        <v>85</v>
      </c>
      <c r="E2169" t="s">
        <v>86</v>
      </c>
      <c r="F2169" t="s">
        <v>58</v>
      </c>
      <c r="G2169" t="s">
        <v>59</v>
      </c>
      <c r="H2169" t="s">
        <v>60</v>
      </c>
      <c r="J2169" t="s">
        <v>86</v>
      </c>
      <c r="L2169" t="s">
        <v>62</v>
      </c>
      <c r="M2169" t="s">
        <v>63</v>
      </c>
      <c r="N2169" t="s">
        <v>64</v>
      </c>
      <c r="P2169" t="s">
        <v>201</v>
      </c>
      <c r="R2169">
        <v>370</v>
      </c>
      <c r="W2169" t="s">
        <v>66</v>
      </c>
      <c r="X2169" t="s">
        <v>67</v>
      </c>
      <c r="Y2169" t="s">
        <v>67</v>
      </c>
      <c r="Z2169" t="s">
        <v>68</v>
      </c>
      <c r="AB2169">
        <v>4</v>
      </c>
      <c r="AC2169" t="s">
        <v>61</v>
      </c>
      <c r="AJ2169" t="s">
        <v>69</v>
      </c>
      <c r="AY2169" t="s">
        <v>275</v>
      </c>
      <c r="AZ2169">
        <v>2042</v>
      </c>
      <c r="BA2169" t="s">
        <v>1490</v>
      </c>
      <c r="BB2169" t="s">
        <v>1491</v>
      </c>
      <c r="BC2169">
        <v>1960</v>
      </c>
      <c r="BD2169" t="s">
        <v>90</v>
      </c>
    </row>
    <row r="2170" spans="1:56" x14ac:dyDescent="0.35">
      <c r="A2170">
        <v>1314132</v>
      </c>
      <c r="B2170" t="s">
        <v>1672</v>
      </c>
      <c r="D2170" t="s">
        <v>85</v>
      </c>
      <c r="E2170" t="s">
        <v>86</v>
      </c>
      <c r="F2170" t="s">
        <v>58</v>
      </c>
      <c r="G2170" t="s">
        <v>59</v>
      </c>
      <c r="H2170" t="s">
        <v>60</v>
      </c>
      <c r="I2170" t="s">
        <v>1469</v>
      </c>
      <c r="J2170" t="s">
        <v>289</v>
      </c>
      <c r="K2170" t="s">
        <v>184</v>
      </c>
      <c r="L2170" t="s">
        <v>62</v>
      </c>
      <c r="M2170" t="s">
        <v>63</v>
      </c>
      <c r="N2170" t="s">
        <v>64</v>
      </c>
      <c r="P2170" t="s">
        <v>201</v>
      </c>
      <c r="R2170">
        <v>2246</v>
      </c>
      <c r="W2170" t="s">
        <v>66</v>
      </c>
      <c r="X2170" t="s">
        <v>67</v>
      </c>
      <c r="Y2170" t="s">
        <v>67</v>
      </c>
      <c r="Z2170" t="s">
        <v>68</v>
      </c>
      <c r="AB2170">
        <v>4</v>
      </c>
      <c r="AC2170" t="s">
        <v>61</v>
      </c>
      <c r="AJ2170" t="s">
        <v>69</v>
      </c>
      <c r="AY2170" t="s">
        <v>1474</v>
      </c>
      <c r="AZ2170">
        <v>9180</v>
      </c>
      <c r="BA2170" t="s">
        <v>1475</v>
      </c>
      <c r="BB2170" t="s">
        <v>1476</v>
      </c>
      <c r="BC2170">
        <v>1992</v>
      </c>
      <c r="BD2170" t="s">
        <v>185</v>
      </c>
    </row>
    <row r="2171" spans="1:56" x14ac:dyDescent="0.35">
      <c r="A2171">
        <v>1314621</v>
      </c>
      <c r="B2171" t="s">
        <v>1673</v>
      </c>
      <c r="D2171" t="s">
        <v>85</v>
      </c>
      <c r="E2171" t="s">
        <v>86</v>
      </c>
      <c r="F2171" t="s">
        <v>58</v>
      </c>
      <c r="G2171" t="s">
        <v>59</v>
      </c>
      <c r="H2171" t="s">
        <v>60</v>
      </c>
      <c r="J2171" t="s">
        <v>86</v>
      </c>
      <c r="L2171" t="s">
        <v>62</v>
      </c>
      <c r="M2171" t="s">
        <v>63</v>
      </c>
      <c r="N2171" t="s">
        <v>64</v>
      </c>
      <c r="P2171" t="s">
        <v>201</v>
      </c>
      <c r="R2171">
        <v>13</v>
      </c>
      <c r="W2171" t="s">
        <v>66</v>
      </c>
      <c r="X2171" t="s">
        <v>67</v>
      </c>
      <c r="Y2171" t="s">
        <v>67</v>
      </c>
      <c r="Z2171" t="s">
        <v>68</v>
      </c>
      <c r="AB2171">
        <v>4</v>
      </c>
      <c r="AC2171" t="s">
        <v>61</v>
      </c>
      <c r="AJ2171" t="s">
        <v>69</v>
      </c>
      <c r="AY2171" t="s">
        <v>275</v>
      </c>
      <c r="AZ2171">
        <v>2042</v>
      </c>
      <c r="BA2171" t="s">
        <v>1490</v>
      </c>
      <c r="BB2171" t="s">
        <v>1491</v>
      </c>
      <c r="BC2171">
        <v>1960</v>
      </c>
      <c r="BD2171" t="s">
        <v>90</v>
      </c>
    </row>
    <row r="2172" spans="1:56" x14ac:dyDescent="0.35">
      <c r="A2172">
        <v>1314621</v>
      </c>
      <c r="B2172" t="s">
        <v>1673</v>
      </c>
      <c r="D2172" t="s">
        <v>85</v>
      </c>
      <c r="E2172" t="s">
        <v>86</v>
      </c>
      <c r="F2172" t="s">
        <v>58</v>
      </c>
      <c r="G2172" t="s">
        <v>59</v>
      </c>
      <c r="H2172" t="s">
        <v>60</v>
      </c>
      <c r="J2172" t="s">
        <v>86</v>
      </c>
      <c r="L2172" t="s">
        <v>62</v>
      </c>
      <c r="M2172" t="s">
        <v>63</v>
      </c>
      <c r="N2172" t="s">
        <v>64</v>
      </c>
      <c r="P2172" t="s">
        <v>201</v>
      </c>
      <c r="R2172">
        <v>55</v>
      </c>
      <c r="W2172" t="s">
        <v>66</v>
      </c>
      <c r="X2172" t="s">
        <v>67</v>
      </c>
      <c r="Y2172" t="s">
        <v>67</v>
      </c>
      <c r="Z2172" t="s">
        <v>68</v>
      </c>
      <c r="AB2172">
        <v>4</v>
      </c>
      <c r="AC2172" t="s">
        <v>61</v>
      </c>
      <c r="AJ2172" t="s">
        <v>69</v>
      </c>
      <c r="AY2172" t="s">
        <v>275</v>
      </c>
      <c r="AZ2172">
        <v>2042</v>
      </c>
      <c r="BA2172" t="s">
        <v>1490</v>
      </c>
      <c r="BB2172" t="s">
        <v>1491</v>
      </c>
      <c r="BC2172">
        <v>1960</v>
      </c>
      <c r="BD2172" t="s">
        <v>90</v>
      </c>
    </row>
    <row r="2173" spans="1:56" x14ac:dyDescent="0.35">
      <c r="A2173">
        <v>1314621</v>
      </c>
      <c r="B2173" t="s">
        <v>1673</v>
      </c>
      <c r="C2173" t="s">
        <v>195</v>
      </c>
      <c r="D2173" t="s">
        <v>85</v>
      </c>
      <c r="E2173" t="s">
        <v>86</v>
      </c>
      <c r="F2173" t="s">
        <v>58</v>
      </c>
      <c r="G2173" t="s">
        <v>59</v>
      </c>
      <c r="H2173" t="s">
        <v>60</v>
      </c>
      <c r="I2173" t="s">
        <v>129</v>
      </c>
      <c r="J2173">
        <v>8</v>
      </c>
      <c r="K2173" t="s">
        <v>196</v>
      </c>
      <c r="L2173" t="s">
        <v>74</v>
      </c>
      <c r="M2173" t="s">
        <v>63</v>
      </c>
      <c r="N2173" t="s">
        <v>64</v>
      </c>
      <c r="P2173" t="s">
        <v>201</v>
      </c>
      <c r="R2173">
        <v>1.9</v>
      </c>
      <c r="T2173">
        <v>1.3</v>
      </c>
      <c r="V2173">
        <v>2.88</v>
      </c>
      <c r="W2173" t="s">
        <v>66</v>
      </c>
      <c r="X2173" t="s">
        <v>67</v>
      </c>
      <c r="Y2173" t="s">
        <v>67</v>
      </c>
      <c r="Z2173" t="s">
        <v>68</v>
      </c>
      <c r="AB2173">
        <v>4</v>
      </c>
      <c r="AC2173" t="s">
        <v>61</v>
      </c>
      <c r="AJ2173" t="s">
        <v>69</v>
      </c>
      <c r="AY2173" t="s">
        <v>197</v>
      </c>
      <c r="AZ2173">
        <v>3783</v>
      </c>
      <c r="BA2173" t="s">
        <v>198</v>
      </c>
      <c r="BB2173" t="s">
        <v>199</v>
      </c>
      <c r="BC2173">
        <v>1978</v>
      </c>
      <c r="BD2173" t="s">
        <v>200</v>
      </c>
    </row>
    <row r="2174" spans="1:56" x14ac:dyDescent="0.35">
      <c r="A2174">
        <v>1314621</v>
      </c>
      <c r="B2174" t="s">
        <v>1673</v>
      </c>
      <c r="C2174" t="s">
        <v>195</v>
      </c>
      <c r="D2174" t="s">
        <v>85</v>
      </c>
      <c r="E2174" t="s">
        <v>86</v>
      </c>
      <c r="F2174" t="s">
        <v>58</v>
      </c>
      <c r="G2174" t="s">
        <v>59</v>
      </c>
      <c r="H2174" t="s">
        <v>60</v>
      </c>
      <c r="I2174" t="s">
        <v>129</v>
      </c>
      <c r="J2174">
        <v>8</v>
      </c>
      <c r="K2174" t="s">
        <v>196</v>
      </c>
      <c r="L2174" t="s">
        <v>74</v>
      </c>
      <c r="M2174" t="s">
        <v>63</v>
      </c>
      <c r="N2174" t="s">
        <v>64</v>
      </c>
      <c r="P2174" t="s">
        <v>201</v>
      </c>
      <c r="R2174">
        <v>1.8</v>
      </c>
      <c r="T2174">
        <v>1.21</v>
      </c>
      <c r="V2174">
        <v>2.73</v>
      </c>
      <c r="W2174" t="s">
        <v>66</v>
      </c>
      <c r="X2174" t="s">
        <v>67</v>
      </c>
      <c r="Y2174" t="s">
        <v>67</v>
      </c>
      <c r="Z2174" t="s">
        <v>68</v>
      </c>
      <c r="AB2174">
        <v>4</v>
      </c>
      <c r="AC2174" t="s">
        <v>61</v>
      </c>
      <c r="AJ2174" t="s">
        <v>69</v>
      </c>
      <c r="AY2174" t="s">
        <v>197</v>
      </c>
      <c r="AZ2174">
        <v>3783</v>
      </c>
      <c r="BA2174" t="s">
        <v>198</v>
      </c>
      <c r="BB2174" t="s">
        <v>199</v>
      </c>
      <c r="BC2174">
        <v>1978</v>
      </c>
      <c r="BD2174" t="s">
        <v>200</v>
      </c>
    </row>
    <row r="2175" spans="1:56" x14ac:dyDescent="0.35">
      <c r="A2175">
        <v>1314643</v>
      </c>
      <c r="B2175" t="s">
        <v>1674</v>
      </c>
      <c r="D2175" t="s">
        <v>85</v>
      </c>
      <c r="E2175" t="s">
        <v>86</v>
      </c>
      <c r="F2175" t="s">
        <v>58</v>
      </c>
      <c r="G2175" t="s">
        <v>59</v>
      </c>
      <c r="H2175" t="s">
        <v>60</v>
      </c>
      <c r="J2175" t="s">
        <v>86</v>
      </c>
      <c r="L2175" t="s">
        <v>62</v>
      </c>
      <c r="M2175" t="s">
        <v>63</v>
      </c>
      <c r="N2175" t="s">
        <v>64</v>
      </c>
      <c r="P2175" t="s">
        <v>201</v>
      </c>
      <c r="R2175">
        <v>135</v>
      </c>
      <c r="W2175" t="s">
        <v>66</v>
      </c>
      <c r="X2175" t="s">
        <v>67</v>
      </c>
      <c r="Y2175" t="s">
        <v>67</v>
      </c>
      <c r="Z2175" t="s">
        <v>68</v>
      </c>
      <c r="AB2175">
        <v>4</v>
      </c>
      <c r="AC2175" t="s">
        <v>61</v>
      </c>
      <c r="AJ2175" t="s">
        <v>69</v>
      </c>
      <c r="AY2175" t="s">
        <v>275</v>
      </c>
      <c r="AZ2175">
        <v>2042</v>
      </c>
      <c r="BA2175" t="s">
        <v>1490</v>
      </c>
      <c r="BB2175" t="s">
        <v>1491</v>
      </c>
      <c r="BC2175">
        <v>1960</v>
      </c>
      <c r="BD2175" t="s">
        <v>90</v>
      </c>
    </row>
    <row r="2176" spans="1:56" x14ac:dyDescent="0.35">
      <c r="A2176">
        <v>1314643</v>
      </c>
      <c r="B2176" t="s">
        <v>1674</v>
      </c>
      <c r="D2176" t="s">
        <v>85</v>
      </c>
      <c r="E2176" t="s">
        <v>86</v>
      </c>
      <c r="F2176" t="s">
        <v>58</v>
      </c>
      <c r="G2176" t="s">
        <v>59</v>
      </c>
      <c r="H2176" t="s">
        <v>60</v>
      </c>
      <c r="J2176" t="s">
        <v>86</v>
      </c>
      <c r="L2176" t="s">
        <v>62</v>
      </c>
      <c r="M2176" t="s">
        <v>63</v>
      </c>
      <c r="N2176" t="s">
        <v>64</v>
      </c>
      <c r="P2176" t="s">
        <v>201</v>
      </c>
      <c r="R2176">
        <v>2.8</v>
      </c>
      <c r="W2176" t="s">
        <v>66</v>
      </c>
      <c r="X2176" t="s">
        <v>67</v>
      </c>
      <c r="Y2176" t="s">
        <v>67</v>
      </c>
      <c r="Z2176" t="s">
        <v>68</v>
      </c>
      <c r="AB2176">
        <v>4</v>
      </c>
      <c r="AC2176" t="s">
        <v>61</v>
      </c>
      <c r="AJ2176" t="s">
        <v>69</v>
      </c>
      <c r="AY2176" t="s">
        <v>275</v>
      </c>
      <c r="AZ2176">
        <v>2042</v>
      </c>
      <c r="BA2176" t="s">
        <v>1490</v>
      </c>
      <c r="BB2176" t="s">
        <v>1491</v>
      </c>
      <c r="BC2176">
        <v>1960</v>
      </c>
      <c r="BD2176" t="s">
        <v>90</v>
      </c>
    </row>
    <row r="2177" spans="1:56" x14ac:dyDescent="0.35">
      <c r="A2177">
        <v>1314870</v>
      </c>
      <c r="B2177" t="s">
        <v>1675</v>
      </c>
      <c r="C2177" t="s">
        <v>195</v>
      </c>
      <c r="D2177" t="s">
        <v>57</v>
      </c>
      <c r="E2177" t="s">
        <v>86</v>
      </c>
      <c r="F2177" t="s">
        <v>58</v>
      </c>
      <c r="G2177" t="s">
        <v>59</v>
      </c>
      <c r="H2177" t="s">
        <v>60</v>
      </c>
      <c r="I2177" t="s">
        <v>1469</v>
      </c>
      <c r="J2177" t="s">
        <v>289</v>
      </c>
      <c r="K2177" t="s">
        <v>184</v>
      </c>
      <c r="L2177" t="s">
        <v>62</v>
      </c>
      <c r="M2177" t="s">
        <v>63</v>
      </c>
      <c r="N2177" t="s">
        <v>64</v>
      </c>
      <c r="O2177" t="s">
        <v>1470</v>
      </c>
      <c r="P2177" t="s">
        <v>201</v>
      </c>
      <c r="R2177">
        <v>3655</v>
      </c>
      <c r="W2177" t="s">
        <v>66</v>
      </c>
      <c r="X2177" t="s">
        <v>67</v>
      </c>
      <c r="Y2177" t="s">
        <v>67</v>
      </c>
      <c r="Z2177" t="s">
        <v>68</v>
      </c>
      <c r="AB2177">
        <v>4</v>
      </c>
      <c r="AC2177" t="s">
        <v>61</v>
      </c>
      <c r="AJ2177" t="s">
        <v>69</v>
      </c>
      <c r="AY2177" t="s">
        <v>1471</v>
      </c>
      <c r="AZ2177">
        <v>76100</v>
      </c>
      <c r="BA2177" t="s">
        <v>1472</v>
      </c>
      <c r="BB2177" t="s">
        <v>1473</v>
      </c>
      <c r="BC2177">
        <v>1998</v>
      </c>
      <c r="BD2177" t="s">
        <v>185</v>
      </c>
    </row>
    <row r="2178" spans="1:56" x14ac:dyDescent="0.35">
      <c r="A2178">
        <v>1314870</v>
      </c>
      <c r="B2178" t="s">
        <v>1675</v>
      </c>
      <c r="D2178" t="s">
        <v>57</v>
      </c>
      <c r="E2178" t="s">
        <v>86</v>
      </c>
      <c r="F2178" t="s">
        <v>58</v>
      </c>
      <c r="G2178" t="s">
        <v>59</v>
      </c>
      <c r="H2178" t="s">
        <v>60</v>
      </c>
      <c r="I2178" t="s">
        <v>1469</v>
      </c>
      <c r="J2178" t="s">
        <v>289</v>
      </c>
      <c r="K2178" t="s">
        <v>184</v>
      </c>
      <c r="L2178" t="s">
        <v>62</v>
      </c>
      <c r="M2178" t="s">
        <v>63</v>
      </c>
      <c r="N2178" t="s">
        <v>64</v>
      </c>
      <c r="P2178" t="s">
        <v>1296</v>
      </c>
      <c r="R2178">
        <v>0.91500000000000004</v>
      </c>
      <c r="W2178" t="s">
        <v>66</v>
      </c>
      <c r="X2178" t="s">
        <v>67</v>
      </c>
      <c r="Y2178" t="s">
        <v>67</v>
      </c>
      <c r="Z2178" t="s">
        <v>68</v>
      </c>
      <c r="AB2178">
        <v>4</v>
      </c>
      <c r="AC2178" t="s">
        <v>61</v>
      </c>
      <c r="AJ2178" t="s">
        <v>69</v>
      </c>
      <c r="AY2178" t="s">
        <v>1474</v>
      </c>
      <c r="AZ2178">
        <v>9180</v>
      </c>
      <c r="BA2178" t="s">
        <v>1475</v>
      </c>
      <c r="BB2178" t="s">
        <v>1476</v>
      </c>
      <c r="BC2178">
        <v>1992</v>
      </c>
      <c r="BD2178" t="s">
        <v>185</v>
      </c>
    </row>
    <row r="2179" spans="1:56" x14ac:dyDescent="0.35">
      <c r="A2179">
        <v>1314870</v>
      </c>
      <c r="B2179" t="s">
        <v>1675</v>
      </c>
      <c r="D2179" t="s">
        <v>57</v>
      </c>
      <c r="E2179" t="s">
        <v>86</v>
      </c>
      <c r="F2179" t="s">
        <v>58</v>
      </c>
      <c r="G2179" t="s">
        <v>59</v>
      </c>
      <c r="H2179" t="s">
        <v>60</v>
      </c>
      <c r="I2179" t="s">
        <v>1469</v>
      </c>
      <c r="J2179" t="s">
        <v>289</v>
      </c>
      <c r="K2179" t="s">
        <v>184</v>
      </c>
      <c r="L2179" t="s">
        <v>62</v>
      </c>
      <c r="M2179" t="s">
        <v>63</v>
      </c>
      <c r="N2179" t="s">
        <v>64</v>
      </c>
      <c r="P2179" t="s">
        <v>201</v>
      </c>
      <c r="R2179">
        <v>403</v>
      </c>
      <c r="W2179" t="s">
        <v>66</v>
      </c>
      <c r="X2179" t="s">
        <v>67</v>
      </c>
      <c r="Y2179" t="s">
        <v>67</v>
      </c>
      <c r="Z2179" t="s">
        <v>68</v>
      </c>
      <c r="AB2179">
        <v>4</v>
      </c>
      <c r="AC2179" t="s">
        <v>61</v>
      </c>
      <c r="AJ2179" t="s">
        <v>69</v>
      </c>
      <c r="AY2179" t="s">
        <v>1474</v>
      </c>
      <c r="AZ2179">
        <v>9180</v>
      </c>
      <c r="BA2179" t="s">
        <v>1475</v>
      </c>
      <c r="BB2179" t="s">
        <v>1476</v>
      </c>
      <c r="BC2179">
        <v>1992</v>
      </c>
      <c r="BD2179" t="s">
        <v>185</v>
      </c>
    </row>
    <row r="2180" spans="1:56" x14ac:dyDescent="0.35">
      <c r="A2180">
        <v>1314870</v>
      </c>
      <c r="B2180" t="s">
        <v>1675</v>
      </c>
      <c r="D2180" t="s">
        <v>57</v>
      </c>
      <c r="E2180" t="s">
        <v>86</v>
      </c>
      <c r="F2180" t="s">
        <v>58</v>
      </c>
      <c r="G2180" t="s">
        <v>59</v>
      </c>
      <c r="H2180" t="s">
        <v>60</v>
      </c>
      <c r="I2180" t="s">
        <v>1469</v>
      </c>
      <c r="J2180" t="s">
        <v>289</v>
      </c>
      <c r="K2180" t="s">
        <v>184</v>
      </c>
      <c r="L2180" t="s">
        <v>62</v>
      </c>
      <c r="M2180" t="s">
        <v>63</v>
      </c>
      <c r="N2180" t="s">
        <v>64</v>
      </c>
      <c r="P2180" t="s">
        <v>201</v>
      </c>
      <c r="R2180">
        <v>3665</v>
      </c>
      <c r="W2180" t="s">
        <v>66</v>
      </c>
      <c r="X2180" t="s">
        <v>67</v>
      </c>
      <c r="Y2180" t="s">
        <v>67</v>
      </c>
      <c r="Z2180" t="s">
        <v>68</v>
      </c>
      <c r="AB2180">
        <v>4</v>
      </c>
      <c r="AC2180" t="s">
        <v>61</v>
      </c>
      <c r="AJ2180" t="s">
        <v>69</v>
      </c>
      <c r="AY2180" t="s">
        <v>1474</v>
      </c>
      <c r="AZ2180">
        <v>9180</v>
      </c>
      <c r="BA2180" t="s">
        <v>1475</v>
      </c>
      <c r="BB2180" t="s">
        <v>1476</v>
      </c>
      <c r="BC2180">
        <v>1992</v>
      </c>
      <c r="BD2180" t="s">
        <v>185</v>
      </c>
    </row>
    <row r="2181" spans="1:56" x14ac:dyDescent="0.35">
      <c r="A2181">
        <v>1314870</v>
      </c>
      <c r="B2181" t="s">
        <v>1675</v>
      </c>
      <c r="D2181" t="s">
        <v>85</v>
      </c>
      <c r="E2181" t="s">
        <v>86</v>
      </c>
      <c r="F2181" t="s">
        <v>58</v>
      </c>
      <c r="G2181" t="s">
        <v>59</v>
      </c>
      <c r="H2181" t="s">
        <v>60</v>
      </c>
      <c r="I2181" t="s">
        <v>1469</v>
      </c>
      <c r="J2181" t="s">
        <v>289</v>
      </c>
      <c r="K2181" t="s">
        <v>184</v>
      </c>
      <c r="L2181" t="s">
        <v>62</v>
      </c>
      <c r="M2181" t="s">
        <v>63</v>
      </c>
      <c r="N2181" t="s">
        <v>64</v>
      </c>
      <c r="P2181" t="s">
        <v>201</v>
      </c>
      <c r="R2181">
        <v>4013</v>
      </c>
      <c r="W2181" t="s">
        <v>66</v>
      </c>
      <c r="X2181" t="s">
        <v>67</v>
      </c>
      <c r="Y2181" t="s">
        <v>67</v>
      </c>
      <c r="Z2181" t="s">
        <v>68</v>
      </c>
      <c r="AB2181">
        <v>4</v>
      </c>
      <c r="AC2181" t="s">
        <v>61</v>
      </c>
      <c r="AJ2181" t="s">
        <v>69</v>
      </c>
      <c r="AY2181" t="s">
        <v>1474</v>
      </c>
      <c r="AZ2181">
        <v>9180</v>
      </c>
      <c r="BA2181" t="s">
        <v>1475</v>
      </c>
      <c r="BB2181" t="s">
        <v>1476</v>
      </c>
      <c r="BC2181">
        <v>1992</v>
      </c>
      <c r="BD2181" t="s">
        <v>185</v>
      </c>
    </row>
    <row r="2182" spans="1:56" x14ac:dyDescent="0.35">
      <c r="A2182">
        <v>1314870</v>
      </c>
      <c r="B2182" t="s">
        <v>1675</v>
      </c>
      <c r="D2182" t="s">
        <v>57</v>
      </c>
      <c r="E2182" t="s">
        <v>86</v>
      </c>
      <c r="F2182" t="s">
        <v>58</v>
      </c>
      <c r="G2182" t="s">
        <v>59</v>
      </c>
      <c r="H2182" t="s">
        <v>60</v>
      </c>
      <c r="I2182" t="s">
        <v>1469</v>
      </c>
      <c r="J2182" t="s">
        <v>289</v>
      </c>
      <c r="K2182" t="s">
        <v>184</v>
      </c>
      <c r="L2182" t="s">
        <v>62</v>
      </c>
      <c r="M2182" t="s">
        <v>63</v>
      </c>
      <c r="N2182" t="s">
        <v>64</v>
      </c>
      <c r="P2182" t="s">
        <v>1296</v>
      </c>
      <c r="R2182">
        <v>564</v>
      </c>
      <c r="W2182" t="s">
        <v>66</v>
      </c>
      <c r="X2182" t="s">
        <v>67</v>
      </c>
      <c r="Y2182" t="s">
        <v>67</v>
      </c>
      <c r="Z2182" t="s">
        <v>68</v>
      </c>
      <c r="AB2182">
        <v>4</v>
      </c>
      <c r="AC2182" t="s">
        <v>61</v>
      </c>
      <c r="AJ2182" t="s">
        <v>69</v>
      </c>
      <c r="AY2182" t="s">
        <v>1474</v>
      </c>
      <c r="AZ2182">
        <v>9180</v>
      </c>
      <c r="BA2182" t="s">
        <v>1475</v>
      </c>
      <c r="BB2182" t="s">
        <v>1476</v>
      </c>
      <c r="BC2182">
        <v>1992</v>
      </c>
      <c r="BD2182" t="s">
        <v>185</v>
      </c>
    </row>
    <row r="2183" spans="1:56" x14ac:dyDescent="0.35">
      <c r="A2183">
        <v>1314870</v>
      </c>
      <c r="B2183" t="s">
        <v>1675</v>
      </c>
      <c r="C2183" t="s">
        <v>195</v>
      </c>
      <c r="D2183" t="s">
        <v>57</v>
      </c>
      <c r="E2183" t="s">
        <v>86</v>
      </c>
      <c r="F2183" t="s">
        <v>58</v>
      </c>
      <c r="G2183" t="s">
        <v>59</v>
      </c>
      <c r="H2183" t="s">
        <v>60</v>
      </c>
      <c r="I2183" t="s">
        <v>1469</v>
      </c>
      <c r="J2183" t="s">
        <v>289</v>
      </c>
      <c r="K2183" t="s">
        <v>184</v>
      </c>
      <c r="L2183" t="s">
        <v>62</v>
      </c>
      <c r="M2183" t="s">
        <v>63</v>
      </c>
      <c r="N2183" t="s">
        <v>64</v>
      </c>
      <c r="O2183" t="s">
        <v>1470</v>
      </c>
      <c r="P2183" t="s">
        <v>1296</v>
      </c>
      <c r="R2183">
        <v>0.91500000000000004</v>
      </c>
      <c r="W2183" t="s">
        <v>66</v>
      </c>
      <c r="X2183" t="s">
        <v>67</v>
      </c>
      <c r="Y2183" t="s">
        <v>67</v>
      </c>
      <c r="Z2183" t="s">
        <v>68</v>
      </c>
      <c r="AB2183">
        <v>4</v>
      </c>
      <c r="AC2183" t="s">
        <v>61</v>
      </c>
      <c r="AJ2183" t="s">
        <v>69</v>
      </c>
      <c r="AY2183" t="s">
        <v>1471</v>
      </c>
      <c r="AZ2183">
        <v>76100</v>
      </c>
      <c r="BA2183" t="s">
        <v>1472</v>
      </c>
      <c r="BB2183" t="s">
        <v>1473</v>
      </c>
      <c r="BC2183">
        <v>1998</v>
      </c>
      <c r="BD2183" t="s">
        <v>185</v>
      </c>
    </row>
    <row r="2184" spans="1:56" x14ac:dyDescent="0.35">
      <c r="A2184">
        <v>1314983</v>
      </c>
      <c r="B2184" t="s">
        <v>1676</v>
      </c>
      <c r="C2184" t="s">
        <v>195</v>
      </c>
      <c r="D2184" t="s">
        <v>57</v>
      </c>
      <c r="E2184" t="s">
        <v>86</v>
      </c>
      <c r="F2184" t="s">
        <v>58</v>
      </c>
      <c r="G2184" t="s">
        <v>59</v>
      </c>
      <c r="H2184" t="s">
        <v>60</v>
      </c>
      <c r="I2184" t="s">
        <v>1469</v>
      </c>
      <c r="J2184" t="s">
        <v>289</v>
      </c>
      <c r="K2184" t="s">
        <v>184</v>
      </c>
      <c r="L2184" t="s">
        <v>62</v>
      </c>
      <c r="M2184" t="s">
        <v>63</v>
      </c>
      <c r="N2184" t="s">
        <v>64</v>
      </c>
      <c r="O2184" t="s">
        <v>1470</v>
      </c>
      <c r="P2184" t="s">
        <v>201</v>
      </c>
      <c r="R2184">
        <v>1826</v>
      </c>
      <c r="W2184" t="s">
        <v>66</v>
      </c>
      <c r="X2184" t="s">
        <v>67</v>
      </c>
      <c r="Y2184" t="s">
        <v>67</v>
      </c>
      <c r="Z2184" t="s">
        <v>68</v>
      </c>
      <c r="AB2184">
        <v>4</v>
      </c>
      <c r="AC2184" t="s">
        <v>61</v>
      </c>
      <c r="AJ2184" t="s">
        <v>69</v>
      </c>
      <c r="AY2184" t="s">
        <v>1471</v>
      </c>
      <c r="AZ2184">
        <v>76100</v>
      </c>
      <c r="BA2184" t="s">
        <v>1472</v>
      </c>
      <c r="BB2184" t="s">
        <v>1473</v>
      </c>
      <c r="BC2184">
        <v>1998</v>
      </c>
      <c r="BD2184" t="s">
        <v>185</v>
      </c>
    </row>
    <row r="2185" spans="1:56" x14ac:dyDescent="0.35">
      <c r="A2185">
        <v>1314983</v>
      </c>
      <c r="B2185" t="s">
        <v>1676</v>
      </c>
      <c r="D2185" t="s">
        <v>85</v>
      </c>
      <c r="E2185" t="s">
        <v>86</v>
      </c>
      <c r="F2185" t="s">
        <v>58</v>
      </c>
      <c r="G2185" t="s">
        <v>59</v>
      </c>
      <c r="H2185" t="s">
        <v>60</v>
      </c>
      <c r="I2185" t="s">
        <v>1469</v>
      </c>
      <c r="J2185" t="s">
        <v>289</v>
      </c>
      <c r="K2185" t="s">
        <v>184</v>
      </c>
      <c r="L2185" t="s">
        <v>62</v>
      </c>
      <c r="M2185" t="s">
        <v>63</v>
      </c>
      <c r="N2185" t="s">
        <v>64</v>
      </c>
      <c r="P2185" t="s">
        <v>201</v>
      </c>
      <c r="R2185">
        <v>1826</v>
      </c>
      <c r="W2185" t="s">
        <v>66</v>
      </c>
      <c r="X2185" t="s">
        <v>67</v>
      </c>
      <c r="Y2185" t="s">
        <v>67</v>
      </c>
      <c r="Z2185" t="s">
        <v>68</v>
      </c>
      <c r="AB2185">
        <v>4</v>
      </c>
      <c r="AC2185" t="s">
        <v>61</v>
      </c>
      <c r="AJ2185" t="s">
        <v>69</v>
      </c>
      <c r="AY2185" t="s">
        <v>1474</v>
      </c>
      <c r="AZ2185">
        <v>9180</v>
      </c>
      <c r="BA2185" t="s">
        <v>1475</v>
      </c>
      <c r="BB2185" t="s">
        <v>1476</v>
      </c>
      <c r="BC2185">
        <v>1992</v>
      </c>
      <c r="BD2185" t="s">
        <v>185</v>
      </c>
    </row>
    <row r="2186" spans="1:56" x14ac:dyDescent="0.35">
      <c r="A2186">
        <v>1317368</v>
      </c>
      <c r="B2186" t="s">
        <v>1677</v>
      </c>
      <c r="D2186" t="s">
        <v>57</v>
      </c>
      <c r="E2186" t="s">
        <v>86</v>
      </c>
      <c r="F2186" t="s">
        <v>58</v>
      </c>
      <c r="G2186" t="s">
        <v>59</v>
      </c>
      <c r="H2186" t="s">
        <v>60</v>
      </c>
      <c r="I2186" t="s">
        <v>1469</v>
      </c>
      <c r="J2186" t="s">
        <v>289</v>
      </c>
      <c r="K2186" t="s">
        <v>184</v>
      </c>
      <c r="L2186" t="s">
        <v>62</v>
      </c>
      <c r="M2186" t="s">
        <v>63</v>
      </c>
      <c r="N2186" t="s">
        <v>64</v>
      </c>
      <c r="P2186" t="s">
        <v>201</v>
      </c>
      <c r="R2186">
        <v>3963</v>
      </c>
      <c r="W2186" t="s">
        <v>66</v>
      </c>
      <c r="X2186" t="s">
        <v>67</v>
      </c>
      <c r="Y2186" t="s">
        <v>67</v>
      </c>
      <c r="Z2186" t="s">
        <v>68</v>
      </c>
      <c r="AB2186">
        <v>4</v>
      </c>
      <c r="AC2186" t="s">
        <v>61</v>
      </c>
      <c r="AJ2186" t="s">
        <v>69</v>
      </c>
      <c r="AY2186" t="s">
        <v>1474</v>
      </c>
      <c r="AZ2186">
        <v>9180</v>
      </c>
      <c r="BA2186" t="s">
        <v>1475</v>
      </c>
      <c r="BB2186" t="s">
        <v>1476</v>
      </c>
      <c r="BC2186">
        <v>1992</v>
      </c>
      <c r="BD2186" t="s">
        <v>185</v>
      </c>
    </row>
    <row r="2187" spans="1:56" x14ac:dyDescent="0.35">
      <c r="A2187">
        <v>1317368</v>
      </c>
      <c r="B2187" t="s">
        <v>1677</v>
      </c>
      <c r="D2187" t="s">
        <v>57</v>
      </c>
      <c r="E2187" t="s">
        <v>86</v>
      </c>
      <c r="F2187" t="s">
        <v>58</v>
      </c>
      <c r="G2187" t="s">
        <v>59</v>
      </c>
      <c r="H2187" t="s">
        <v>60</v>
      </c>
      <c r="I2187" t="s">
        <v>1469</v>
      </c>
      <c r="J2187" t="s">
        <v>289</v>
      </c>
      <c r="K2187" t="s">
        <v>184</v>
      </c>
      <c r="L2187" t="s">
        <v>62</v>
      </c>
      <c r="M2187" t="s">
        <v>63</v>
      </c>
      <c r="N2187" t="s">
        <v>64</v>
      </c>
      <c r="P2187" t="s">
        <v>201</v>
      </c>
      <c r="R2187">
        <v>3562</v>
      </c>
      <c r="W2187" t="s">
        <v>66</v>
      </c>
      <c r="X2187" t="s">
        <v>67</v>
      </c>
      <c r="Y2187" t="s">
        <v>67</v>
      </c>
      <c r="Z2187" t="s">
        <v>68</v>
      </c>
      <c r="AB2187">
        <v>4</v>
      </c>
      <c r="AC2187" t="s">
        <v>61</v>
      </c>
      <c r="AJ2187" t="s">
        <v>69</v>
      </c>
      <c r="AY2187" t="s">
        <v>1474</v>
      </c>
      <c r="AZ2187">
        <v>9180</v>
      </c>
      <c r="BA2187" t="s">
        <v>1475</v>
      </c>
      <c r="BB2187" t="s">
        <v>1476</v>
      </c>
      <c r="BC2187">
        <v>1992</v>
      </c>
      <c r="BD2187" t="s">
        <v>185</v>
      </c>
    </row>
    <row r="2188" spans="1:56" x14ac:dyDescent="0.35">
      <c r="A2188">
        <v>1317368</v>
      </c>
      <c r="B2188" t="s">
        <v>1677</v>
      </c>
      <c r="D2188" t="s">
        <v>57</v>
      </c>
      <c r="E2188" t="s">
        <v>86</v>
      </c>
      <c r="F2188" t="s">
        <v>58</v>
      </c>
      <c r="G2188" t="s">
        <v>59</v>
      </c>
      <c r="H2188" t="s">
        <v>60</v>
      </c>
      <c r="I2188" t="s">
        <v>1469</v>
      </c>
      <c r="J2188" t="s">
        <v>289</v>
      </c>
      <c r="K2188" t="s">
        <v>184</v>
      </c>
      <c r="L2188" t="s">
        <v>62</v>
      </c>
      <c r="M2188" t="s">
        <v>63</v>
      </c>
      <c r="N2188" t="s">
        <v>64</v>
      </c>
      <c r="P2188" t="s">
        <v>1296</v>
      </c>
      <c r="R2188">
        <v>0.29799999999999999</v>
      </c>
      <c r="W2188" t="s">
        <v>66</v>
      </c>
      <c r="X2188" t="s">
        <v>67</v>
      </c>
      <c r="Y2188" t="s">
        <v>67</v>
      </c>
      <c r="Z2188" t="s">
        <v>68</v>
      </c>
      <c r="AB2188">
        <v>4</v>
      </c>
      <c r="AC2188" t="s">
        <v>61</v>
      </c>
      <c r="AJ2188" t="s">
        <v>69</v>
      </c>
      <c r="AY2188" t="s">
        <v>1474</v>
      </c>
      <c r="AZ2188">
        <v>9180</v>
      </c>
      <c r="BA2188" t="s">
        <v>1475</v>
      </c>
      <c r="BB2188" t="s">
        <v>1476</v>
      </c>
      <c r="BC2188">
        <v>1992</v>
      </c>
      <c r="BD2188" t="s">
        <v>185</v>
      </c>
    </row>
    <row r="2189" spans="1:56" x14ac:dyDescent="0.35">
      <c r="A2189">
        <v>1317368</v>
      </c>
      <c r="B2189" t="s">
        <v>1677</v>
      </c>
      <c r="D2189" t="s">
        <v>57</v>
      </c>
      <c r="E2189" t="s">
        <v>86</v>
      </c>
      <c r="F2189" t="s">
        <v>58</v>
      </c>
      <c r="G2189" t="s">
        <v>59</v>
      </c>
      <c r="H2189" t="s">
        <v>60</v>
      </c>
      <c r="I2189" t="s">
        <v>1469</v>
      </c>
      <c r="J2189" t="s">
        <v>289</v>
      </c>
      <c r="K2189" t="s">
        <v>184</v>
      </c>
      <c r="L2189" t="s">
        <v>62</v>
      </c>
      <c r="M2189" t="s">
        <v>63</v>
      </c>
      <c r="N2189" t="s">
        <v>64</v>
      </c>
      <c r="P2189" t="s">
        <v>1296</v>
      </c>
      <c r="R2189">
        <v>3841</v>
      </c>
      <c r="W2189" t="s">
        <v>66</v>
      </c>
      <c r="X2189" t="s">
        <v>67</v>
      </c>
      <c r="Y2189" t="s">
        <v>67</v>
      </c>
      <c r="Z2189" t="s">
        <v>68</v>
      </c>
      <c r="AB2189">
        <v>4</v>
      </c>
      <c r="AC2189" t="s">
        <v>61</v>
      </c>
      <c r="AJ2189" t="s">
        <v>69</v>
      </c>
      <c r="AY2189" t="s">
        <v>1474</v>
      </c>
      <c r="AZ2189">
        <v>9180</v>
      </c>
      <c r="BA2189" t="s">
        <v>1475</v>
      </c>
      <c r="BB2189" t="s">
        <v>1476</v>
      </c>
      <c r="BC2189">
        <v>1992</v>
      </c>
      <c r="BD2189" t="s">
        <v>185</v>
      </c>
    </row>
    <row r="2190" spans="1:56" x14ac:dyDescent="0.35">
      <c r="A2190">
        <v>1317368</v>
      </c>
      <c r="B2190" t="s">
        <v>1677</v>
      </c>
      <c r="D2190" t="s">
        <v>85</v>
      </c>
      <c r="E2190" t="s">
        <v>86</v>
      </c>
      <c r="F2190" t="s">
        <v>58</v>
      </c>
      <c r="G2190" t="s">
        <v>59</v>
      </c>
      <c r="H2190" t="s">
        <v>60</v>
      </c>
      <c r="I2190" t="s">
        <v>1469</v>
      </c>
      <c r="J2190" t="s">
        <v>289</v>
      </c>
      <c r="K2190" t="s">
        <v>184</v>
      </c>
      <c r="L2190" t="s">
        <v>62</v>
      </c>
      <c r="M2190" t="s">
        <v>63</v>
      </c>
      <c r="N2190" t="s">
        <v>64</v>
      </c>
      <c r="P2190" t="s">
        <v>201</v>
      </c>
      <c r="R2190">
        <v>3486</v>
      </c>
      <c r="W2190" t="s">
        <v>66</v>
      </c>
      <c r="X2190" t="s">
        <v>67</v>
      </c>
      <c r="Y2190" t="s">
        <v>67</v>
      </c>
      <c r="Z2190" t="s">
        <v>68</v>
      </c>
      <c r="AB2190">
        <v>4</v>
      </c>
      <c r="AC2190" t="s">
        <v>61</v>
      </c>
      <c r="AJ2190" t="s">
        <v>69</v>
      </c>
      <c r="AY2190" t="s">
        <v>1474</v>
      </c>
      <c r="AZ2190">
        <v>9180</v>
      </c>
      <c r="BA2190" t="s">
        <v>1475</v>
      </c>
      <c r="BB2190" t="s">
        <v>1476</v>
      </c>
      <c r="BC2190">
        <v>1992</v>
      </c>
      <c r="BD2190" t="s">
        <v>185</v>
      </c>
    </row>
    <row r="2191" spans="1:56" x14ac:dyDescent="0.35">
      <c r="A2191">
        <v>1319773</v>
      </c>
      <c r="B2191" t="s">
        <v>1678</v>
      </c>
      <c r="C2191" t="s">
        <v>91</v>
      </c>
      <c r="D2191" t="s">
        <v>57</v>
      </c>
      <c r="E2191" t="s">
        <v>86</v>
      </c>
      <c r="F2191" t="s">
        <v>58</v>
      </c>
      <c r="G2191" t="s">
        <v>59</v>
      </c>
      <c r="H2191" t="s">
        <v>60</v>
      </c>
      <c r="J2191">
        <v>29</v>
      </c>
      <c r="K2191" t="s">
        <v>61</v>
      </c>
      <c r="L2191" t="s">
        <v>74</v>
      </c>
      <c r="M2191" t="s">
        <v>63</v>
      </c>
      <c r="N2191" t="s">
        <v>64</v>
      </c>
      <c r="P2191" t="s">
        <v>65</v>
      </c>
      <c r="R2191">
        <v>12.8</v>
      </c>
      <c r="W2191" t="s">
        <v>66</v>
      </c>
      <c r="X2191" t="s">
        <v>67</v>
      </c>
      <c r="Y2191" t="s">
        <v>67</v>
      </c>
      <c r="Z2191" t="s">
        <v>68</v>
      </c>
      <c r="AB2191">
        <v>4</v>
      </c>
      <c r="AC2191" t="s">
        <v>61</v>
      </c>
      <c r="AJ2191" t="s">
        <v>69</v>
      </c>
      <c r="AY2191" t="s">
        <v>75</v>
      </c>
      <c r="AZ2191">
        <v>3217</v>
      </c>
      <c r="BA2191" t="s">
        <v>76</v>
      </c>
      <c r="BB2191" t="s">
        <v>77</v>
      </c>
      <c r="BC2191">
        <v>1990</v>
      </c>
      <c r="BD2191" t="s">
        <v>73</v>
      </c>
    </row>
    <row r="2192" spans="1:56" x14ac:dyDescent="0.35">
      <c r="A2192">
        <v>1320076</v>
      </c>
      <c r="B2192" t="s">
        <v>1679</v>
      </c>
      <c r="D2192" t="s">
        <v>85</v>
      </c>
      <c r="E2192">
        <v>15</v>
      </c>
      <c r="F2192" t="s">
        <v>58</v>
      </c>
      <c r="G2192" t="s">
        <v>59</v>
      </c>
      <c r="H2192" t="s">
        <v>60</v>
      </c>
      <c r="J2192" t="s">
        <v>86</v>
      </c>
      <c r="L2192" t="s">
        <v>62</v>
      </c>
      <c r="M2192" t="s">
        <v>63</v>
      </c>
      <c r="N2192" t="s">
        <v>64</v>
      </c>
      <c r="P2192" t="s">
        <v>100</v>
      </c>
      <c r="R2192">
        <v>130</v>
      </c>
      <c r="W2192" t="s">
        <v>66</v>
      </c>
      <c r="X2192" t="s">
        <v>67</v>
      </c>
      <c r="Y2192" t="s">
        <v>67</v>
      </c>
      <c r="Z2192" t="s">
        <v>68</v>
      </c>
      <c r="AB2192">
        <v>4</v>
      </c>
      <c r="AC2192" t="s">
        <v>61</v>
      </c>
      <c r="AJ2192" t="s">
        <v>69</v>
      </c>
      <c r="AY2192" t="s">
        <v>1246</v>
      </c>
      <c r="AZ2192">
        <v>6969</v>
      </c>
      <c r="BA2192" t="s">
        <v>1247</v>
      </c>
      <c r="BB2192" t="s">
        <v>1248</v>
      </c>
      <c r="BC2192">
        <v>1973</v>
      </c>
      <c r="BD2192" t="s">
        <v>90</v>
      </c>
    </row>
    <row r="2193" spans="1:56" x14ac:dyDescent="0.35">
      <c r="A2193">
        <v>1320076</v>
      </c>
      <c r="B2193" t="s">
        <v>1679</v>
      </c>
      <c r="D2193" t="s">
        <v>85</v>
      </c>
      <c r="E2193" t="s">
        <v>86</v>
      </c>
      <c r="F2193" t="s">
        <v>58</v>
      </c>
      <c r="G2193" t="s">
        <v>59</v>
      </c>
      <c r="H2193" t="s">
        <v>60</v>
      </c>
      <c r="J2193" t="s">
        <v>86</v>
      </c>
      <c r="L2193" t="s">
        <v>62</v>
      </c>
      <c r="M2193" t="s">
        <v>63</v>
      </c>
      <c r="N2193" t="s">
        <v>64</v>
      </c>
      <c r="P2193" t="s">
        <v>100</v>
      </c>
      <c r="Q2193" t="s">
        <v>153</v>
      </c>
      <c r="R2193">
        <v>130</v>
      </c>
      <c r="W2193" t="s">
        <v>66</v>
      </c>
      <c r="X2193" t="s">
        <v>67</v>
      </c>
      <c r="Y2193" t="s">
        <v>67</v>
      </c>
      <c r="Z2193" t="s">
        <v>68</v>
      </c>
      <c r="AB2193">
        <v>4</v>
      </c>
      <c r="AC2193" t="s">
        <v>61</v>
      </c>
      <c r="AJ2193" t="s">
        <v>69</v>
      </c>
      <c r="AY2193" t="s">
        <v>1243</v>
      </c>
      <c r="AZ2193">
        <v>5789</v>
      </c>
      <c r="BA2193" t="s">
        <v>1244</v>
      </c>
      <c r="BB2193" t="s">
        <v>1245</v>
      </c>
      <c r="BC2193">
        <v>1974</v>
      </c>
      <c r="BD2193" t="s">
        <v>90</v>
      </c>
    </row>
    <row r="2194" spans="1:56" x14ac:dyDescent="0.35">
      <c r="A2194">
        <v>1324114</v>
      </c>
      <c r="B2194" t="s">
        <v>1680</v>
      </c>
      <c r="D2194" t="s">
        <v>85</v>
      </c>
      <c r="E2194">
        <v>15</v>
      </c>
      <c r="F2194" t="s">
        <v>58</v>
      </c>
      <c r="G2194" t="s">
        <v>59</v>
      </c>
      <c r="H2194" t="s">
        <v>60</v>
      </c>
      <c r="J2194" t="s">
        <v>86</v>
      </c>
      <c r="L2194" t="s">
        <v>62</v>
      </c>
      <c r="M2194" t="s">
        <v>63</v>
      </c>
      <c r="N2194" t="s">
        <v>64</v>
      </c>
      <c r="P2194" t="s">
        <v>100</v>
      </c>
      <c r="Q2194" t="s">
        <v>153</v>
      </c>
      <c r="R2194">
        <v>180</v>
      </c>
      <c r="W2194" t="s">
        <v>66</v>
      </c>
      <c r="X2194" t="s">
        <v>67</v>
      </c>
      <c r="Y2194" t="s">
        <v>67</v>
      </c>
      <c r="Z2194" t="s">
        <v>68</v>
      </c>
      <c r="AB2194">
        <v>4</v>
      </c>
      <c r="AC2194" t="s">
        <v>61</v>
      </c>
      <c r="AJ2194" t="s">
        <v>69</v>
      </c>
      <c r="AY2194" t="s">
        <v>1246</v>
      </c>
      <c r="AZ2194">
        <v>6969</v>
      </c>
      <c r="BA2194" t="s">
        <v>1247</v>
      </c>
      <c r="BB2194" t="s">
        <v>1248</v>
      </c>
      <c r="BC2194">
        <v>1973</v>
      </c>
      <c r="BD2194" t="s">
        <v>90</v>
      </c>
    </row>
    <row r="2195" spans="1:56" x14ac:dyDescent="0.35">
      <c r="A2195">
        <v>1324114</v>
      </c>
      <c r="B2195" t="s">
        <v>1680</v>
      </c>
      <c r="D2195" t="s">
        <v>85</v>
      </c>
      <c r="E2195" t="s">
        <v>86</v>
      </c>
      <c r="F2195" t="s">
        <v>58</v>
      </c>
      <c r="G2195" t="s">
        <v>59</v>
      </c>
      <c r="H2195" t="s">
        <v>60</v>
      </c>
      <c r="J2195" t="s">
        <v>86</v>
      </c>
      <c r="L2195" t="s">
        <v>62</v>
      </c>
      <c r="M2195" t="s">
        <v>63</v>
      </c>
      <c r="N2195" t="s">
        <v>64</v>
      </c>
      <c r="P2195" t="s">
        <v>100</v>
      </c>
      <c r="Q2195" t="s">
        <v>153</v>
      </c>
      <c r="R2195">
        <v>180</v>
      </c>
      <c r="W2195" t="s">
        <v>66</v>
      </c>
      <c r="X2195" t="s">
        <v>67</v>
      </c>
      <c r="Y2195" t="s">
        <v>67</v>
      </c>
      <c r="Z2195" t="s">
        <v>68</v>
      </c>
      <c r="AB2195">
        <v>4</v>
      </c>
      <c r="AC2195" t="s">
        <v>61</v>
      </c>
      <c r="AJ2195" t="s">
        <v>69</v>
      </c>
      <c r="AY2195" t="s">
        <v>1243</v>
      </c>
      <c r="AZ2195">
        <v>5789</v>
      </c>
      <c r="BA2195" t="s">
        <v>1244</v>
      </c>
      <c r="BB2195" t="s">
        <v>1245</v>
      </c>
      <c r="BC2195">
        <v>1974</v>
      </c>
      <c r="BD2195" t="s">
        <v>90</v>
      </c>
    </row>
    <row r="2196" spans="1:56" x14ac:dyDescent="0.35">
      <c r="A2196">
        <v>1325377</v>
      </c>
      <c r="B2196" t="s">
        <v>1681</v>
      </c>
      <c r="D2196" t="s">
        <v>85</v>
      </c>
      <c r="E2196" t="s">
        <v>86</v>
      </c>
      <c r="F2196" t="s">
        <v>58</v>
      </c>
      <c r="G2196" t="s">
        <v>59</v>
      </c>
      <c r="H2196" t="s">
        <v>60</v>
      </c>
      <c r="J2196" t="s">
        <v>86</v>
      </c>
      <c r="L2196" t="s">
        <v>62</v>
      </c>
      <c r="M2196" t="s">
        <v>63</v>
      </c>
      <c r="N2196" t="s">
        <v>64</v>
      </c>
      <c r="P2196" t="s">
        <v>100</v>
      </c>
      <c r="Q2196" t="s">
        <v>153</v>
      </c>
      <c r="R2196">
        <v>180</v>
      </c>
      <c r="W2196" t="s">
        <v>66</v>
      </c>
      <c r="X2196" t="s">
        <v>67</v>
      </c>
      <c r="Y2196" t="s">
        <v>67</v>
      </c>
      <c r="Z2196" t="s">
        <v>68</v>
      </c>
      <c r="AB2196">
        <v>4</v>
      </c>
      <c r="AC2196" t="s">
        <v>61</v>
      </c>
      <c r="AJ2196" t="s">
        <v>69</v>
      </c>
      <c r="AY2196" t="s">
        <v>1243</v>
      </c>
      <c r="AZ2196">
        <v>5789</v>
      </c>
      <c r="BA2196" t="s">
        <v>1244</v>
      </c>
      <c r="BB2196" t="s">
        <v>1245</v>
      </c>
      <c r="BC2196">
        <v>1974</v>
      </c>
      <c r="BD2196" t="s">
        <v>90</v>
      </c>
    </row>
    <row r="2197" spans="1:56" x14ac:dyDescent="0.35">
      <c r="A2197">
        <v>1325377</v>
      </c>
      <c r="B2197" t="s">
        <v>1681</v>
      </c>
      <c r="D2197" t="s">
        <v>85</v>
      </c>
      <c r="E2197">
        <v>15</v>
      </c>
      <c r="F2197" t="s">
        <v>58</v>
      </c>
      <c r="G2197" t="s">
        <v>59</v>
      </c>
      <c r="H2197" t="s">
        <v>60</v>
      </c>
      <c r="J2197" t="s">
        <v>86</v>
      </c>
      <c r="L2197" t="s">
        <v>62</v>
      </c>
      <c r="M2197" t="s">
        <v>63</v>
      </c>
      <c r="N2197" t="s">
        <v>64</v>
      </c>
      <c r="P2197" t="s">
        <v>100</v>
      </c>
      <c r="Q2197" t="s">
        <v>153</v>
      </c>
      <c r="R2197">
        <v>180</v>
      </c>
      <c r="W2197" t="s">
        <v>66</v>
      </c>
      <c r="X2197" t="s">
        <v>67</v>
      </c>
      <c r="Y2197" t="s">
        <v>67</v>
      </c>
      <c r="Z2197" t="s">
        <v>68</v>
      </c>
      <c r="AB2197">
        <v>4</v>
      </c>
      <c r="AC2197" t="s">
        <v>61</v>
      </c>
      <c r="AJ2197" t="s">
        <v>69</v>
      </c>
      <c r="AY2197" t="s">
        <v>1246</v>
      </c>
      <c r="AZ2197">
        <v>6969</v>
      </c>
      <c r="BA2197" t="s">
        <v>1247</v>
      </c>
      <c r="BB2197" t="s">
        <v>1248</v>
      </c>
      <c r="BC2197">
        <v>1973</v>
      </c>
      <c r="BD2197" t="s">
        <v>90</v>
      </c>
    </row>
    <row r="2198" spans="1:56" x14ac:dyDescent="0.35">
      <c r="A2198">
        <v>1326825</v>
      </c>
      <c r="B2198" t="s">
        <v>1682</v>
      </c>
      <c r="D2198" t="s">
        <v>85</v>
      </c>
      <c r="E2198" t="s">
        <v>86</v>
      </c>
      <c r="F2198" t="s">
        <v>58</v>
      </c>
      <c r="G2198" t="s">
        <v>59</v>
      </c>
      <c r="H2198" t="s">
        <v>60</v>
      </c>
      <c r="J2198" t="s">
        <v>86</v>
      </c>
      <c r="L2198" t="s">
        <v>62</v>
      </c>
      <c r="M2198" t="s">
        <v>63</v>
      </c>
      <c r="N2198" t="s">
        <v>64</v>
      </c>
      <c r="P2198" t="s">
        <v>100</v>
      </c>
      <c r="Q2198" t="s">
        <v>153</v>
      </c>
      <c r="R2198">
        <v>180</v>
      </c>
      <c r="W2198" t="s">
        <v>66</v>
      </c>
      <c r="X2198" t="s">
        <v>67</v>
      </c>
      <c r="Y2198" t="s">
        <v>67</v>
      </c>
      <c r="Z2198" t="s">
        <v>68</v>
      </c>
      <c r="AB2198">
        <v>4</v>
      </c>
      <c r="AC2198" t="s">
        <v>61</v>
      </c>
      <c r="AJ2198" t="s">
        <v>69</v>
      </c>
      <c r="AY2198" t="s">
        <v>1243</v>
      </c>
      <c r="AZ2198">
        <v>5789</v>
      </c>
      <c r="BA2198" t="s">
        <v>1244</v>
      </c>
      <c r="BB2198" t="s">
        <v>1245</v>
      </c>
      <c r="BC2198">
        <v>1974</v>
      </c>
      <c r="BD2198" t="s">
        <v>90</v>
      </c>
    </row>
    <row r="2199" spans="1:56" x14ac:dyDescent="0.35">
      <c r="A2199">
        <v>1326825</v>
      </c>
      <c r="B2199" t="s">
        <v>1682</v>
      </c>
      <c r="D2199" t="s">
        <v>85</v>
      </c>
      <c r="E2199">
        <v>15</v>
      </c>
      <c r="F2199" t="s">
        <v>58</v>
      </c>
      <c r="G2199" t="s">
        <v>59</v>
      </c>
      <c r="H2199" t="s">
        <v>60</v>
      </c>
      <c r="J2199" t="s">
        <v>86</v>
      </c>
      <c r="L2199" t="s">
        <v>62</v>
      </c>
      <c r="M2199" t="s">
        <v>63</v>
      </c>
      <c r="N2199" t="s">
        <v>64</v>
      </c>
      <c r="P2199" t="s">
        <v>100</v>
      </c>
      <c r="Q2199" t="s">
        <v>153</v>
      </c>
      <c r="R2199">
        <v>180</v>
      </c>
      <c r="W2199" t="s">
        <v>66</v>
      </c>
      <c r="X2199" t="s">
        <v>67</v>
      </c>
      <c r="Y2199" t="s">
        <v>67</v>
      </c>
      <c r="Z2199" t="s">
        <v>68</v>
      </c>
      <c r="AB2199">
        <v>4</v>
      </c>
      <c r="AC2199" t="s">
        <v>61</v>
      </c>
      <c r="AJ2199" t="s">
        <v>69</v>
      </c>
      <c r="AY2199" t="s">
        <v>1246</v>
      </c>
      <c r="AZ2199">
        <v>6969</v>
      </c>
      <c r="BA2199" t="s">
        <v>1247</v>
      </c>
      <c r="BB2199" t="s">
        <v>1248</v>
      </c>
      <c r="BC2199">
        <v>1973</v>
      </c>
      <c r="BD2199" t="s">
        <v>90</v>
      </c>
    </row>
    <row r="2200" spans="1:56" x14ac:dyDescent="0.35">
      <c r="A2200">
        <v>1327793</v>
      </c>
      <c r="B2200" t="s">
        <v>1683</v>
      </c>
      <c r="D2200" t="s">
        <v>85</v>
      </c>
      <c r="E2200" t="s">
        <v>86</v>
      </c>
      <c r="F2200" t="s">
        <v>58</v>
      </c>
      <c r="G2200" t="s">
        <v>59</v>
      </c>
      <c r="H2200" t="s">
        <v>60</v>
      </c>
      <c r="J2200" t="s">
        <v>86</v>
      </c>
      <c r="L2200" t="s">
        <v>62</v>
      </c>
      <c r="M2200" t="s">
        <v>63</v>
      </c>
      <c r="N2200" t="s">
        <v>64</v>
      </c>
      <c r="P2200" t="s">
        <v>100</v>
      </c>
      <c r="Q2200" t="s">
        <v>153</v>
      </c>
      <c r="R2200">
        <v>180</v>
      </c>
      <c r="W2200" t="s">
        <v>66</v>
      </c>
      <c r="X2200" t="s">
        <v>67</v>
      </c>
      <c r="Y2200" t="s">
        <v>67</v>
      </c>
      <c r="Z2200" t="s">
        <v>68</v>
      </c>
      <c r="AB2200">
        <v>4</v>
      </c>
      <c r="AC2200" t="s">
        <v>61</v>
      </c>
      <c r="AJ2200" t="s">
        <v>69</v>
      </c>
      <c r="AY2200" t="s">
        <v>1243</v>
      </c>
      <c r="AZ2200">
        <v>5789</v>
      </c>
      <c r="BA2200" t="s">
        <v>1244</v>
      </c>
      <c r="BB2200" t="s">
        <v>1245</v>
      </c>
      <c r="BC2200">
        <v>1974</v>
      </c>
      <c r="BD2200" t="s">
        <v>90</v>
      </c>
    </row>
    <row r="2201" spans="1:56" x14ac:dyDescent="0.35">
      <c r="A2201">
        <v>1327793</v>
      </c>
      <c r="B2201" t="s">
        <v>1683</v>
      </c>
      <c r="D2201" t="s">
        <v>85</v>
      </c>
      <c r="E2201">
        <v>15</v>
      </c>
      <c r="F2201" t="s">
        <v>58</v>
      </c>
      <c r="G2201" t="s">
        <v>59</v>
      </c>
      <c r="H2201" t="s">
        <v>60</v>
      </c>
      <c r="J2201" t="s">
        <v>86</v>
      </c>
      <c r="L2201" t="s">
        <v>62</v>
      </c>
      <c r="M2201" t="s">
        <v>63</v>
      </c>
      <c r="N2201" t="s">
        <v>64</v>
      </c>
      <c r="P2201" t="s">
        <v>100</v>
      </c>
      <c r="Q2201" t="s">
        <v>153</v>
      </c>
      <c r="R2201">
        <v>180</v>
      </c>
      <c r="W2201" t="s">
        <v>66</v>
      </c>
      <c r="X2201" t="s">
        <v>67</v>
      </c>
      <c r="Y2201" t="s">
        <v>67</v>
      </c>
      <c r="Z2201" t="s">
        <v>68</v>
      </c>
      <c r="AB2201">
        <v>4</v>
      </c>
      <c r="AC2201" t="s">
        <v>61</v>
      </c>
      <c r="AJ2201" t="s">
        <v>69</v>
      </c>
      <c r="AY2201" t="s">
        <v>1246</v>
      </c>
      <c r="AZ2201">
        <v>6969</v>
      </c>
      <c r="BA2201" t="s">
        <v>1247</v>
      </c>
      <c r="BB2201" t="s">
        <v>1248</v>
      </c>
      <c r="BC2201">
        <v>1973</v>
      </c>
      <c r="BD2201" t="s">
        <v>90</v>
      </c>
    </row>
    <row r="2202" spans="1:56" x14ac:dyDescent="0.35">
      <c r="A2202">
        <v>1330207</v>
      </c>
      <c r="B2202" t="s">
        <v>1684</v>
      </c>
      <c r="D2202" t="s">
        <v>85</v>
      </c>
      <c r="E2202" t="s">
        <v>86</v>
      </c>
      <c r="F2202" t="s">
        <v>58</v>
      </c>
      <c r="G2202" t="s">
        <v>59</v>
      </c>
      <c r="H2202" t="s">
        <v>60</v>
      </c>
      <c r="I2202" t="s">
        <v>129</v>
      </c>
      <c r="J2202" t="s">
        <v>86</v>
      </c>
      <c r="K2202" t="s">
        <v>196</v>
      </c>
      <c r="L2202" t="s">
        <v>62</v>
      </c>
      <c r="M2202" t="s">
        <v>63</v>
      </c>
      <c r="N2202" t="s">
        <v>64</v>
      </c>
      <c r="P2202" t="s">
        <v>100</v>
      </c>
      <c r="R2202">
        <v>42</v>
      </c>
      <c r="W2202" t="s">
        <v>66</v>
      </c>
      <c r="X2202" t="s">
        <v>67</v>
      </c>
      <c r="Y2202" t="s">
        <v>67</v>
      </c>
      <c r="Z2202" t="s">
        <v>68</v>
      </c>
      <c r="AB2202">
        <v>4</v>
      </c>
      <c r="AC2202" t="s">
        <v>61</v>
      </c>
      <c r="AJ2202" t="s">
        <v>69</v>
      </c>
      <c r="AY2202" t="s">
        <v>338</v>
      </c>
      <c r="AZ2202">
        <v>719</v>
      </c>
      <c r="BA2202" t="s">
        <v>339</v>
      </c>
      <c r="BB2202" t="s">
        <v>340</v>
      </c>
      <c r="BC2202">
        <v>1976</v>
      </c>
      <c r="BD2202" t="s">
        <v>341</v>
      </c>
    </row>
    <row r="2203" spans="1:56" x14ac:dyDescent="0.35">
      <c r="A2203">
        <v>1330207</v>
      </c>
      <c r="B2203" t="s">
        <v>1684</v>
      </c>
      <c r="D2203" t="s">
        <v>85</v>
      </c>
      <c r="E2203" t="s">
        <v>86</v>
      </c>
      <c r="F2203" t="s">
        <v>58</v>
      </c>
      <c r="G2203" t="s">
        <v>59</v>
      </c>
      <c r="H2203" t="s">
        <v>60</v>
      </c>
      <c r="J2203" t="s">
        <v>86</v>
      </c>
      <c r="L2203" t="s">
        <v>62</v>
      </c>
      <c r="M2203" t="s">
        <v>63</v>
      </c>
      <c r="N2203" t="s">
        <v>64</v>
      </c>
      <c r="P2203" t="s">
        <v>100</v>
      </c>
      <c r="R2203">
        <v>26.7</v>
      </c>
      <c r="T2203">
        <v>23.53</v>
      </c>
      <c r="V2203">
        <v>29.97</v>
      </c>
      <c r="W2203" t="s">
        <v>66</v>
      </c>
      <c r="X2203" t="s">
        <v>67</v>
      </c>
      <c r="Y2203" t="s">
        <v>67</v>
      </c>
      <c r="Z2203" t="s">
        <v>68</v>
      </c>
      <c r="AB2203">
        <v>4</v>
      </c>
      <c r="AC2203" t="s">
        <v>61</v>
      </c>
      <c r="AJ2203" t="s">
        <v>69</v>
      </c>
      <c r="AY2203" t="s">
        <v>168</v>
      </c>
      <c r="AZ2203">
        <v>728</v>
      </c>
      <c r="BA2203" t="s">
        <v>426</v>
      </c>
      <c r="BB2203" t="s">
        <v>427</v>
      </c>
      <c r="BC2203">
        <v>1966</v>
      </c>
      <c r="BD2203" t="s">
        <v>90</v>
      </c>
    </row>
    <row r="2204" spans="1:56" x14ac:dyDescent="0.35">
      <c r="A2204">
        <v>1330207</v>
      </c>
      <c r="B2204" t="s">
        <v>1684</v>
      </c>
      <c r="D2204" t="s">
        <v>85</v>
      </c>
      <c r="E2204" t="s">
        <v>86</v>
      </c>
      <c r="F2204" t="s">
        <v>58</v>
      </c>
      <c r="G2204" t="s">
        <v>59</v>
      </c>
      <c r="H2204" t="s">
        <v>60</v>
      </c>
      <c r="J2204" t="s">
        <v>86</v>
      </c>
      <c r="L2204" t="s">
        <v>62</v>
      </c>
      <c r="M2204" t="s">
        <v>63</v>
      </c>
      <c r="N2204" t="s">
        <v>64</v>
      </c>
      <c r="P2204" t="s">
        <v>100</v>
      </c>
      <c r="R2204">
        <v>28.77</v>
      </c>
      <c r="T2204">
        <v>25.62</v>
      </c>
      <c r="V2204">
        <v>32.64</v>
      </c>
      <c r="W2204" t="s">
        <v>66</v>
      </c>
      <c r="X2204" t="s">
        <v>67</v>
      </c>
      <c r="Y2204" t="s">
        <v>67</v>
      </c>
      <c r="Z2204" t="s">
        <v>68</v>
      </c>
      <c r="AB2204">
        <v>4</v>
      </c>
      <c r="AC2204" t="s">
        <v>61</v>
      </c>
      <c r="AJ2204" t="s">
        <v>69</v>
      </c>
      <c r="AY2204" t="s">
        <v>168</v>
      </c>
      <c r="AZ2204">
        <v>728</v>
      </c>
      <c r="BA2204" t="s">
        <v>426</v>
      </c>
      <c r="BB2204" t="s">
        <v>427</v>
      </c>
      <c r="BC2204">
        <v>1966</v>
      </c>
      <c r="BD2204" t="s">
        <v>90</v>
      </c>
    </row>
    <row r="2205" spans="1:56" x14ac:dyDescent="0.35">
      <c r="A2205">
        <v>1330207</v>
      </c>
      <c r="B2205" t="s">
        <v>1684</v>
      </c>
      <c r="C2205" t="s">
        <v>195</v>
      </c>
      <c r="D2205" t="s">
        <v>57</v>
      </c>
      <c r="E2205" t="s">
        <v>86</v>
      </c>
      <c r="F2205" t="s">
        <v>58</v>
      </c>
      <c r="G2205" t="s">
        <v>59</v>
      </c>
      <c r="H2205" t="s">
        <v>60</v>
      </c>
      <c r="J2205">
        <v>31</v>
      </c>
      <c r="K2205" t="s">
        <v>61</v>
      </c>
      <c r="L2205" t="s">
        <v>74</v>
      </c>
      <c r="M2205" t="s">
        <v>63</v>
      </c>
      <c r="N2205" t="s">
        <v>64</v>
      </c>
      <c r="P2205" t="s">
        <v>65</v>
      </c>
      <c r="R2205">
        <v>13.4</v>
      </c>
      <c r="W2205" t="s">
        <v>66</v>
      </c>
      <c r="X2205" t="s">
        <v>67</v>
      </c>
      <c r="Y2205" t="s">
        <v>67</v>
      </c>
      <c r="Z2205" t="s">
        <v>68</v>
      </c>
      <c r="AB2205">
        <v>4</v>
      </c>
      <c r="AC2205" t="s">
        <v>61</v>
      </c>
      <c r="AJ2205" t="s">
        <v>69</v>
      </c>
      <c r="AY2205" t="s">
        <v>75</v>
      </c>
      <c r="AZ2205">
        <v>3217</v>
      </c>
      <c r="BA2205" t="s">
        <v>76</v>
      </c>
      <c r="BB2205" t="s">
        <v>77</v>
      </c>
      <c r="BC2205">
        <v>1990</v>
      </c>
      <c r="BD2205" t="s">
        <v>73</v>
      </c>
    </row>
    <row r="2206" spans="1:56" x14ac:dyDescent="0.35">
      <c r="A2206">
        <v>1330387</v>
      </c>
      <c r="B2206" t="s">
        <v>1685</v>
      </c>
      <c r="D2206" t="s">
        <v>85</v>
      </c>
      <c r="E2206">
        <v>15</v>
      </c>
      <c r="F2206" t="s">
        <v>58</v>
      </c>
      <c r="G2206" t="s">
        <v>59</v>
      </c>
      <c r="H2206" t="s">
        <v>60</v>
      </c>
      <c r="J2206" t="s">
        <v>86</v>
      </c>
      <c r="L2206" t="s">
        <v>62</v>
      </c>
      <c r="M2206" t="s">
        <v>63</v>
      </c>
      <c r="N2206" t="s">
        <v>64</v>
      </c>
      <c r="P2206" t="s">
        <v>100</v>
      </c>
      <c r="Q2206" t="s">
        <v>153</v>
      </c>
      <c r="R2206">
        <v>180</v>
      </c>
      <c r="W2206" t="s">
        <v>66</v>
      </c>
      <c r="X2206" t="s">
        <v>67</v>
      </c>
      <c r="Y2206" t="s">
        <v>67</v>
      </c>
      <c r="Z2206" t="s">
        <v>68</v>
      </c>
      <c r="AB2206">
        <v>4</v>
      </c>
      <c r="AC2206" t="s">
        <v>61</v>
      </c>
      <c r="AJ2206" t="s">
        <v>69</v>
      </c>
      <c r="AY2206" t="s">
        <v>1246</v>
      </c>
      <c r="AZ2206">
        <v>6969</v>
      </c>
      <c r="BA2206" t="s">
        <v>1247</v>
      </c>
      <c r="BB2206" t="s">
        <v>1248</v>
      </c>
      <c r="BC2206">
        <v>1973</v>
      </c>
      <c r="BD2206" t="s">
        <v>90</v>
      </c>
    </row>
    <row r="2207" spans="1:56" x14ac:dyDescent="0.35">
      <c r="A2207">
        <v>1330387</v>
      </c>
      <c r="B2207" t="s">
        <v>1685</v>
      </c>
      <c r="D2207" t="s">
        <v>85</v>
      </c>
      <c r="E2207" t="s">
        <v>86</v>
      </c>
      <c r="F2207" t="s">
        <v>58</v>
      </c>
      <c r="G2207" t="s">
        <v>59</v>
      </c>
      <c r="H2207" t="s">
        <v>60</v>
      </c>
      <c r="J2207" t="s">
        <v>86</v>
      </c>
      <c r="L2207" t="s">
        <v>62</v>
      </c>
      <c r="M2207" t="s">
        <v>63</v>
      </c>
      <c r="N2207" t="s">
        <v>64</v>
      </c>
      <c r="P2207" t="s">
        <v>100</v>
      </c>
      <c r="Q2207" t="s">
        <v>153</v>
      </c>
      <c r="R2207">
        <v>180</v>
      </c>
      <c r="W2207" t="s">
        <v>66</v>
      </c>
      <c r="X2207" t="s">
        <v>67</v>
      </c>
      <c r="Y2207" t="s">
        <v>67</v>
      </c>
      <c r="Z2207" t="s">
        <v>68</v>
      </c>
      <c r="AB2207">
        <v>4</v>
      </c>
      <c r="AC2207" t="s">
        <v>61</v>
      </c>
      <c r="AJ2207" t="s">
        <v>69</v>
      </c>
      <c r="AY2207" t="s">
        <v>1243</v>
      </c>
      <c r="AZ2207">
        <v>5789</v>
      </c>
      <c r="BA2207" t="s">
        <v>1244</v>
      </c>
      <c r="BB2207" t="s">
        <v>1245</v>
      </c>
      <c r="BC2207">
        <v>1974</v>
      </c>
      <c r="BD2207" t="s">
        <v>90</v>
      </c>
    </row>
    <row r="2208" spans="1:56" x14ac:dyDescent="0.35">
      <c r="A2208">
        <v>1330434</v>
      </c>
      <c r="B2208" t="s">
        <v>1686</v>
      </c>
      <c r="D2208" t="s">
        <v>85</v>
      </c>
      <c r="E2208" t="s">
        <v>86</v>
      </c>
      <c r="F2208" t="s">
        <v>58</v>
      </c>
      <c r="G2208" t="s">
        <v>59</v>
      </c>
      <c r="H2208" t="s">
        <v>60</v>
      </c>
      <c r="J2208" t="s">
        <v>86</v>
      </c>
      <c r="L2208" t="s">
        <v>62</v>
      </c>
      <c r="M2208" t="s">
        <v>63</v>
      </c>
      <c r="N2208" t="s">
        <v>64</v>
      </c>
      <c r="O2208">
        <v>6</v>
      </c>
      <c r="P2208" t="s">
        <v>201</v>
      </c>
      <c r="R2208">
        <v>1900</v>
      </c>
      <c r="W2208" t="s">
        <v>66</v>
      </c>
      <c r="X2208" t="s">
        <v>67</v>
      </c>
      <c r="Y2208" t="s">
        <v>67</v>
      </c>
      <c r="Z2208" t="s">
        <v>68</v>
      </c>
      <c r="AB2208">
        <v>4</v>
      </c>
      <c r="AC2208" t="s">
        <v>61</v>
      </c>
      <c r="AJ2208" t="s">
        <v>69</v>
      </c>
      <c r="AY2208" t="s">
        <v>173</v>
      </c>
      <c r="AZ2208">
        <v>167113</v>
      </c>
      <c r="BA2208" t="s">
        <v>174</v>
      </c>
      <c r="BB2208" t="s">
        <v>175</v>
      </c>
      <c r="BC2208">
        <v>1974</v>
      </c>
      <c r="BD2208" t="s">
        <v>90</v>
      </c>
    </row>
    <row r="2209" spans="1:56" x14ac:dyDescent="0.35">
      <c r="A2209">
        <v>1330785</v>
      </c>
      <c r="B2209" t="s">
        <v>1687</v>
      </c>
      <c r="C2209" t="s">
        <v>1688</v>
      </c>
      <c r="D2209" t="s">
        <v>85</v>
      </c>
      <c r="E2209" t="s">
        <v>86</v>
      </c>
      <c r="F2209" t="s">
        <v>58</v>
      </c>
      <c r="G2209" t="s">
        <v>59</v>
      </c>
      <c r="H2209" t="s">
        <v>60</v>
      </c>
      <c r="J2209">
        <v>6</v>
      </c>
      <c r="K2209" t="s">
        <v>320</v>
      </c>
      <c r="L2209" t="s">
        <v>62</v>
      </c>
      <c r="M2209" t="s">
        <v>63</v>
      </c>
      <c r="N2209" t="s">
        <v>64</v>
      </c>
      <c r="O2209">
        <v>7</v>
      </c>
      <c r="P2209" t="s">
        <v>65</v>
      </c>
      <c r="Q2209" t="s">
        <v>153</v>
      </c>
      <c r="R2209">
        <v>100</v>
      </c>
      <c r="W2209" t="s">
        <v>66</v>
      </c>
      <c r="X2209" t="s">
        <v>67</v>
      </c>
      <c r="Y2209" t="s">
        <v>67</v>
      </c>
      <c r="Z2209" t="s">
        <v>68</v>
      </c>
      <c r="AB2209">
        <v>4</v>
      </c>
      <c r="AC2209" t="s">
        <v>61</v>
      </c>
      <c r="AJ2209" t="s">
        <v>69</v>
      </c>
      <c r="AY2209" t="s">
        <v>1134</v>
      </c>
      <c r="AZ2209">
        <v>179719</v>
      </c>
      <c r="BA2209" t="s">
        <v>1135</v>
      </c>
      <c r="BB2209" t="s">
        <v>1136</v>
      </c>
      <c r="BC2209">
        <v>2000</v>
      </c>
      <c r="BD2209" t="s">
        <v>324</v>
      </c>
    </row>
    <row r="2210" spans="1:56" x14ac:dyDescent="0.35">
      <c r="A2210">
        <v>1330785</v>
      </c>
      <c r="B2210" t="s">
        <v>1687</v>
      </c>
      <c r="C2210" t="s">
        <v>1689</v>
      </c>
      <c r="D2210" t="s">
        <v>85</v>
      </c>
      <c r="E2210" t="s">
        <v>86</v>
      </c>
      <c r="F2210" t="s">
        <v>58</v>
      </c>
      <c r="G2210" t="s">
        <v>59</v>
      </c>
      <c r="H2210" t="s">
        <v>60</v>
      </c>
      <c r="J2210">
        <v>5</v>
      </c>
      <c r="K2210" t="s">
        <v>320</v>
      </c>
      <c r="L2210" t="s">
        <v>62</v>
      </c>
      <c r="M2210" t="s">
        <v>63</v>
      </c>
      <c r="N2210" t="s">
        <v>64</v>
      </c>
      <c r="O2210">
        <v>7</v>
      </c>
      <c r="P2210" t="s">
        <v>65</v>
      </c>
      <c r="R2210">
        <v>44.8</v>
      </c>
      <c r="T2210">
        <v>37</v>
      </c>
      <c r="V2210">
        <v>54.3</v>
      </c>
      <c r="W2210" t="s">
        <v>66</v>
      </c>
      <c r="X2210" t="s">
        <v>67</v>
      </c>
      <c r="Y2210" t="s">
        <v>67</v>
      </c>
      <c r="Z2210" t="s">
        <v>68</v>
      </c>
      <c r="AB2210">
        <v>4</v>
      </c>
      <c r="AC2210" t="s">
        <v>61</v>
      </c>
      <c r="AJ2210" t="s">
        <v>69</v>
      </c>
      <c r="AY2210" t="s">
        <v>1134</v>
      </c>
      <c r="AZ2210">
        <v>179719</v>
      </c>
      <c r="BA2210" t="s">
        <v>1135</v>
      </c>
      <c r="BB2210" t="s">
        <v>1136</v>
      </c>
      <c r="BC2210">
        <v>2000</v>
      </c>
      <c r="BD2210" t="s">
        <v>324</v>
      </c>
    </row>
    <row r="2211" spans="1:56" x14ac:dyDescent="0.35">
      <c r="A2211">
        <v>1344678</v>
      </c>
      <c r="B2211" t="s">
        <v>1690</v>
      </c>
      <c r="C2211" t="s">
        <v>195</v>
      </c>
      <c r="D2211" t="s">
        <v>85</v>
      </c>
      <c r="E2211" t="s">
        <v>86</v>
      </c>
      <c r="F2211" t="s">
        <v>58</v>
      </c>
      <c r="G2211" t="s">
        <v>59</v>
      </c>
      <c r="H2211" t="s">
        <v>60</v>
      </c>
      <c r="I2211" t="s">
        <v>188</v>
      </c>
      <c r="J2211" t="s">
        <v>86</v>
      </c>
      <c r="L2211" t="s">
        <v>62</v>
      </c>
      <c r="M2211" t="s">
        <v>63</v>
      </c>
      <c r="N2211" t="s">
        <v>64</v>
      </c>
      <c r="P2211" t="s">
        <v>201</v>
      </c>
      <c r="R2211">
        <v>5.5E-2</v>
      </c>
      <c r="T2211">
        <v>3.7999999999999999E-2</v>
      </c>
      <c r="V2211">
        <v>8.1000000000000003E-2</v>
      </c>
      <c r="W2211" t="s">
        <v>66</v>
      </c>
      <c r="X2211" t="s">
        <v>67</v>
      </c>
      <c r="Y2211" t="s">
        <v>67</v>
      </c>
      <c r="Z2211" t="s">
        <v>68</v>
      </c>
      <c r="AB2211">
        <v>4</v>
      </c>
      <c r="AC2211" t="s">
        <v>61</v>
      </c>
      <c r="AJ2211" t="s">
        <v>69</v>
      </c>
      <c r="AY2211" t="s">
        <v>1691</v>
      </c>
      <c r="AZ2211">
        <v>12161</v>
      </c>
      <c r="BA2211" t="s">
        <v>1692</v>
      </c>
      <c r="BB2211" t="s">
        <v>1693</v>
      </c>
      <c r="BC2211">
        <v>1986</v>
      </c>
      <c r="BD2211" t="s">
        <v>90</v>
      </c>
    </row>
    <row r="2212" spans="1:56" x14ac:dyDescent="0.35">
      <c r="A2212">
        <v>1344678</v>
      </c>
      <c r="B2212" t="s">
        <v>1690</v>
      </c>
      <c r="C2212" t="s">
        <v>195</v>
      </c>
      <c r="D2212" t="s">
        <v>85</v>
      </c>
      <c r="E2212" t="s">
        <v>86</v>
      </c>
      <c r="F2212" t="s">
        <v>58</v>
      </c>
      <c r="G2212" t="s">
        <v>59</v>
      </c>
      <c r="H2212" t="s">
        <v>60</v>
      </c>
      <c r="I2212" t="s">
        <v>188</v>
      </c>
      <c r="J2212" t="s">
        <v>86</v>
      </c>
      <c r="L2212" t="s">
        <v>62</v>
      </c>
      <c r="M2212" t="s">
        <v>63</v>
      </c>
      <c r="N2212" t="s">
        <v>64</v>
      </c>
      <c r="P2212" t="s">
        <v>201</v>
      </c>
      <c r="R2212">
        <v>8.5000000000000006E-2</v>
      </c>
      <c r="T2212">
        <v>6.4000000000000001E-2</v>
      </c>
      <c r="V2212">
        <v>0.112</v>
      </c>
      <c r="W2212" t="s">
        <v>66</v>
      </c>
      <c r="X2212" t="s">
        <v>67</v>
      </c>
      <c r="Y2212" t="s">
        <v>67</v>
      </c>
      <c r="Z2212" t="s">
        <v>68</v>
      </c>
      <c r="AB2212">
        <v>4</v>
      </c>
      <c r="AC2212" t="s">
        <v>61</v>
      </c>
      <c r="AJ2212" t="s">
        <v>69</v>
      </c>
      <c r="AY2212" t="s">
        <v>1691</v>
      </c>
      <c r="AZ2212">
        <v>12161</v>
      </c>
      <c r="BA2212" t="s">
        <v>1692</v>
      </c>
      <c r="BB2212" t="s">
        <v>1693</v>
      </c>
      <c r="BC2212">
        <v>1986</v>
      </c>
      <c r="BD2212" t="s">
        <v>90</v>
      </c>
    </row>
    <row r="2213" spans="1:56" x14ac:dyDescent="0.35">
      <c r="A2213">
        <v>1344678</v>
      </c>
      <c r="B2213" t="s">
        <v>1690</v>
      </c>
      <c r="C2213" t="s">
        <v>195</v>
      </c>
      <c r="D2213" t="s">
        <v>85</v>
      </c>
      <c r="E2213" t="s">
        <v>86</v>
      </c>
      <c r="F2213" t="s">
        <v>58</v>
      </c>
      <c r="G2213" t="s">
        <v>59</v>
      </c>
      <c r="H2213" t="s">
        <v>60</v>
      </c>
      <c r="I2213" t="s">
        <v>188</v>
      </c>
      <c r="J2213" t="s">
        <v>86</v>
      </c>
      <c r="L2213" t="s">
        <v>62</v>
      </c>
      <c r="M2213" t="s">
        <v>63</v>
      </c>
      <c r="N2213" t="s">
        <v>64</v>
      </c>
      <c r="P2213" t="s">
        <v>201</v>
      </c>
      <c r="R2213">
        <v>0.18</v>
      </c>
      <c r="T2213">
        <v>0.16600000000000001</v>
      </c>
      <c r="V2213">
        <v>0.19500000000000001</v>
      </c>
      <c r="W2213" t="s">
        <v>66</v>
      </c>
      <c r="X2213" t="s">
        <v>67</v>
      </c>
      <c r="Y2213" t="s">
        <v>67</v>
      </c>
      <c r="Z2213" t="s">
        <v>68</v>
      </c>
      <c r="AB2213">
        <v>4</v>
      </c>
      <c r="AC2213" t="s">
        <v>61</v>
      </c>
      <c r="AJ2213" t="s">
        <v>69</v>
      </c>
      <c r="AY2213" t="s">
        <v>1691</v>
      </c>
      <c r="AZ2213">
        <v>12161</v>
      </c>
      <c r="BA2213" t="s">
        <v>1692</v>
      </c>
      <c r="BB2213" t="s">
        <v>1693</v>
      </c>
      <c r="BC2213">
        <v>1986</v>
      </c>
      <c r="BD2213" t="s">
        <v>90</v>
      </c>
    </row>
    <row r="2214" spans="1:56" x14ac:dyDescent="0.35">
      <c r="A2214">
        <v>1344678</v>
      </c>
      <c r="B2214" t="s">
        <v>1690</v>
      </c>
      <c r="C2214" t="s">
        <v>195</v>
      </c>
      <c r="D2214" t="s">
        <v>85</v>
      </c>
      <c r="E2214" t="s">
        <v>86</v>
      </c>
      <c r="F2214" t="s">
        <v>58</v>
      </c>
      <c r="G2214" t="s">
        <v>59</v>
      </c>
      <c r="H2214" t="s">
        <v>60</v>
      </c>
      <c r="I2214" t="s">
        <v>188</v>
      </c>
      <c r="J2214" t="s">
        <v>86</v>
      </c>
      <c r="L2214" t="s">
        <v>62</v>
      </c>
      <c r="M2214" t="s">
        <v>63</v>
      </c>
      <c r="N2214" t="s">
        <v>64</v>
      </c>
      <c r="P2214" t="s">
        <v>201</v>
      </c>
      <c r="R2214">
        <v>0.32300000000000001</v>
      </c>
      <c r="T2214">
        <v>0.25</v>
      </c>
      <c r="V2214">
        <v>0.41699999999999998</v>
      </c>
      <c r="W2214" t="s">
        <v>66</v>
      </c>
      <c r="X2214" t="s">
        <v>67</v>
      </c>
      <c r="Y2214" t="s">
        <v>67</v>
      </c>
      <c r="Z2214" t="s">
        <v>68</v>
      </c>
      <c r="AB2214">
        <v>4</v>
      </c>
      <c r="AC2214" t="s">
        <v>61</v>
      </c>
      <c r="AJ2214" t="s">
        <v>69</v>
      </c>
      <c r="AY2214" t="s">
        <v>1691</v>
      </c>
      <c r="AZ2214">
        <v>12161</v>
      </c>
      <c r="BA2214" t="s">
        <v>1692</v>
      </c>
      <c r="BB2214" t="s">
        <v>1693</v>
      </c>
      <c r="BC2214">
        <v>1986</v>
      </c>
      <c r="BD2214" t="s">
        <v>90</v>
      </c>
    </row>
    <row r="2215" spans="1:56" x14ac:dyDescent="0.35">
      <c r="A2215">
        <v>1344678</v>
      </c>
      <c r="B2215" t="s">
        <v>1690</v>
      </c>
      <c r="C2215" t="s">
        <v>195</v>
      </c>
      <c r="D2215" t="s">
        <v>85</v>
      </c>
      <c r="E2215" t="s">
        <v>86</v>
      </c>
      <c r="F2215" t="s">
        <v>58</v>
      </c>
      <c r="G2215" t="s">
        <v>59</v>
      </c>
      <c r="H2215" t="s">
        <v>60</v>
      </c>
      <c r="I2215" t="s">
        <v>188</v>
      </c>
      <c r="J2215" t="s">
        <v>86</v>
      </c>
      <c r="L2215" t="s">
        <v>62</v>
      </c>
      <c r="M2215" t="s">
        <v>63</v>
      </c>
      <c r="N2215" t="s">
        <v>64</v>
      </c>
      <c r="P2215" t="s">
        <v>201</v>
      </c>
      <c r="R2215">
        <v>0.51100000000000001</v>
      </c>
      <c r="T2215">
        <v>0.439</v>
      </c>
      <c r="V2215">
        <v>0.59399999999999997</v>
      </c>
      <c r="W2215" t="s">
        <v>66</v>
      </c>
      <c r="X2215" t="s">
        <v>67</v>
      </c>
      <c r="Y2215" t="s">
        <v>67</v>
      </c>
      <c r="Z2215" t="s">
        <v>68</v>
      </c>
      <c r="AB2215">
        <v>4</v>
      </c>
      <c r="AC2215" t="s">
        <v>61</v>
      </c>
      <c r="AJ2215" t="s">
        <v>69</v>
      </c>
      <c r="AY2215" t="s">
        <v>1691</v>
      </c>
      <c r="AZ2215">
        <v>12161</v>
      </c>
      <c r="BA2215" t="s">
        <v>1692</v>
      </c>
      <c r="BB2215" t="s">
        <v>1693</v>
      </c>
      <c r="BC2215">
        <v>1986</v>
      </c>
      <c r="BD2215" t="s">
        <v>90</v>
      </c>
    </row>
    <row r="2216" spans="1:56" x14ac:dyDescent="0.35">
      <c r="A2216">
        <v>1344678</v>
      </c>
      <c r="B2216" t="s">
        <v>1690</v>
      </c>
      <c r="C2216" t="s">
        <v>195</v>
      </c>
      <c r="D2216" t="s">
        <v>85</v>
      </c>
      <c r="E2216" t="s">
        <v>86</v>
      </c>
      <c r="F2216" t="s">
        <v>58</v>
      </c>
      <c r="G2216" t="s">
        <v>59</v>
      </c>
      <c r="H2216" t="s">
        <v>60</v>
      </c>
      <c r="I2216" t="s">
        <v>188</v>
      </c>
      <c r="J2216" t="s">
        <v>86</v>
      </c>
      <c r="L2216" t="s">
        <v>62</v>
      </c>
      <c r="M2216" t="s">
        <v>63</v>
      </c>
      <c r="N2216" t="s">
        <v>64</v>
      </c>
      <c r="P2216" t="s">
        <v>201</v>
      </c>
      <c r="Q2216" t="s">
        <v>153</v>
      </c>
      <c r="R2216">
        <v>0.98799999999999999</v>
      </c>
      <c r="W2216" t="s">
        <v>66</v>
      </c>
      <c r="X2216" t="s">
        <v>67</v>
      </c>
      <c r="Y2216" t="s">
        <v>67</v>
      </c>
      <c r="Z2216" t="s">
        <v>68</v>
      </c>
      <c r="AB2216">
        <v>4</v>
      </c>
      <c r="AC2216" t="s">
        <v>61</v>
      </c>
      <c r="AJ2216" t="s">
        <v>69</v>
      </c>
      <c r="AY2216" t="s">
        <v>1691</v>
      </c>
      <c r="AZ2216">
        <v>12161</v>
      </c>
      <c r="BA2216" t="s">
        <v>1692</v>
      </c>
      <c r="BB2216" t="s">
        <v>1693</v>
      </c>
      <c r="BC2216">
        <v>1986</v>
      </c>
      <c r="BD2216" t="s">
        <v>90</v>
      </c>
    </row>
    <row r="2217" spans="1:56" x14ac:dyDescent="0.35">
      <c r="A2217">
        <v>1344816</v>
      </c>
      <c r="B2217" t="s">
        <v>1694</v>
      </c>
      <c r="E2217">
        <v>29</v>
      </c>
      <c r="F2217" t="s">
        <v>58</v>
      </c>
      <c r="G2217" t="s">
        <v>59</v>
      </c>
      <c r="H2217" t="s">
        <v>60</v>
      </c>
      <c r="J2217" t="s">
        <v>86</v>
      </c>
      <c r="L2217" t="s">
        <v>62</v>
      </c>
      <c r="M2217" t="s">
        <v>63</v>
      </c>
      <c r="N2217" t="s">
        <v>64</v>
      </c>
      <c r="P2217" t="s">
        <v>201</v>
      </c>
      <c r="R2217">
        <v>31.6</v>
      </c>
      <c r="T2217">
        <v>24</v>
      </c>
      <c r="V2217">
        <v>41.7</v>
      </c>
      <c r="W2217" t="s">
        <v>66</v>
      </c>
      <c r="X2217" t="s">
        <v>67</v>
      </c>
      <c r="Y2217" t="s">
        <v>67</v>
      </c>
      <c r="Z2217" t="s">
        <v>68</v>
      </c>
      <c r="AB2217">
        <v>4</v>
      </c>
      <c r="AC2217" t="s">
        <v>61</v>
      </c>
      <c r="AJ2217" t="s">
        <v>69</v>
      </c>
      <c r="AY2217" t="s">
        <v>96</v>
      </c>
      <c r="AZ2217">
        <v>6797</v>
      </c>
      <c r="BA2217" t="s">
        <v>97</v>
      </c>
      <c r="BB2217" t="s">
        <v>98</v>
      </c>
      <c r="BC2217">
        <v>1986</v>
      </c>
      <c r="BD2217" t="s">
        <v>90</v>
      </c>
    </row>
    <row r="2218" spans="1:56" x14ac:dyDescent="0.35">
      <c r="A2218">
        <v>1397940</v>
      </c>
      <c r="B2218" t="s">
        <v>1695</v>
      </c>
      <c r="E2218">
        <v>95.5</v>
      </c>
      <c r="F2218" t="s">
        <v>58</v>
      </c>
      <c r="G2218" t="s">
        <v>59</v>
      </c>
      <c r="H2218" t="s">
        <v>60</v>
      </c>
      <c r="J2218" t="s">
        <v>86</v>
      </c>
      <c r="L2218" t="s">
        <v>62</v>
      </c>
      <c r="M2218" t="s">
        <v>63</v>
      </c>
      <c r="N2218" t="s">
        <v>64</v>
      </c>
      <c r="P2218" t="s">
        <v>65</v>
      </c>
      <c r="R2218">
        <v>4.0000000000000003E-5</v>
      </c>
      <c r="T2218">
        <v>2.0999999999999999E-5</v>
      </c>
      <c r="V2218">
        <v>7.7000000000000001E-5</v>
      </c>
      <c r="W2218" t="s">
        <v>66</v>
      </c>
      <c r="X2218" t="s">
        <v>67</v>
      </c>
      <c r="Y2218" t="s">
        <v>67</v>
      </c>
      <c r="Z2218" t="s">
        <v>68</v>
      </c>
      <c r="AB2218">
        <v>4</v>
      </c>
      <c r="AC2218" t="s">
        <v>61</v>
      </c>
      <c r="AJ2218" t="s">
        <v>69</v>
      </c>
      <c r="AY2218" t="s">
        <v>96</v>
      </c>
      <c r="AZ2218">
        <v>6797</v>
      </c>
      <c r="BA2218" t="s">
        <v>97</v>
      </c>
      <c r="BB2218" t="s">
        <v>98</v>
      </c>
      <c r="BC2218">
        <v>1986</v>
      </c>
      <c r="BD2218" t="s">
        <v>90</v>
      </c>
    </row>
    <row r="2219" spans="1:56" x14ac:dyDescent="0.35">
      <c r="A2219">
        <v>1397940</v>
      </c>
      <c r="B2219" t="s">
        <v>1695</v>
      </c>
      <c r="D2219" t="s">
        <v>85</v>
      </c>
      <c r="E2219">
        <v>10</v>
      </c>
      <c r="F2219" t="s">
        <v>58</v>
      </c>
      <c r="G2219" t="s">
        <v>59</v>
      </c>
      <c r="H2219" t="s">
        <v>60</v>
      </c>
      <c r="J2219" t="s">
        <v>86</v>
      </c>
      <c r="L2219" t="s">
        <v>62</v>
      </c>
      <c r="M2219" t="s">
        <v>63</v>
      </c>
      <c r="N2219" t="s">
        <v>64</v>
      </c>
      <c r="P2219" t="s">
        <v>65</v>
      </c>
      <c r="R2219">
        <v>4.6000000000000001E-4</v>
      </c>
      <c r="T2219">
        <v>2.3000000000000001E-4</v>
      </c>
      <c r="V2219">
        <v>9.1E-4</v>
      </c>
      <c r="W2219" t="s">
        <v>66</v>
      </c>
      <c r="X2219" t="s">
        <v>67</v>
      </c>
      <c r="Y2219" t="s">
        <v>67</v>
      </c>
      <c r="Z2219" t="s">
        <v>68</v>
      </c>
      <c r="AB2219">
        <v>4</v>
      </c>
      <c r="AC2219" t="s">
        <v>61</v>
      </c>
      <c r="AJ2219" t="s">
        <v>69</v>
      </c>
      <c r="AY2219" t="s">
        <v>621</v>
      </c>
      <c r="AZ2219">
        <v>15277</v>
      </c>
      <c r="BA2219" t="s">
        <v>622</v>
      </c>
      <c r="BB2219" t="s">
        <v>623</v>
      </c>
      <c r="BC2219">
        <v>1982</v>
      </c>
      <c r="BD2219" t="s">
        <v>90</v>
      </c>
    </row>
    <row r="2220" spans="1:56" x14ac:dyDescent="0.35">
      <c r="A2220">
        <v>1397940</v>
      </c>
      <c r="B2220" t="s">
        <v>1695</v>
      </c>
      <c r="E2220">
        <v>95.5</v>
      </c>
      <c r="F2220" t="s">
        <v>58</v>
      </c>
      <c r="G2220" t="s">
        <v>59</v>
      </c>
      <c r="H2220" t="s">
        <v>60</v>
      </c>
      <c r="J2220" t="s">
        <v>86</v>
      </c>
      <c r="L2220" t="s">
        <v>62</v>
      </c>
      <c r="M2220" t="s">
        <v>63</v>
      </c>
      <c r="N2220" t="s">
        <v>64</v>
      </c>
      <c r="P2220" t="s">
        <v>65</v>
      </c>
      <c r="R2220">
        <v>3.2199999999999997E-5</v>
      </c>
      <c r="T2220">
        <v>2.0299999999999999E-5</v>
      </c>
      <c r="V2220">
        <v>5.0500000000000001E-5</v>
      </c>
      <c r="W2220" t="s">
        <v>66</v>
      </c>
      <c r="X2220" t="s">
        <v>67</v>
      </c>
      <c r="Y2220" t="s">
        <v>67</v>
      </c>
      <c r="Z2220" t="s">
        <v>68</v>
      </c>
      <c r="AB2220">
        <v>4</v>
      </c>
      <c r="AC2220" t="s">
        <v>61</v>
      </c>
      <c r="AJ2220" t="s">
        <v>69</v>
      </c>
      <c r="AY2220" t="s">
        <v>96</v>
      </c>
      <c r="AZ2220">
        <v>6797</v>
      </c>
      <c r="BA2220" t="s">
        <v>97</v>
      </c>
      <c r="BB2220" t="s">
        <v>98</v>
      </c>
      <c r="BC2220">
        <v>1986</v>
      </c>
      <c r="BD2220" t="s">
        <v>90</v>
      </c>
    </row>
    <row r="2221" spans="1:56" x14ac:dyDescent="0.35">
      <c r="A2221">
        <v>1397940</v>
      </c>
      <c r="B2221" t="s">
        <v>1695</v>
      </c>
      <c r="D2221" t="s">
        <v>85</v>
      </c>
      <c r="E2221" t="s">
        <v>86</v>
      </c>
      <c r="F2221" t="s">
        <v>58</v>
      </c>
      <c r="G2221" t="s">
        <v>59</v>
      </c>
      <c r="H2221" t="s">
        <v>60</v>
      </c>
      <c r="J2221" t="s">
        <v>86</v>
      </c>
      <c r="L2221" t="s">
        <v>62</v>
      </c>
      <c r="M2221" t="s">
        <v>63</v>
      </c>
      <c r="N2221" t="s">
        <v>64</v>
      </c>
      <c r="O2221">
        <v>6</v>
      </c>
      <c r="P2221" t="s">
        <v>100</v>
      </c>
      <c r="R2221">
        <v>2.8E-5</v>
      </c>
      <c r="T2221">
        <v>2.3E-5</v>
      </c>
      <c r="V2221">
        <v>3.4E-5</v>
      </c>
      <c r="W2221" t="s">
        <v>66</v>
      </c>
      <c r="X2221" t="s">
        <v>67</v>
      </c>
      <c r="Y2221" t="s">
        <v>67</v>
      </c>
      <c r="Z2221" t="s">
        <v>68</v>
      </c>
      <c r="AB2221">
        <v>4</v>
      </c>
      <c r="AC2221" t="s">
        <v>61</v>
      </c>
      <c r="AJ2221" t="s">
        <v>69</v>
      </c>
      <c r="AY2221" t="s">
        <v>834</v>
      </c>
      <c r="AZ2221">
        <v>112108</v>
      </c>
      <c r="BA2221" t="s">
        <v>1328</v>
      </c>
      <c r="BB2221" t="s">
        <v>1329</v>
      </c>
      <c r="BC2221">
        <v>1985</v>
      </c>
      <c r="BD2221" t="s">
        <v>90</v>
      </c>
    </row>
    <row r="2222" spans="1:56" x14ac:dyDescent="0.35">
      <c r="A2222">
        <v>1397940</v>
      </c>
      <c r="B2222" t="s">
        <v>1695</v>
      </c>
      <c r="D2222" t="s">
        <v>85</v>
      </c>
      <c r="E2222">
        <v>10</v>
      </c>
      <c r="F2222" t="s">
        <v>58</v>
      </c>
      <c r="G2222" t="s">
        <v>59</v>
      </c>
      <c r="H2222" t="s">
        <v>60</v>
      </c>
      <c r="J2222" t="s">
        <v>86</v>
      </c>
      <c r="L2222" t="s">
        <v>62</v>
      </c>
      <c r="M2222" t="s">
        <v>63</v>
      </c>
      <c r="N2222" t="s">
        <v>64</v>
      </c>
      <c r="P2222" t="s">
        <v>65</v>
      </c>
      <c r="R2222">
        <v>8.1999999999999998E-4</v>
      </c>
      <c r="T2222">
        <v>4.6000000000000001E-4</v>
      </c>
      <c r="V2222">
        <v>1.4300000000000001E-3</v>
      </c>
      <c r="W2222" t="s">
        <v>66</v>
      </c>
      <c r="X2222" t="s">
        <v>67</v>
      </c>
      <c r="Y2222" t="s">
        <v>67</v>
      </c>
      <c r="Z2222" t="s">
        <v>68</v>
      </c>
      <c r="AB2222">
        <v>4</v>
      </c>
      <c r="AC2222" t="s">
        <v>61</v>
      </c>
      <c r="AJ2222" t="s">
        <v>69</v>
      </c>
      <c r="AY2222" t="s">
        <v>621</v>
      </c>
      <c r="AZ2222">
        <v>15277</v>
      </c>
      <c r="BA2222" t="s">
        <v>622</v>
      </c>
      <c r="BB2222" t="s">
        <v>623</v>
      </c>
      <c r="BC2222">
        <v>1982</v>
      </c>
      <c r="BD2222" t="s">
        <v>90</v>
      </c>
    </row>
    <row r="2223" spans="1:56" x14ac:dyDescent="0.35">
      <c r="A2223">
        <v>1397940</v>
      </c>
      <c r="B2223" t="s">
        <v>1695</v>
      </c>
      <c r="D2223" t="s">
        <v>85</v>
      </c>
      <c r="E2223">
        <v>10</v>
      </c>
      <c r="F2223" t="s">
        <v>58</v>
      </c>
      <c r="G2223" t="s">
        <v>59</v>
      </c>
      <c r="H2223" t="s">
        <v>60</v>
      </c>
      <c r="J2223" t="s">
        <v>86</v>
      </c>
      <c r="L2223" t="s">
        <v>62</v>
      </c>
      <c r="M2223" t="s">
        <v>63</v>
      </c>
      <c r="N2223" t="s">
        <v>64</v>
      </c>
      <c r="P2223" t="s">
        <v>65</v>
      </c>
      <c r="R2223">
        <v>7.1000000000000002E-4</v>
      </c>
      <c r="T2223">
        <v>6.0999999999999997E-4</v>
      </c>
      <c r="V2223">
        <v>8.3000000000000001E-4</v>
      </c>
      <c r="W2223" t="s">
        <v>66</v>
      </c>
      <c r="X2223" t="s">
        <v>67</v>
      </c>
      <c r="Y2223" t="s">
        <v>67</v>
      </c>
      <c r="Z2223" t="s">
        <v>68</v>
      </c>
      <c r="AB2223">
        <v>4</v>
      </c>
      <c r="AC2223" t="s">
        <v>61</v>
      </c>
      <c r="AJ2223" t="s">
        <v>69</v>
      </c>
      <c r="AY2223" t="s">
        <v>621</v>
      </c>
      <c r="AZ2223">
        <v>15277</v>
      </c>
      <c r="BA2223" t="s">
        <v>622</v>
      </c>
      <c r="BB2223" t="s">
        <v>623</v>
      </c>
      <c r="BC2223">
        <v>1982</v>
      </c>
      <c r="BD2223" t="s">
        <v>90</v>
      </c>
    </row>
    <row r="2224" spans="1:56" x14ac:dyDescent="0.35">
      <c r="A2224">
        <v>1397940</v>
      </c>
      <c r="B2224" t="s">
        <v>1695</v>
      </c>
      <c r="D2224" t="s">
        <v>85</v>
      </c>
      <c r="E2224">
        <v>10</v>
      </c>
      <c r="F2224" t="s">
        <v>58</v>
      </c>
      <c r="G2224" t="s">
        <v>59</v>
      </c>
      <c r="H2224" t="s">
        <v>60</v>
      </c>
      <c r="J2224" t="s">
        <v>86</v>
      </c>
      <c r="L2224" t="s">
        <v>62</v>
      </c>
      <c r="M2224" t="s">
        <v>63</v>
      </c>
      <c r="N2224" t="s">
        <v>64</v>
      </c>
      <c r="P2224" t="s">
        <v>65</v>
      </c>
      <c r="R2224">
        <v>2.3999999999999998E-3</v>
      </c>
      <c r="T2224">
        <v>1.4E-3</v>
      </c>
      <c r="V2224">
        <v>4.3E-3</v>
      </c>
      <c r="W2224" t="s">
        <v>66</v>
      </c>
      <c r="X2224" t="s">
        <v>67</v>
      </c>
      <c r="Y2224" t="s">
        <v>67</v>
      </c>
      <c r="Z2224" t="s">
        <v>68</v>
      </c>
      <c r="AB2224">
        <v>4</v>
      </c>
      <c r="AC2224" t="s">
        <v>61</v>
      </c>
      <c r="AJ2224" t="s">
        <v>69</v>
      </c>
      <c r="AY2224" t="s">
        <v>621</v>
      </c>
      <c r="AZ2224">
        <v>15277</v>
      </c>
      <c r="BA2224" t="s">
        <v>622</v>
      </c>
      <c r="BB2224" t="s">
        <v>623</v>
      </c>
      <c r="BC2224">
        <v>1982</v>
      </c>
      <c r="BD2224" t="s">
        <v>90</v>
      </c>
    </row>
    <row r="2225" spans="1:56" x14ac:dyDescent="0.35">
      <c r="A2225">
        <v>1397940</v>
      </c>
      <c r="B2225" t="s">
        <v>1695</v>
      </c>
      <c r="D2225" t="s">
        <v>85</v>
      </c>
      <c r="E2225">
        <v>10</v>
      </c>
      <c r="F2225" t="s">
        <v>58</v>
      </c>
      <c r="G2225" t="s">
        <v>59</v>
      </c>
      <c r="H2225" t="s">
        <v>60</v>
      </c>
      <c r="J2225" t="s">
        <v>86</v>
      </c>
      <c r="L2225" t="s">
        <v>62</v>
      </c>
      <c r="M2225" t="s">
        <v>63</v>
      </c>
      <c r="N2225" t="s">
        <v>64</v>
      </c>
      <c r="P2225" t="s">
        <v>65</v>
      </c>
      <c r="R2225">
        <v>2.7E-4</v>
      </c>
      <c r="T2225">
        <v>1E-4</v>
      </c>
      <c r="V2225">
        <v>6.9999999999999999E-4</v>
      </c>
      <c r="W2225" t="s">
        <v>66</v>
      </c>
      <c r="X2225" t="s">
        <v>67</v>
      </c>
      <c r="Y2225" t="s">
        <v>67</v>
      </c>
      <c r="Z2225" t="s">
        <v>68</v>
      </c>
      <c r="AB2225">
        <v>4</v>
      </c>
      <c r="AC2225" t="s">
        <v>61</v>
      </c>
      <c r="AJ2225" t="s">
        <v>69</v>
      </c>
      <c r="AY2225" t="s">
        <v>621</v>
      </c>
      <c r="AZ2225">
        <v>15277</v>
      </c>
      <c r="BA2225" t="s">
        <v>622</v>
      </c>
      <c r="BB2225" t="s">
        <v>623</v>
      </c>
      <c r="BC2225">
        <v>1982</v>
      </c>
      <c r="BD2225" t="s">
        <v>90</v>
      </c>
    </row>
    <row r="2226" spans="1:56" x14ac:dyDescent="0.35">
      <c r="A2226">
        <v>1397940</v>
      </c>
      <c r="B2226" t="s">
        <v>1695</v>
      </c>
      <c r="E2226">
        <v>95.5</v>
      </c>
      <c r="F2226" t="s">
        <v>58</v>
      </c>
      <c r="G2226" t="s">
        <v>59</v>
      </c>
      <c r="H2226" t="s">
        <v>60</v>
      </c>
      <c r="J2226" t="s">
        <v>86</v>
      </c>
      <c r="L2226" t="s">
        <v>74</v>
      </c>
      <c r="M2226" t="s">
        <v>63</v>
      </c>
      <c r="N2226" t="s">
        <v>64</v>
      </c>
      <c r="P2226" t="s">
        <v>65</v>
      </c>
      <c r="R2226">
        <v>3.8000000000000002E-5</v>
      </c>
      <c r="T2226">
        <v>2.3E-5</v>
      </c>
      <c r="V2226">
        <v>6.0999999999999999E-5</v>
      </c>
      <c r="W2226" t="s">
        <v>66</v>
      </c>
      <c r="X2226" t="s">
        <v>67</v>
      </c>
      <c r="Y2226" t="s">
        <v>67</v>
      </c>
      <c r="Z2226" t="s">
        <v>68</v>
      </c>
      <c r="AB2226">
        <v>4</v>
      </c>
      <c r="AC2226" t="s">
        <v>61</v>
      </c>
      <c r="AJ2226" t="s">
        <v>69</v>
      </c>
      <c r="AY2226" t="s">
        <v>96</v>
      </c>
      <c r="AZ2226">
        <v>6797</v>
      </c>
      <c r="BA2226" t="s">
        <v>97</v>
      </c>
      <c r="BB2226" t="s">
        <v>98</v>
      </c>
      <c r="BC2226">
        <v>1986</v>
      </c>
      <c r="BD2226" t="s">
        <v>90</v>
      </c>
    </row>
    <row r="2227" spans="1:56" x14ac:dyDescent="0.35">
      <c r="A2227">
        <v>1397940</v>
      </c>
      <c r="B2227" t="s">
        <v>1695</v>
      </c>
      <c r="E2227">
        <v>95.5</v>
      </c>
      <c r="F2227" t="s">
        <v>58</v>
      </c>
      <c r="G2227" t="s">
        <v>59</v>
      </c>
      <c r="H2227" t="s">
        <v>60</v>
      </c>
      <c r="J2227" t="s">
        <v>86</v>
      </c>
      <c r="L2227" t="s">
        <v>62</v>
      </c>
      <c r="M2227" t="s">
        <v>63</v>
      </c>
      <c r="N2227" t="s">
        <v>64</v>
      </c>
      <c r="P2227" t="s">
        <v>65</v>
      </c>
      <c r="R2227">
        <v>4.0200000000000001E-5</v>
      </c>
      <c r="T2227">
        <v>2.0000000000000002E-5</v>
      </c>
      <c r="V2227">
        <v>8.0699999999999996E-5</v>
      </c>
      <c r="W2227" t="s">
        <v>66</v>
      </c>
      <c r="X2227" t="s">
        <v>67</v>
      </c>
      <c r="Y2227" t="s">
        <v>67</v>
      </c>
      <c r="Z2227" t="s">
        <v>68</v>
      </c>
      <c r="AB2227">
        <v>4</v>
      </c>
      <c r="AC2227" t="s">
        <v>61</v>
      </c>
      <c r="AJ2227" t="s">
        <v>69</v>
      </c>
      <c r="AY2227" t="s">
        <v>96</v>
      </c>
      <c r="AZ2227">
        <v>6797</v>
      </c>
      <c r="BA2227" t="s">
        <v>97</v>
      </c>
      <c r="BB2227" t="s">
        <v>98</v>
      </c>
      <c r="BC2227">
        <v>1986</v>
      </c>
      <c r="BD2227" t="s">
        <v>90</v>
      </c>
    </row>
    <row r="2228" spans="1:56" x14ac:dyDescent="0.35">
      <c r="A2228">
        <v>1397940</v>
      </c>
      <c r="B2228" t="s">
        <v>1695</v>
      </c>
      <c r="D2228" t="s">
        <v>85</v>
      </c>
      <c r="E2228">
        <v>10</v>
      </c>
      <c r="F2228" t="s">
        <v>58</v>
      </c>
      <c r="G2228" t="s">
        <v>59</v>
      </c>
      <c r="H2228" t="s">
        <v>60</v>
      </c>
      <c r="J2228" t="s">
        <v>86</v>
      </c>
      <c r="L2228" t="s">
        <v>62</v>
      </c>
      <c r="M2228" t="s">
        <v>63</v>
      </c>
      <c r="N2228" t="s">
        <v>64</v>
      </c>
      <c r="P2228" t="s">
        <v>65</v>
      </c>
      <c r="R2228">
        <v>1.8000000000000001E-4</v>
      </c>
      <c r="T2228">
        <v>1.4999999999999999E-4</v>
      </c>
      <c r="V2228">
        <v>2.3000000000000001E-4</v>
      </c>
      <c r="W2228" t="s">
        <v>66</v>
      </c>
      <c r="X2228" t="s">
        <v>67</v>
      </c>
      <c r="Y2228" t="s">
        <v>67</v>
      </c>
      <c r="Z2228" t="s">
        <v>68</v>
      </c>
      <c r="AB2228">
        <v>4</v>
      </c>
      <c r="AC2228" t="s">
        <v>61</v>
      </c>
      <c r="AJ2228" t="s">
        <v>69</v>
      </c>
      <c r="AY2228" t="s">
        <v>621</v>
      </c>
      <c r="AZ2228">
        <v>15277</v>
      </c>
      <c r="BA2228" t="s">
        <v>622</v>
      </c>
      <c r="BB2228" t="s">
        <v>623</v>
      </c>
      <c r="BC2228">
        <v>1982</v>
      </c>
      <c r="BD2228" t="s">
        <v>90</v>
      </c>
    </row>
    <row r="2229" spans="1:56" x14ac:dyDescent="0.35">
      <c r="A2229">
        <v>1397940</v>
      </c>
      <c r="B2229" t="s">
        <v>1695</v>
      </c>
      <c r="E2229">
        <v>95.5</v>
      </c>
      <c r="F2229" t="s">
        <v>58</v>
      </c>
      <c r="G2229" t="s">
        <v>59</v>
      </c>
      <c r="H2229" t="s">
        <v>60</v>
      </c>
      <c r="J2229" t="s">
        <v>86</v>
      </c>
      <c r="L2229" t="s">
        <v>74</v>
      </c>
      <c r="M2229" t="s">
        <v>63</v>
      </c>
      <c r="N2229" t="s">
        <v>64</v>
      </c>
      <c r="P2229" t="s">
        <v>65</v>
      </c>
      <c r="R2229">
        <v>1.65E-4</v>
      </c>
      <c r="T2229">
        <v>1.47E-4</v>
      </c>
      <c r="V2229">
        <v>1.85E-4</v>
      </c>
      <c r="W2229" t="s">
        <v>66</v>
      </c>
      <c r="X2229" t="s">
        <v>67</v>
      </c>
      <c r="Y2229" t="s">
        <v>67</v>
      </c>
      <c r="Z2229" t="s">
        <v>68</v>
      </c>
      <c r="AB2229">
        <v>4</v>
      </c>
      <c r="AC2229" t="s">
        <v>61</v>
      </c>
      <c r="AJ2229" t="s">
        <v>69</v>
      </c>
      <c r="AY2229" t="s">
        <v>96</v>
      </c>
      <c r="AZ2229">
        <v>6797</v>
      </c>
      <c r="BA2229" t="s">
        <v>97</v>
      </c>
      <c r="BB2229" t="s">
        <v>98</v>
      </c>
      <c r="BC2229">
        <v>1986</v>
      </c>
      <c r="BD2229" t="s">
        <v>90</v>
      </c>
    </row>
    <row r="2230" spans="1:56" x14ac:dyDescent="0.35">
      <c r="A2230">
        <v>1397940</v>
      </c>
      <c r="B2230" t="s">
        <v>1695</v>
      </c>
      <c r="D2230" t="s">
        <v>85</v>
      </c>
      <c r="E2230">
        <v>10</v>
      </c>
      <c r="F2230" t="s">
        <v>58</v>
      </c>
      <c r="G2230" t="s">
        <v>59</v>
      </c>
      <c r="H2230" t="s">
        <v>60</v>
      </c>
      <c r="J2230" t="s">
        <v>86</v>
      </c>
      <c r="L2230" t="s">
        <v>62</v>
      </c>
      <c r="M2230" t="s">
        <v>63</v>
      </c>
      <c r="N2230" t="s">
        <v>64</v>
      </c>
      <c r="P2230" t="s">
        <v>65</v>
      </c>
      <c r="R2230">
        <v>5.5000000000000003E-4</v>
      </c>
      <c r="T2230">
        <v>2.0000000000000001E-4</v>
      </c>
      <c r="V2230">
        <v>1.5E-3</v>
      </c>
      <c r="W2230" t="s">
        <v>66</v>
      </c>
      <c r="X2230" t="s">
        <v>67</v>
      </c>
      <c r="Y2230" t="s">
        <v>67</v>
      </c>
      <c r="Z2230" t="s">
        <v>68</v>
      </c>
      <c r="AB2230">
        <v>4</v>
      </c>
      <c r="AC2230" t="s">
        <v>61</v>
      </c>
      <c r="AJ2230" t="s">
        <v>69</v>
      </c>
      <c r="AY2230" t="s">
        <v>621</v>
      </c>
      <c r="AZ2230">
        <v>15277</v>
      </c>
      <c r="BA2230" t="s">
        <v>622</v>
      </c>
      <c r="BB2230" t="s">
        <v>623</v>
      </c>
      <c r="BC2230">
        <v>1982</v>
      </c>
      <c r="BD2230" t="s">
        <v>90</v>
      </c>
    </row>
    <row r="2231" spans="1:56" x14ac:dyDescent="0.35">
      <c r="A2231">
        <v>1397940</v>
      </c>
      <c r="B2231" t="s">
        <v>1695</v>
      </c>
      <c r="D2231" t="s">
        <v>85</v>
      </c>
      <c r="E2231" t="s">
        <v>86</v>
      </c>
      <c r="F2231" t="s">
        <v>58</v>
      </c>
      <c r="G2231" t="s">
        <v>59</v>
      </c>
      <c r="H2231" t="s">
        <v>60</v>
      </c>
      <c r="J2231" t="s">
        <v>86</v>
      </c>
      <c r="L2231" t="s">
        <v>62</v>
      </c>
      <c r="M2231" t="s">
        <v>63</v>
      </c>
      <c r="N2231" t="s">
        <v>64</v>
      </c>
      <c r="O2231">
        <v>6</v>
      </c>
      <c r="P2231" t="s">
        <v>100</v>
      </c>
      <c r="R2231">
        <v>2.6999999999999999E-5</v>
      </c>
      <c r="T2231">
        <v>2.0000000000000002E-5</v>
      </c>
      <c r="V2231">
        <v>3.6999999999999998E-5</v>
      </c>
      <c r="W2231" t="s">
        <v>66</v>
      </c>
      <c r="X2231" t="s">
        <v>67</v>
      </c>
      <c r="Y2231" t="s">
        <v>67</v>
      </c>
      <c r="Z2231" t="s">
        <v>68</v>
      </c>
      <c r="AB2231">
        <v>4</v>
      </c>
      <c r="AC2231" t="s">
        <v>61</v>
      </c>
      <c r="AJ2231" t="s">
        <v>69</v>
      </c>
      <c r="AY2231" t="s">
        <v>834</v>
      </c>
      <c r="AZ2231">
        <v>104273</v>
      </c>
      <c r="BA2231" t="s">
        <v>838</v>
      </c>
      <c r="BB2231" t="s">
        <v>839</v>
      </c>
      <c r="BC2231">
        <v>1982</v>
      </c>
      <c r="BD2231" t="s">
        <v>90</v>
      </c>
    </row>
    <row r="2232" spans="1:56" x14ac:dyDescent="0.35">
      <c r="A2232">
        <v>1397940</v>
      </c>
      <c r="B2232" t="s">
        <v>1695</v>
      </c>
      <c r="E2232">
        <v>95.5</v>
      </c>
      <c r="F2232" t="s">
        <v>58</v>
      </c>
      <c r="G2232" t="s">
        <v>59</v>
      </c>
      <c r="H2232" t="s">
        <v>60</v>
      </c>
      <c r="J2232" t="s">
        <v>86</v>
      </c>
      <c r="L2232" t="s">
        <v>62</v>
      </c>
      <c r="M2232" t="s">
        <v>63</v>
      </c>
      <c r="N2232" t="s">
        <v>64</v>
      </c>
      <c r="P2232" t="s">
        <v>65</v>
      </c>
      <c r="R2232">
        <v>2.5000000000000001E-5</v>
      </c>
      <c r="T2232">
        <v>8.3999999999999992E-6</v>
      </c>
      <c r="V2232">
        <v>7.3999999999999996E-5</v>
      </c>
      <c r="W2232" t="s">
        <v>66</v>
      </c>
      <c r="X2232" t="s">
        <v>67</v>
      </c>
      <c r="Y2232" t="s">
        <v>67</v>
      </c>
      <c r="Z2232" t="s">
        <v>68</v>
      </c>
      <c r="AB2232">
        <v>4</v>
      </c>
      <c r="AC2232" t="s">
        <v>61</v>
      </c>
      <c r="AJ2232" t="s">
        <v>69</v>
      </c>
      <c r="AY2232" t="s">
        <v>96</v>
      </c>
      <c r="AZ2232">
        <v>6797</v>
      </c>
      <c r="BA2232" t="s">
        <v>97</v>
      </c>
      <c r="BB2232" t="s">
        <v>98</v>
      </c>
      <c r="BC2232">
        <v>1986</v>
      </c>
      <c r="BD2232" t="s">
        <v>90</v>
      </c>
    </row>
    <row r="2233" spans="1:56" x14ac:dyDescent="0.35">
      <c r="A2233">
        <v>1397940</v>
      </c>
      <c r="B2233" t="s">
        <v>1695</v>
      </c>
      <c r="E2233">
        <v>95.5</v>
      </c>
      <c r="F2233" t="s">
        <v>58</v>
      </c>
      <c r="G2233" t="s">
        <v>59</v>
      </c>
      <c r="H2233" t="s">
        <v>60</v>
      </c>
      <c r="J2233" t="s">
        <v>86</v>
      </c>
      <c r="L2233" t="s">
        <v>62</v>
      </c>
      <c r="M2233" t="s">
        <v>63</v>
      </c>
      <c r="N2233" t="s">
        <v>64</v>
      </c>
      <c r="P2233" t="s">
        <v>65</v>
      </c>
      <c r="R2233">
        <v>8.0000000000000007E-5</v>
      </c>
      <c r="T2233">
        <v>6.9999999999999994E-5</v>
      </c>
      <c r="V2233">
        <v>1E-4</v>
      </c>
      <c r="W2233" t="s">
        <v>66</v>
      </c>
      <c r="X2233" t="s">
        <v>67</v>
      </c>
      <c r="Y2233" t="s">
        <v>67</v>
      </c>
      <c r="Z2233" t="s">
        <v>68</v>
      </c>
      <c r="AB2233">
        <v>4</v>
      </c>
      <c r="AC2233" t="s">
        <v>61</v>
      </c>
      <c r="AJ2233" t="s">
        <v>69</v>
      </c>
      <c r="AY2233" t="s">
        <v>96</v>
      </c>
      <c r="AZ2233">
        <v>6797</v>
      </c>
      <c r="BA2233" t="s">
        <v>97</v>
      </c>
      <c r="BB2233" t="s">
        <v>98</v>
      </c>
      <c r="BC2233">
        <v>1986</v>
      </c>
      <c r="BD2233" t="s">
        <v>90</v>
      </c>
    </row>
    <row r="2234" spans="1:56" x14ac:dyDescent="0.35">
      <c r="A2234">
        <v>1397940</v>
      </c>
      <c r="B2234" t="s">
        <v>1695</v>
      </c>
      <c r="D2234" t="s">
        <v>85</v>
      </c>
      <c r="E2234">
        <v>10</v>
      </c>
      <c r="F2234" t="s">
        <v>58</v>
      </c>
      <c r="G2234" t="s">
        <v>59</v>
      </c>
      <c r="H2234" t="s">
        <v>60</v>
      </c>
      <c r="J2234" t="s">
        <v>86</v>
      </c>
      <c r="L2234" t="s">
        <v>62</v>
      </c>
      <c r="M2234" t="s">
        <v>63</v>
      </c>
      <c r="N2234" t="s">
        <v>64</v>
      </c>
      <c r="P2234" t="s">
        <v>65</v>
      </c>
      <c r="R2234">
        <v>9.3000000000000005E-4</v>
      </c>
      <c r="T2234">
        <v>5.8E-4</v>
      </c>
      <c r="V2234">
        <v>1.5E-3</v>
      </c>
      <c r="W2234" t="s">
        <v>66</v>
      </c>
      <c r="X2234" t="s">
        <v>67</v>
      </c>
      <c r="Y2234" t="s">
        <v>67</v>
      </c>
      <c r="Z2234" t="s">
        <v>68</v>
      </c>
      <c r="AB2234">
        <v>4</v>
      </c>
      <c r="AC2234" t="s">
        <v>61</v>
      </c>
      <c r="AJ2234" t="s">
        <v>69</v>
      </c>
      <c r="AY2234" t="s">
        <v>621</v>
      </c>
      <c r="AZ2234">
        <v>15277</v>
      </c>
      <c r="BA2234" t="s">
        <v>622</v>
      </c>
      <c r="BB2234" t="s">
        <v>623</v>
      </c>
      <c r="BC2234">
        <v>1982</v>
      </c>
      <c r="BD2234" t="s">
        <v>90</v>
      </c>
    </row>
    <row r="2235" spans="1:56" x14ac:dyDescent="0.35">
      <c r="A2235">
        <v>1397940</v>
      </c>
      <c r="B2235" t="s">
        <v>1695</v>
      </c>
      <c r="E2235">
        <v>95.5</v>
      </c>
      <c r="F2235" t="s">
        <v>58</v>
      </c>
      <c r="G2235" t="s">
        <v>59</v>
      </c>
      <c r="H2235" t="s">
        <v>60</v>
      </c>
      <c r="J2235" t="s">
        <v>86</v>
      </c>
      <c r="L2235" t="s">
        <v>62</v>
      </c>
      <c r="M2235" t="s">
        <v>63</v>
      </c>
      <c r="N2235" t="s">
        <v>64</v>
      </c>
      <c r="P2235" t="s">
        <v>65</v>
      </c>
      <c r="R2235">
        <v>2.6499999999999999E-4</v>
      </c>
      <c r="T2235">
        <v>1.02E-4</v>
      </c>
      <c r="V2235">
        <v>6.87E-4</v>
      </c>
      <c r="W2235" t="s">
        <v>66</v>
      </c>
      <c r="X2235" t="s">
        <v>67</v>
      </c>
      <c r="Y2235" t="s">
        <v>67</v>
      </c>
      <c r="Z2235" t="s">
        <v>68</v>
      </c>
      <c r="AB2235">
        <v>4</v>
      </c>
      <c r="AC2235" t="s">
        <v>61</v>
      </c>
      <c r="AJ2235" t="s">
        <v>69</v>
      </c>
      <c r="AY2235" t="s">
        <v>96</v>
      </c>
      <c r="AZ2235">
        <v>6797</v>
      </c>
      <c r="BA2235" t="s">
        <v>97</v>
      </c>
      <c r="BB2235" t="s">
        <v>98</v>
      </c>
      <c r="BC2235">
        <v>1986</v>
      </c>
      <c r="BD2235" t="s">
        <v>90</v>
      </c>
    </row>
    <row r="2236" spans="1:56" x14ac:dyDescent="0.35">
      <c r="A2236">
        <v>1399800</v>
      </c>
      <c r="B2236" t="s">
        <v>1696</v>
      </c>
      <c r="D2236" t="s">
        <v>85</v>
      </c>
      <c r="E2236">
        <v>50</v>
      </c>
      <c r="F2236" t="s">
        <v>58</v>
      </c>
      <c r="G2236" t="s">
        <v>59</v>
      </c>
      <c r="H2236" t="s">
        <v>60</v>
      </c>
      <c r="J2236" t="s">
        <v>86</v>
      </c>
      <c r="L2236" t="s">
        <v>62</v>
      </c>
      <c r="M2236" t="s">
        <v>63</v>
      </c>
      <c r="N2236" t="s">
        <v>64</v>
      </c>
      <c r="P2236" t="s">
        <v>65</v>
      </c>
      <c r="R2236">
        <v>2.4</v>
      </c>
      <c r="W2236" t="s">
        <v>66</v>
      </c>
      <c r="X2236" t="s">
        <v>67</v>
      </c>
      <c r="Y2236" t="s">
        <v>67</v>
      </c>
      <c r="Z2236" t="s">
        <v>68</v>
      </c>
      <c r="AB2236">
        <v>4</v>
      </c>
      <c r="AC2236" t="s">
        <v>61</v>
      </c>
      <c r="AJ2236" t="s">
        <v>69</v>
      </c>
      <c r="AY2236" t="s">
        <v>648</v>
      </c>
      <c r="AZ2236">
        <v>892</v>
      </c>
      <c r="BA2236" t="s">
        <v>649</v>
      </c>
      <c r="BB2236" t="s">
        <v>650</v>
      </c>
      <c r="BC2236">
        <v>1962</v>
      </c>
      <c r="BD2236" t="s">
        <v>90</v>
      </c>
    </row>
    <row r="2237" spans="1:56" x14ac:dyDescent="0.35">
      <c r="A2237">
        <v>1399800</v>
      </c>
      <c r="B2237" t="s">
        <v>1696</v>
      </c>
      <c r="D2237" t="s">
        <v>85</v>
      </c>
      <c r="E2237">
        <v>50</v>
      </c>
      <c r="F2237" t="s">
        <v>58</v>
      </c>
      <c r="G2237" t="s">
        <v>59</v>
      </c>
      <c r="H2237" t="s">
        <v>60</v>
      </c>
      <c r="J2237" t="s">
        <v>86</v>
      </c>
      <c r="L2237" t="s">
        <v>62</v>
      </c>
      <c r="M2237" t="s">
        <v>63</v>
      </c>
      <c r="N2237" t="s">
        <v>64</v>
      </c>
      <c r="P2237" t="s">
        <v>65</v>
      </c>
      <c r="R2237">
        <v>4.2</v>
      </c>
      <c r="W2237" t="s">
        <v>66</v>
      </c>
      <c r="X2237" t="s">
        <v>67</v>
      </c>
      <c r="Y2237" t="s">
        <v>67</v>
      </c>
      <c r="Z2237" t="s">
        <v>68</v>
      </c>
      <c r="AB2237">
        <v>4</v>
      </c>
      <c r="AC2237" t="s">
        <v>61</v>
      </c>
      <c r="AJ2237" t="s">
        <v>69</v>
      </c>
      <c r="AY2237" t="s">
        <v>648</v>
      </c>
      <c r="AZ2237">
        <v>892</v>
      </c>
      <c r="BA2237" t="s">
        <v>649</v>
      </c>
      <c r="BB2237" t="s">
        <v>650</v>
      </c>
      <c r="BC2237">
        <v>1962</v>
      </c>
      <c r="BD2237" t="s">
        <v>90</v>
      </c>
    </row>
    <row r="2238" spans="1:56" x14ac:dyDescent="0.35">
      <c r="A2238">
        <v>1420048</v>
      </c>
      <c r="B2238" t="s">
        <v>1697</v>
      </c>
      <c r="E2238">
        <v>99</v>
      </c>
      <c r="F2238" t="s">
        <v>58</v>
      </c>
      <c r="G2238" t="s">
        <v>59</v>
      </c>
      <c r="H2238" t="s">
        <v>60</v>
      </c>
      <c r="J2238" t="s">
        <v>86</v>
      </c>
      <c r="L2238" t="s">
        <v>62</v>
      </c>
      <c r="M2238" t="s">
        <v>63</v>
      </c>
      <c r="N2238" t="s">
        <v>64</v>
      </c>
      <c r="P2238" t="s">
        <v>65</v>
      </c>
      <c r="R2238">
        <v>0.10199999999999999</v>
      </c>
      <c r="T2238">
        <v>8.8999999999999996E-2</v>
      </c>
      <c r="V2238">
        <v>0.11700000000000001</v>
      </c>
      <c r="W2238" t="s">
        <v>66</v>
      </c>
      <c r="X2238" t="s">
        <v>67</v>
      </c>
      <c r="Y2238" t="s">
        <v>67</v>
      </c>
      <c r="Z2238" t="s">
        <v>68</v>
      </c>
      <c r="AB2238">
        <v>4</v>
      </c>
      <c r="AC2238" t="s">
        <v>61</v>
      </c>
      <c r="AJ2238" t="s">
        <v>69</v>
      </c>
      <c r="AY2238" t="s">
        <v>116</v>
      </c>
      <c r="AZ2238">
        <v>344</v>
      </c>
      <c r="BA2238" t="s">
        <v>117</v>
      </c>
      <c r="BB2238" t="s">
        <v>118</v>
      </c>
      <c r="BC2238">
        <v>1992</v>
      </c>
      <c r="BD2238" t="s">
        <v>90</v>
      </c>
    </row>
    <row r="2239" spans="1:56" x14ac:dyDescent="0.35">
      <c r="A2239">
        <v>1420048</v>
      </c>
      <c r="B2239" t="s">
        <v>1697</v>
      </c>
      <c r="D2239" t="s">
        <v>85</v>
      </c>
      <c r="E2239" t="s">
        <v>86</v>
      </c>
      <c r="F2239" t="s">
        <v>58</v>
      </c>
      <c r="G2239" t="s">
        <v>59</v>
      </c>
      <c r="H2239" t="s">
        <v>60</v>
      </c>
      <c r="J2239" t="s">
        <v>86</v>
      </c>
      <c r="M2239" t="s">
        <v>63</v>
      </c>
      <c r="N2239" t="s">
        <v>64</v>
      </c>
      <c r="P2239" t="s">
        <v>100</v>
      </c>
      <c r="R2239">
        <v>0.10199999999999999</v>
      </c>
      <c r="W2239" t="s">
        <v>66</v>
      </c>
      <c r="X2239" t="s">
        <v>67</v>
      </c>
      <c r="Y2239" t="s">
        <v>67</v>
      </c>
      <c r="Z2239" t="s">
        <v>68</v>
      </c>
      <c r="AB2239">
        <v>4</v>
      </c>
      <c r="AC2239" t="s">
        <v>61</v>
      </c>
      <c r="AJ2239" t="s">
        <v>69</v>
      </c>
      <c r="AY2239" t="s">
        <v>101</v>
      </c>
      <c r="AZ2239">
        <v>70421</v>
      </c>
      <c r="BA2239" t="s">
        <v>102</v>
      </c>
      <c r="BB2239" t="s">
        <v>103</v>
      </c>
      <c r="BC2239">
        <v>1974</v>
      </c>
      <c r="BD2239" t="s">
        <v>90</v>
      </c>
    </row>
    <row r="2240" spans="1:56" x14ac:dyDescent="0.35">
      <c r="A2240">
        <v>1420048</v>
      </c>
      <c r="B2240" t="s">
        <v>1697</v>
      </c>
      <c r="D2240" t="s">
        <v>85</v>
      </c>
      <c r="E2240" t="s">
        <v>86</v>
      </c>
      <c r="F2240" t="s">
        <v>58</v>
      </c>
      <c r="G2240" t="s">
        <v>59</v>
      </c>
      <c r="H2240" t="s">
        <v>60</v>
      </c>
      <c r="J2240" t="s">
        <v>86</v>
      </c>
      <c r="L2240" t="s">
        <v>62</v>
      </c>
      <c r="M2240" t="s">
        <v>63</v>
      </c>
      <c r="N2240" t="s">
        <v>64</v>
      </c>
      <c r="P2240" t="s">
        <v>100</v>
      </c>
      <c r="R2240">
        <v>0.11</v>
      </c>
      <c r="T2240">
        <v>8.6999999999999994E-2</v>
      </c>
      <c r="V2240">
        <v>0.14000000000000001</v>
      </c>
      <c r="W2240" t="s">
        <v>66</v>
      </c>
      <c r="X2240" t="s">
        <v>67</v>
      </c>
      <c r="Y2240" t="s">
        <v>67</v>
      </c>
      <c r="Z2240" t="s">
        <v>68</v>
      </c>
      <c r="AB2240">
        <v>4</v>
      </c>
      <c r="AC2240" t="s">
        <v>61</v>
      </c>
      <c r="AJ2240" t="s">
        <v>69</v>
      </c>
      <c r="AY2240" t="s">
        <v>624</v>
      </c>
      <c r="AZ2240">
        <v>10938</v>
      </c>
      <c r="BA2240" t="s">
        <v>702</v>
      </c>
      <c r="BB2240" t="s">
        <v>703</v>
      </c>
      <c r="BC2240">
        <v>1985</v>
      </c>
      <c r="BD2240" t="s">
        <v>90</v>
      </c>
    </row>
    <row r="2241" spans="1:56" x14ac:dyDescent="0.35">
      <c r="A2241">
        <v>1420048</v>
      </c>
      <c r="B2241" t="s">
        <v>1697</v>
      </c>
      <c r="C2241" t="s">
        <v>91</v>
      </c>
      <c r="D2241" t="s">
        <v>85</v>
      </c>
      <c r="E2241">
        <v>99</v>
      </c>
      <c r="F2241" t="s">
        <v>58</v>
      </c>
      <c r="G2241" t="s">
        <v>59</v>
      </c>
      <c r="H2241" t="s">
        <v>60</v>
      </c>
      <c r="J2241" t="s">
        <v>86</v>
      </c>
      <c r="M2241" t="s">
        <v>63</v>
      </c>
      <c r="N2241" t="s">
        <v>64</v>
      </c>
      <c r="P2241" t="s">
        <v>65</v>
      </c>
      <c r="R2241">
        <v>0.10199999999999999</v>
      </c>
      <c r="T2241">
        <v>8.8999999999999996E-2</v>
      </c>
      <c r="V2241">
        <v>0.11700000000000001</v>
      </c>
      <c r="W2241" t="s">
        <v>66</v>
      </c>
      <c r="X2241" t="s">
        <v>67</v>
      </c>
      <c r="Y2241" t="s">
        <v>67</v>
      </c>
      <c r="Z2241" t="s">
        <v>68</v>
      </c>
      <c r="AB2241">
        <v>4</v>
      </c>
      <c r="AC2241" t="s">
        <v>61</v>
      </c>
      <c r="AJ2241" t="s">
        <v>69</v>
      </c>
      <c r="AY2241" t="s">
        <v>1698</v>
      </c>
      <c r="AZ2241">
        <v>14052</v>
      </c>
      <c r="BA2241" t="s">
        <v>1699</v>
      </c>
      <c r="BB2241" t="s">
        <v>1700</v>
      </c>
      <c r="BC2241">
        <v>1967</v>
      </c>
      <c r="BD2241" t="s">
        <v>90</v>
      </c>
    </row>
    <row r="2242" spans="1:56" x14ac:dyDescent="0.35">
      <c r="A2242">
        <v>1439072</v>
      </c>
      <c r="B2242" t="s">
        <v>1701</v>
      </c>
      <c r="D2242" t="s">
        <v>85</v>
      </c>
      <c r="E2242" t="s">
        <v>86</v>
      </c>
      <c r="F2242" t="s">
        <v>58</v>
      </c>
      <c r="G2242" t="s">
        <v>59</v>
      </c>
      <c r="H2242" t="s">
        <v>60</v>
      </c>
      <c r="I2242" t="s">
        <v>188</v>
      </c>
      <c r="J2242">
        <v>7</v>
      </c>
      <c r="K2242" t="s">
        <v>61</v>
      </c>
      <c r="L2242" t="s">
        <v>190</v>
      </c>
      <c r="M2242" t="s">
        <v>63</v>
      </c>
      <c r="N2242" t="s">
        <v>64</v>
      </c>
      <c r="O2242">
        <v>6</v>
      </c>
      <c r="P2242" t="s">
        <v>100</v>
      </c>
      <c r="R2242">
        <v>5.2987149000000002</v>
      </c>
      <c r="W2242" t="s">
        <v>66</v>
      </c>
      <c r="X2242" t="s">
        <v>67</v>
      </c>
      <c r="Y2242" t="s">
        <v>67</v>
      </c>
      <c r="Z2242" t="s">
        <v>68</v>
      </c>
      <c r="AB2242">
        <v>4</v>
      </c>
      <c r="AC2242" t="s">
        <v>61</v>
      </c>
      <c r="AJ2242" t="s">
        <v>69</v>
      </c>
      <c r="AY2242" t="s">
        <v>1702</v>
      </c>
      <c r="AZ2242">
        <v>60040</v>
      </c>
      <c r="BA2242" t="s">
        <v>1703</v>
      </c>
      <c r="BB2242" t="s">
        <v>1704</v>
      </c>
      <c r="BC2242">
        <v>2001</v>
      </c>
      <c r="BD2242" t="s">
        <v>73</v>
      </c>
    </row>
    <row r="2243" spans="1:56" x14ac:dyDescent="0.35">
      <c r="A2243">
        <v>1445756</v>
      </c>
      <c r="B2243" t="s">
        <v>1705</v>
      </c>
      <c r="D2243" t="s">
        <v>85</v>
      </c>
      <c r="E2243">
        <v>98.5</v>
      </c>
      <c r="F2243" t="s">
        <v>58</v>
      </c>
      <c r="G2243" t="s">
        <v>59</v>
      </c>
      <c r="H2243" t="s">
        <v>60</v>
      </c>
      <c r="I2243" t="s">
        <v>177</v>
      </c>
      <c r="J2243">
        <v>30</v>
      </c>
      <c r="K2243" t="s">
        <v>61</v>
      </c>
      <c r="L2243" t="s">
        <v>62</v>
      </c>
      <c r="M2243" t="s">
        <v>63</v>
      </c>
      <c r="N2243" t="s">
        <v>64</v>
      </c>
      <c r="P2243" t="s">
        <v>65</v>
      </c>
      <c r="R2243">
        <v>635</v>
      </c>
      <c r="T2243">
        <v>524</v>
      </c>
      <c r="V2243">
        <v>769</v>
      </c>
      <c r="W2243" t="s">
        <v>66</v>
      </c>
      <c r="X2243" t="s">
        <v>67</v>
      </c>
      <c r="Y2243" t="s">
        <v>67</v>
      </c>
      <c r="Z2243" t="s">
        <v>68</v>
      </c>
      <c r="AB2243">
        <v>4</v>
      </c>
      <c r="AC2243" t="s">
        <v>61</v>
      </c>
      <c r="AJ2243" t="s">
        <v>69</v>
      </c>
      <c r="AY2243" t="s">
        <v>536</v>
      </c>
      <c r="AZ2243">
        <v>5965</v>
      </c>
      <c r="BA2243" t="s">
        <v>537</v>
      </c>
      <c r="BB2243" t="s">
        <v>538</v>
      </c>
      <c r="BC2243">
        <v>1976</v>
      </c>
      <c r="BD2243" t="s">
        <v>73</v>
      </c>
    </row>
    <row r="2244" spans="1:56" x14ac:dyDescent="0.35">
      <c r="A2244">
        <v>1445756</v>
      </c>
      <c r="B2244" t="s">
        <v>1705</v>
      </c>
      <c r="D2244" t="s">
        <v>85</v>
      </c>
      <c r="E2244">
        <v>98.5</v>
      </c>
      <c r="F2244" t="s">
        <v>58</v>
      </c>
      <c r="G2244" t="s">
        <v>59</v>
      </c>
      <c r="H2244" t="s">
        <v>60</v>
      </c>
      <c r="I2244" t="s">
        <v>177</v>
      </c>
      <c r="J2244">
        <v>7</v>
      </c>
      <c r="K2244" t="s">
        <v>61</v>
      </c>
      <c r="L2244" t="s">
        <v>62</v>
      </c>
      <c r="M2244" t="s">
        <v>63</v>
      </c>
      <c r="N2244" t="s">
        <v>64</v>
      </c>
      <c r="P2244" t="s">
        <v>65</v>
      </c>
      <c r="Q2244" t="s">
        <v>153</v>
      </c>
      <c r="R2244">
        <v>1000</v>
      </c>
      <c r="W2244" t="s">
        <v>66</v>
      </c>
      <c r="X2244" t="s">
        <v>67</v>
      </c>
      <c r="Y2244" t="s">
        <v>67</v>
      </c>
      <c r="Z2244" t="s">
        <v>68</v>
      </c>
      <c r="AB2244">
        <v>4</v>
      </c>
      <c r="AC2244" t="s">
        <v>61</v>
      </c>
      <c r="AJ2244" t="s">
        <v>69</v>
      </c>
      <c r="AY2244" t="s">
        <v>536</v>
      </c>
      <c r="AZ2244">
        <v>5965</v>
      </c>
      <c r="BA2244" t="s">
        <v>537</v>
      </c>
      <c r="BB2244" t="s">
        <v>538</v>
      </c>
      <c r="BC2244">
        <v>1976</v>
      </c>
      <c r="BD2244" t="s">
        <v>73</v>
      </c>
    </row>
    <row r="2245" spans="1:56" x14ac:dyDescent="0.35">
      <c r="A2245">
        <v>1445756</v>
      </c>
      <c r="B2245" t="s">
        <v>1705</v>
      </c>
      <c r="D2245" t="s">
        <v>85</v>
      </c>
      <c r="E2245">
        <v>98.5</v>
      </c>
      <c r="F2245" t="s">
        <v>58</v>
      </c>
      <c r="G2245" t="s">
        <v>59</v>
      </c>
      <c r="H2245" t="s">
        <v>60</v>
      </c>
      <c r="J2245" t="s">
        <v>86</v>
      </c>
      <c r="L2245" t="s">
        <v>62</v>
      </c>
      <c r="M2245" t="s">
        <v>63</v>
      </c>
      <c r="N2245" t="s">
        <v>64</v>
      </c>
      <c r="P2245" t="s">
        <v>65</v>
      </c>
      <c r="R2245">
        <v>1770</v>
      </c>
      <c r="T2245">
        <v>1320</v>
      </c>
      <c r="V2245">
        <v>2370</v>
      </c>
      <c r="W2245" t="s">
        <v>66</v>
      </c>
      <c r="X2245" t="s">
        <v>67</v>
      </c>
      <c r="Y2245" t="s">
        <v>67</v>
      </c>
      <c r="Z2245" t="s">
        <v>68</v>
      </c>
      <c r="AB2245">
        <v>4</v>
      </c>
      <c r="AC2245" t="s">
        <v>61</v>
      </c>
      <c r="AJ2245" t="s">
        <v>69</v>
      </c>
      <c r="AY2245" t="s">
        <v>536</v>
      </c>
      <c r="AZ2245">
        <v>5965</v>
      </c>
      <c r="BA2245" t="s">
        <v>537</v>
      </c>
      <c r="BB2245" t="s">
        <v>538</v>
      </c>
      <c r="BC2245">
        <v>1976</v>
      </c>
      <c r="BD2245" t="s">
        <v>90</v>
      </c>
    </row>
    <row r="2246" spans="1:56" x14ac:dyDescent="0.35">
      <c r="A2246">
        <v>1445756</v>
      </c>
      <c r="B2246" t="s">
        <v>1705</v>
      </c>
      <c r="D2246" t="s">
        <v>85</v>
      </c>
      <c r="E2246">
        <v>98.5</v>
      </c>
      <c r="F2246" t="s">
        <v>58</v>
      </c>
      <c r="G2246" t="s">
        <v>59</v>
      </c>
      <c r="H2246" t="s">
        <v>60</v>
      </c>
      <c r="J2246" t="s">
        <v>86</v>
      </c>
      <c r="L2246" t="s">
        <v>62</v>
      </c>
      <c r="M2246" t="s">
        <v>63</v>
      </c>
      <c r="N2246" t="s">
        <v>64</v>
      </c>
      <c r="P2246" t="s">
        <v>65</v>
      </c>
      <c r="R2246">
        <v>479</v>
      </c>
      <c r="T2246">
        <v>408</v>
      </c>
      <c r="V2246">
        <v>563</v>
      </c>
      <c r="W2246" t="s">
        <v>66</v>
      </c>
      <c r="X2246" t="s">
        <v>67</v>
      </c>
      <c r="Y2246" t="s">
        <v>67</v>
      </c>
      <c r="Z2246" t="s">
        <v>68</v>
      </c>
      <c r="AB2246">
        <v>4</v>
      </c>
      <c r="AC2246" t="s">
        <v>61</v>
      </c>
      <c r="AJ2246" t="s">
        <v>69</v>
      </c>
      <c r="AY2246" t="s">
        <v>536</v>
      </c>
      <c r="AZ2246">
        <v>5965</v>
      </c>
      <c r="BA2246" t="s">
        <v>537</v>
      </c>
      <c r="BB2246" t="s">
        <v>538</v>
      </c>
      <c r="BC2246">
        <v>1976</v>
      </c>
      <c r="BD2246" t="s">
        <v>90</v>
      </c>
    </row>
    <row r="2247" spans="1:56" x14ac:dyDescent="0.35">
      <c r="A2247">
        <v>1445756</v>
      </c>
      <c r="B2247" t="s">
        <v>1705</v>
      </c>
      <c r="D2247" t="s">
        <v>85</v>
      </c>
      <c r="E2247">
        <v>98.5</v>
      </c>
      <c r="F2247" t="s">
        <v>58</v>
      </c>
      <c r="G2247" t="s">
        <v>59</v>
      </c>
      <c r="H2247" t="s">
        <v>60</v>
      </c>
      <c r="J2247">
        <v>1</v>
      </c>
      <c r="K2247" t="s">
        <v>184</v>
      </c>
      <c r="L2247" t="s">
        <v>62</v>
      </c>
      <c r="M2247" t="s">
        <v>63</v>
      </c>
      <c r="N2247" t="s">
        <v>64</v>
      </c>
      <c r="P2247" t="s">
        <v>65</v>
      </c>
      <c r="S2247" t="s">
        <v>153</v>
      </c>
      <c r="T2247">
        <v>1800</v>
      </c>
      <c r="U2247" t="s">
        <v>435</v>
      </c>
      <c r="V2247">
        <v>2100</v>
      </c>
      <c r="W2247" t="s">
        <v>66</v>
      </c>
      <c r="X2247" t="s">
        <v>67</v>
      </c>
      <c r="Y2247" t="s">
        <v>67</v>
      </c>
      <c r="Z2247" t="s">
        <v>68</v>
      </c>
      <c r="AB2247">
        <v>4</v>
      </c>
      <c r="AC2247" t="s">
        <v>61</v>
      </c>
      <c r="AJ2247" t="s">
        <v>69</v>
      </c>
      <c r="AY2247" t="s">
        <v>536</v>
      </c>
      <c r="AZ2247">
        <v>5965</v>
      </c>
      <c r="BA2247" t="s">
        <v>537</v>
      </c>
      <c r="BB2247" t="s">
        <v>538</v>
      </c>
      <c r="BC2247">
        <v>1976</v>
      </c>
      <c r="BD2247" t="s">
        <v>185</v>
      </c>
    </row>
    <row r="2248" spans="1:56" x14ac:dyDescent="0.35">
      <c r="A2248">
        <v>1445756</v>
      </c>
      <c r="B2248" t="s">
        <v>1705</v>
      </c>
      <c r="D2248" t="s">
        <v>85</v>
      </c>
      <c r="E2248">
        <v>98.5</v>
      </c>
      <c r="F2248" t="s">
        <v>58</v>
      </c>
      <c r="G2248" t="s">
        <v>59</v>
      </c>
      <c r="H2248" t="s">
        <v>60</v>
      </c>
      <c r="J2248">
        <v>1</v>
      </c>
      <c r="K2248" t="s">
        <v>184</v>
      </c>
      <c r="L2248" t="s">
        <v>62</v>
      </c>
      <c r="M2248" t="s">
        <v>63</v>
      </c>
      <c r="N2248" t="s">
        <v>64</v>
      </c>
      <c r="P2248" t="s">
        <v>65</v>
      </c>
      <c r="Q2248" t="s">
        <v>153</v>
      </c>
      <c r="R2248">
        <v>1000</v>
      </c>
      <c r="W2248" t="s">
        <v>66</v>
      </c>
      <c r="X2248" t="s">
        <v>67</v>
      </c>
      <c r="Y2248" t="s">
        <v>67</v>
      </c>
      <c r="Z2248" t="s">
        <v>68</v>
      </c>
      <c r="AB2248">
        <v>4</v>
      </c>
      <c r="AC2248" t="s">
        <v>61</v>
      </c>
      <c r="AJ2248" t="s">
        <v>69</v>
      </c>
      <c r="AY2248" t="s">
        <v>536</v>
      </c>
      <c r="AZ2248">
        <v>5965</v>
      </c>
      <c r="BA2248" t="s">
        <v>537</v>
      </c>
      <c r="BB2248" t="s">
        <v>538</v>
      </c>
      <c r="BC2248">
        <v>1976</v>
      </c>
      <c r="BD2248" t="s">
        <v>185</v>
      </c>
    </row>
    <row r="2249" spans="1:56" x14ac:dyDescent="0.35">
      <c r="A2249">
        <v>1445756</v>
      </c>
      <c r="B2249" t="s">
        <v>1705</v>
      </c>
      <c r="D2249" t="s">
        <v>85</v>
      </c>
      <c r="E2249">
        <v>98.5</v>
      </c>
      <c r="F2249" t="s">
        <v>58</v>
      </c>
      <c r="G2249" t="s">
        <v>59</v>
      </c>
      <c r="H2249" t="s">
        <v>60</v>
      </c>
      <c r="I2249" t="s">
        <v>177</v>
      </c>
      <c r="J2249">
        <v>60</v>
      </c>
      <c r="K2249" t="s">
        <v>61</v>
      </c>
      <c r="L2249" t="s">
        <v>62</v>
      </c>
      <c r="M2249" t="s">
        <v>63</v>
      </c>
      <c r="N2249" t="s">
        <v>64</v>
      </c>
      <c r="P2249" t="s">
        <v>65</v>
      </c>
      <c r="R2249">
        <v>641</v>
      </c>
      <c r="T2249">
        <v>548</v>
      </c>
      <c r="V2249">
        <v>749</v>
      </c>
      <c r="W2249" t="s">
        <v>66</v>
      </c>
      <c r="X2249" t="s">
        <v>67</v>
      </c>
      <c r="Y2249" t="s">
        <v>67</v>
      </c>
      <c r="Z2249" t="s">
        <v>68</v>
      </c>
      <c r="AB2249">
        <v>4</v>
      </c>
      <c r="AC2249" t="s">
        <v>61</v>
      </c>
      <c r="AJ2249" t="s">
        <v>69</v>
      </c>
      <c r="AY2249" t="s">
        <v>536</v>
      </c>
      <c r="AZ2249">
        <v>5965</v>
      </c>
      <c r="BA2249" t="s">
        <v>537</v>
      </c>
      <c r="BB2249" t="s">
        <v>538</v>
      </c>
      <c r="BC2249">
        <v>1976</v>
      </c>
      <c r="BD2249" t="s">
        <v>73</v>
      </c>
    </row>
    <row r="2250" spans="1:56" x14ac:dyDescent="0.35">
      <c r="A2250">
        <v>1461252</v>
      </c>
      <c r="B2250" t="s">
        <v>1706</v>
      </c>
      <c r="D2250" t="s">
        <v>57</v>
      </c>
      <c r="E2250">
        <v>96</v>
      </c>
      <c r="F2250" t="s">
        <v>58</v>
      </c>
      <c r="G2250" t="s">
        <v>59</v>
      </c>
      <c r="H2250" t="s">
        <v>60</v>
      </c>
      <c r="J2250">
        <v>31</v>
      </c>
      <c r="K2250" t="s">
        <v>61</v>
      </c>
      <c r="L2250" t="s">
        <v>74</v>
      </c>
      <c r="M2250" t="s">
        <v>63</v>
      </c>
      <c r="N2250" t="s">
        <v>64</v>
      </c>
      <c r="P2250" t="s">
        <v>65</v>
      </c>
      <c r="R2250">
        <v>4.5199999999999997E-2</v>
      </c>
      <c r="T2250">
        <v>4.1599999999999998E-2</v>
      </c>
      <c r="V2250">
        <v>4.9200000000000001E-2</v>
      </c>
      <c r="W2250" t="s">
        <v>66</v>
      </c>
      <c r="X2250" t="s">
        <v>67</v>
      </c>
      <c r="Y2250" t="s">
        <v>67</v>
      </c>
      <c r="Z2250" t="s">
        <v>68</v>
      </c>
      <c r="AB2250">
        <v>4</v>
      </c>
      <c r="AC2250" t="s">
        <v>61</v>
      </c>
      <c r="AJ2250" t="s">
        <v>69</v>
      </c>
      <c r="AY2250" t="s">
        <v>75</v>
      </c>
      <c r="AZ2250">
        <v>3217</v>
      </c>
      <c r="BA2250" t="s">
        <v>76</v>
      </c>
      <c r="BB2250" t="s">
        <v>77</v>
      </c>
      <c r="BC2250">
        <v>1990</v>
      </c>
      <c r="BD2250" t="s">
        <v>73</v>
      </c>
    </row>
    <row r="2251" spans="1:56" x14ac:dyDescent="0.35">
      <c r="A2251">
        <v>1464422</v>
      </c>
      <c r="B2251" t="s">
        <v>1707</v>
      </c>
      <c r="D2251" t="s">
        <v>85</v>
      </c>
      <c r="E2251" t="s">
        <v>86</v>
      </c>
      <c r="F2251" t="s">
        <v>58</v>
      </c>
      <c r="G2251" t="s">
        <v>59</v>
      </c>
      <c r="H2251" t="s">
        <v>60</v>
      </c>
      <c r="J2251">
        <v>8</v>
      </c>
      <c r="K2251" t="s">
        <v>320</v>
      </c>
      <c r="L2251" t="s">
        <v>476</v>
      </c>
      <c r="M2251" t="s">
        <v>63</v>
      </c>
      <c r="N2251" t="s">
        <v>64</v>
      </c>
      <c r="O2251">
        <v>7</v>
      </c>
      <c r="P2251" t="s">
        <v>201</v>
      </c>
      <c r="R2251">
        <v>0.5</v>
      </c>
      <c r="W2251" t="s">
        <v>66</v>
      </c>
      <c r="X2251" t="s">
        <v>67</v>
      </c>
      <c r="Y2251" t="s">
        <v>67</v>
      </c>
      <c r="Z2251" t="s">
        <v>68</v>
      </c>
      <c r="AB2251">
        <v>4</v>
      </c>
      <c r="AC2251" t="s">
        <v>61</v>
      </c>
      <c r="AJ2251" t="s">
        <v>69</v>
      </c>
      <c r="AY2251" t="s">
        <v>1708</v>
      </c>
      <c r="AZ2251">
        <v>174085</v>
      </c>
      <c r="BA2251" t="s">
        <v>1709</v>
      </c>
      <c r="BB2251" t="s">
        <v>1710</v>
      </c>
      <c r="BC2251">
        <v>1992</v>
      </c>
      <c r="BD2251" t="s">
        <v>324</v>
      </c>
    </row>
    <row r="2252" spans="1:56" x14ac:dyDescent="0.35">
      <c r="A2252">
        <v>1482151</v>
      </c>
      <c r="B2252" t="s">
        <v>1711</v>
      </c>
      <c r="D2252" t="s">
        <v>57</v>
      </c>
      <c r="E2252" t="s">
        <v>128</v>
      </c>
      <c r="F2252" t="s">
        <v>58</v>
      </c>
      <c r="G2252" t="s">
        <v>59</v>
      </c>
      <c r="H2252" t="s">
        <v>60</v>
      </c>
      <c r="I2252" t="s">
        <v>129</v>
      </c>
      <c r="J2252" t="s">
        <v>86</v>
      </c>
      <c r="K2252" t="s">
        <v>61</v>
      </c>
      <c r="L2252" t="s">
        <v>74</v>
      </c>
      <c r="M2252" t="s">
        <v>63</v>
      </c>
      <c r="N2252" t="s">
        <v>64</v>
      </c>
      <c r="P2252" t="s">
        <v>65</v>
      </c>
      <c r="R2252">
        <v>205</v>
      </c>
      <c r="T2252">
        <v>189</v>
      </c>
      <c r="V2252">
        <v>222</v>
      </c>
      <c r="W2252" t="s">
        <v>66</v>
      </c>
      <c r="X2252" t="s">
        <v>67</v>
      </c>
      <c r="Y2252" t="s">
        <v>67</v>
      </c>
      <c r="Z2252" t="s">
        <v>68</v>
      </c>
      <c r="AB2252">
        <v>4</v>
      </c>
      <c r="AC2252" t="s">
        <v>61</v>
      </c>
      <c r="AJ2252" t="s">
        <v>69</v>
      </c>
      <c r="AY2252" t="s">
        <v>541</v>
      </c>
      <c r="AZ2252">
        <v>2721</v>
      </c>
      <c r="BA2252" t="s">
        <v>542</v>
      </c>
      <c r="BB2252" t="s">
        <v>543</v>
      </c>
      <c r="BC2252">
        <v>1989</v>
      </c>
      <c r="BD2252" t="s">
        <v>544</v>
      </c>
    </row>
    <row r="2253" spans="1:56" x14ac:dyDescent="0.35">
      <c r="A2253">
        <v>1484135</v>
      </c>
      <c r="B2253" t="s">
        <v>1712</v>
      </c>
      <c r="D2253" t="s">
        <v>57</v>
      </c>
      <c r="E2253" t="s">
        <v>407</v>
      </c>
      <c r="F2253" t="s">
        <v>58</v>
      </c>
      <c r="G2253" t="s">
        <v>59</v>
      </c>
      <c r="H2253" t="s">
        <v>60</v>
      </c>
      <c r="J2253">
        <v>30</v>
      </c>
      <c r="K2253" t="s">
        <v>61</v>
      </c>
      <c r="L2253" t="s">
        <v>74</v>
      </c>
      <c r="M2253" t="s">
        <v>63</v>
      </c>
      <c r="N2253" t="s">
        <v>64</v>
      </c>
      <c r="P2253" t="s">
        <v>65</v>
      </c>
      <c r="R2253">
        <v>3.2000000000000002E-3</v>
      </c>
      <c r="T2253">
        <v>2.7699999999999999E-3</v>
      </c>
      <c r="V2253">
        <v>3.6900000000000001E-3</v>
      </c>
      <c r="W2253" t="s">
        <v>66</v>
      </c>
      <c r="X2253" t="s">
        <v>67</v>
      </c>
      <c r="Y2253" t="s">
        <v>67</v>
      </c>
      <c r="Z2253" t="s">
        <v>68</v>
      </c>
      <c r="AB2253">
        <v>4</v>
      </c>
      <c r="AC2253" t="s">
        <v>61</v>
      </c>
      <c r="AJ2253" t="s">
        <v>69</v>
      </c>
      <c r="AY2253" t="s">
        <v>263</v>
      </c>
      <c r="AZ2253">
        <v>12858</v>
      </c>
      <c r="BA2253" t="s">
        <v>264</v>
      </c>
      <c r="BB2253" t="s">
        <v>265</v>
      </c>
      <c r="BC2253">
        <v>1986</v>
      </c>
      <c r="BD2253" t="s">
        <v>73</v>
      </c>
    </row>
    <row r="2254" spans="1:56" x14ac:dyDescent="0.35">
      <c r="A2254">
        <v>1484260</v>
      </c>
      <c r="B2254" t="s">
        <v>1713</v>
      </c>
      <c r="D2254" t="s">
        <v>57</v>
      </c>
      <c r="E2254">
        <v>98</v>
      </c>
      <c r="F2254" t="s">
        <v>58</v>
      </c>
      <c r="G2254" t="s">
        <v>59</v>
      </c>
      <c r="H2254" t="s">
        <v>60</v>
      </c>
      <c r="J2254">
        <v>33</v>
      </c>
      <c r="K2254" t="s">
        <v>61</v>
      </c>
      <c r="L2254" t="s">
        <v>74</v>
      </c>
      <c r="M2254" t="s">
        <v>63</v>
      </c>
      <c r="N2254" t="s">
        <v>64</v>
      </c>
      <c r="P2254" t="s">
        <v>65</v>
      </c>
      <c r="R2254">
        <v>9.14</v>
      </c>
      <c r="T2254">
        <v>8.2799999999999994</v>
      </c>
      <c r="V2254">
        <v>10.1</v>
      </c>
      <c r="W2254" t="s">
        <v>66</v>
      </c>
      <c r="X2254" t="s">
        <v>67</v>
      </c>
      <c r="Y2254" t="s">
        <v>67</v>
      </c>
      <c r="Z2254" t="s">
        <v>68</v>
      </c>
      <c r="AB2254">
        <v>4</v>
      </c>
      <c r="AC2254" t="s">
        <v>61</v>
      </c>
      <c r="AJ2254" t="s">
        <v>69</v>
      </c>
      <c r="AY2254" t="s">
        <v>286</v>
      </c>
      <c r="AZ2254">
        <v>12448</v>
      </c>
      <c r="BA2254" t="s">
        <v>287</v>
      </c>
      <c r="BB2254" t="s">
        <v>288</v>
      </c>
      <c r="BC2254">
        <v>1984</v>
      </c>
      <c r="BD2254" t="s">
        <v>73</v>
      </c>
    </row>
    <row r="2255" spans="1:56" x14ac:dyDescent="0.35">
      <c r="A2255">
        <v>1563662</v>
      </c>
      <c r="B2255" t="s">
        <v>1714</v>
      </c>
      <c r="E2255">
        <v>99</v>
      </c>
      <c r="F2255" t="s">
        <v>58</v>
      </c>
      <c r="G2255" t="s">
        <v>59</v>
      </c>
      <c r="H2255" t="s">
        <v>60</v>
      </c>
      <c r="J2255" t="s">
        <v>86</v>
      </c>
      <c r="L2255" t="s">
        <v>74</v>
      </c>
      <c r="M2255" t="s">
        <v>63</v>
      </c>
      <c r="N2255" t="s">
        <v>64</v>
      </c>
      <c r="P2255" t="s">
        <v>65</v>
      </c>
      <c r="R2255">
        <v>1.18</v>
      </c>
      <c r="T2255">
        <v>0.81299999999999994</v>
      </c>
      <c r="V2255">
        <v>1.7110000000000001</v>
      </c>
      <c r="W2255" t="s">
        <v>66</v>
      </c>
      <c r="X2255" t="s">
        <v>67</v>
      </c>
      <c r="Y2255" t="s">
        <v>67</v>
      </c>
      <c r="Z2255" t="s">
        <v>68</v>
      </c>
      <c r="AB2255">
        <v>4</v>
      </c>
      <c r="AC2255" t="s">
        <v>61</v>
      </c>
      <c r="AJ2255" t="s">
        <v>69</v>
      </c>
      <c r="AY2255" t="s">
        <v>96</v>
      </c>
      <c r="AZ2255">
        <v>6797</v>
      </c>
      <c r="BA2255" t="s">
        <v>97</v>
      </c>
      <c r="BB2255" t="s">
        <v>98</v>
      </c>
      <c r="BC2255">
        <v>1986</v>
      </c>
      <c r="BD2255" t="s">
        <v>90</v>
      </c>
    </row>
    <row r="2256" spans="1:56" x14ac:dyDescent="0.35">
      <c r="A2256">
        <v>1563662</v>
      </c>
      <c r="B2256" t="s">
        <v>1714</v>
      </c>
      <c r="E2256">
        <v>99</v>
      </c>
      <c r="F2256" t="s">
        <v>58</v>
      </c>
      <c r="G2256" t="s">
        <v>59</v>
      </c>
      <c r="H2256" t="s">
        <v>60</v>
      </c>
      <c r="J2256" t="s">
        <v>86</v>
      </c>
      <c r="L2256" t="s">
        <v>62</v>
      </c>
      <c r="M2256" t="s">
        <v>63</v>
      </c>
      <c r="N2256" t="s">
        <v>64</v>
      </c>
      <c r="P2256" t="s">
        <v>65</v>
      </c>
      <c r="R2256">
        <v>1.99</v>
      </c>
      <c r="T2256">
        <v>1.385</v>
      </c>
      <c r="V2256">
        <v>2.859</v>
      </c>
      <c r="W2256" t="s">
        <v>66</v>
      </c>
      <c r="X2256" t="s">
        <v>67</v>
      </c>
      <c r="Y2256" t="s">
        <v>67</v>
      </c>
      <c r="Z2256" t="s">
        <v>68</v>
      </c>
      <c r="AB2256">
        <v>4</v>
      </c>
      <c r="AC2256" t="s">
        <v>61</v>
      </c>
      <c r="AJ2256" t="s">
        <v>69</v>
      </c>
      <c r="AY2256" t="s">
        <v>96</v>
      </c>
      <c r="AZ2256">
        <v>6797</v>
      </c>
      <c r="BA2256" t="s">
        <v>97</v>
      </c>
      <c r="BB2256" t="s">
        <v>98</v>
      </c>
      <c r="BC2256">
        <v>1986</v>
      </c>
      <c r="BD2256" t="s">
        <v>90</v>
      </c>
    </row>
    <row r="2257" spans="1:56" x14ac:dyDescent="0.35">
      <c r="A2257">
        <v>1563662</v>
      </c>
      <c r="B2257" t="s">
        <v>1714</v>
      </c>
      <c r="E2257">
        <v>99</v>
      </c>
      <c r="F2257" t="s">
        <v>58</v>
      </c>
      <c r="G2257" t="s">
        <v>59</v>
      </c>
      <c r="H2257" t="s">
        <v>60</v>
      </c>
      <c r="J2257" t="s">
        <v>86</v>
      </c>
      <c r="L2257" t="s">
        <v>62</v>
      </c>
      <c r="M2257" t="s">
        <v>63</v>
      </c>
      <c r="N2257" t="s">
        <v>64</v>
      </c>
      <c r="P2257" t="s">
        <v>65</v>
      </c>
      <c r="R2257">
        <v>0.872</v>
      </c>
      <c r="T2257">
        <v>0.47899999999999998</v>
      </c>
      <c r="V2257">
        <v>1.59</v>
      </c>
      <c r="W2257" t="s">
        <v>66</v>
      </c>
      <c r="X2257" t="s">
        <v>67</v>
      </c>
      <c r="Y2257" t="s">
        <v>67</v>
      </c>
      <c r="Z2257" t="s">
        <v>68</v>
      </c>
      <c r="AB2257">
        <v>4</v>
      </c>
      <c r="AC2257" t="s">
        <v>61</v>
      </c>
      <c r="AJ2257" t="s">
        <v>69</v>
      </c>
      <c r="AY2257" t="s">
        <v>96</v>
      </c>
      <c r="AZ2257">
        <v>6797</v>
      </c>
      <c r="BA2257" t="s">
        <v>97</v>
      </c>
      <c r="BB2257" t="s">
        <v>98</v>
      </c>
      <c r="BC2257">
        <v>1986</v>
      </c>
      <c r="BD2257" t="s">
        <v>90</v>
      </c>
    </row>
    <row r="2258" spans="1:56" x14ac:dyDescent="0.35">
      <c r="A2258">
        <v>1563662</v>
      </c>
      <c r="B2258" t="s">
        <v>1714</v>
      </c>
      <c r="D2258" t="s">
        <v>57</v>
      </c>
      <c r="E2258">
        <v>99</v>
      </c>
      <c r="F2258" t="s">
        <v>58</v>
      </c>
      <c r="G2258" t="s">
        <v>59</v>
      </c>
      <c r="H2258" t="s">
        <v>60</v>
      </c>
      <c r="J2258" t="s">
        <v>86</v>
      </c>
      <c r="K2258" t="s">
        <v>61</v>
      </c>
      <c r="L2258" t="s">
        <v>74</v>
      </c>
      <c r="M2258" t="s">
        <v>63</v>
      </c>
      <c r="N2258" t="s">
        <v>64</v>
      </c>
      <c r="O2258">
        <v>6</v>
      </c>
      <c r="P2258" t="s">
        <v>65</v>
      </c>
      <c r="R2258">
        <v>0.84399999999999997</v>
      </c>
      <c r="T2258">
        <v>0.75800000000000001</v>
      </c>
      <c r="V2258">
        <v>0.93899999999999995</v>
      </c>
      <c r="W2258" t="s">
        <v>66</v>
      </c>
      <c r="X2258" t="s">
        <v>67</v>
      </c>
      <c r="Y2258" t="s">
        <v>67</v>
      </c>
      <c r="Z2258" t="s">
        <v>68</v>
      </c>
      <c r="AB2258">
        <v>4</v>
      </c>
      <c r="AC2258" t="s">
        <v>61</v>
      </c>
      <c r="AJ2258" t="s">
        <v>69</v>
      </c>
      <c r="AY2258" t="s">
        <v>120</v>
      </c>
      <c r="AZ2258">
        <v>14097</v>
      </c>
      <c r="BA2258" t="s">
        <v>121</v>
      </c>
      <c r="BB2258" t="s">
        <v>122</v>
      </c>
      <c r="BC2258">
        <v>1989</v>
      </c>
      <c r="BD2258" t="s">
        <v>123</v>
      </c>
    </row>
    <row r="2259" spans="1:56" x14ac:dyDescent="0.35">
      <c r="A2259">
        <v>1563662</v>
      </c>
      <c r="B2259" t="s">
        <v>1714</v>
      </c>
      <c r="E2259">
        <v>99</v>
      </c>
      <c r="F2259" t="s">
        <v>58</v>
      </c>
      <c r="G2259" t="s">
        <v>59</v>
      </c>
      <c r="H2259" t="s">
        <v>60</v>
      </c>
      <c r="J2259" t="s">
        <v>86</v>
      </c>
      <c r="L2259" t="s">
        <v>62</v>
      </c>
      <c r="M2259" t="s">
        <v>63</v>
      </c>
      <c r="N2259" t="s">
        <v>64</v>
      </c>
      <c r="P2259" t="s">
        <v>65</v>
      </c>
      <c r="R2259">
        <v>1.99</v>
      </c>
      <c r="T2259">
        <v>1.385</v>
      </c>
      <c r="V2259">
        <v>2.859</v>
      </c>
      <c r="W2259" t="s">
        <v>66</v>
      </c>
      <c r="X2259" t="s">
        <v>67</v>
      </c>
      <c r="Y2259" t="s">
        <v>67</v>
      </c>
      <c r="Z2259" t="s">
        <v>68</v>
      </c>
      <c r="AB2259">
        <v>4</v>
      </c>
      <c r="AC2259" t="s">
        <v>61</v>
      </c>
      <c r="AJ2259" t="s">
        <v>69</v>
      </c>
      <c r="AY2259" t="s">
        <v>116</v>
      </c>
      <c r="AZ2259">
        <v>344</v>
      </c>
      <c r="BA2259" t="s">
        <v>117</v>
      </c>
      <c r="BB2259" t="s">
        <v>118</v>
      </c>
      <c r="BC2259">
        <v>1992</v>
      </c>
      <c r="BD2259" t="s">
        <v>90</v>
      </c>
    </row>
    <row r="2260" spans="1:56" x14ac:dyDescent="0.35">
      <c r="A2260">
        <v>1563662</v>
      </c>
      <c r="B2260" t="s">
        <v>1714</v>
      </c>
      <c r="D2260" t="s">
        <v>57</v>
      </c>
      <c r="E2260">
        <v>99</v>
      </c>
      <c r="F2260" t="s">
        <v>58</v>
      </c>
      <c r="G2260" t="s">
        <v>59</v>
      </c>
      <c r="H2260" t="s">
        <v>60</v>
      </c>
      <c r="J2260">
        <v>30</v>
      </c>
      <c r="K2260" t="s">
        <v>61</v>
      </c>
      <c r="L2260" t="s">
        <v>74</v>
      </c>
      <c r="M2260" t="s">
        <v>63</v>
      </c>
      <c r="N2260" t="s">
        <v>64</v>
      </c>
      <c r="P2260" t="s">
        <v>65</v>
      </c>
      <c r="R2260">
        <v>0.84399999999999997</v>
      </c>
      <c r="T2260">
        <v>0.75800000000000001</v>
      </c>
      <c r="V2260">
        <v>0.93899999999999995</v>
      </c>
      <c r="W2260" t="s">
        <v>66</v>
      </c>
      <c r="X2260" t="s">
        <v>67</v>
      </c>
      <c r="Y2260" t="s">
        <v>67</v>
      </c>
      <c r="Z2260" t="s">
        <v>68</v>
      </c>
      <c r="AB2260">
        <v>4</v>
      </c>
      <c r="AC2260" t="s">
        <v>61</v>
      </c>
      <c r="AJ2260" t="s">
        <v>69</v>
      </c>
      <c r="AY2260" t="s">
        <v>75</v>
      </c>
      <c r="AZ2260">
        <v>3217</v>
      </c>
      <c r="BA2260" t="s">
        <v>76</v>
      </c>
      <c r="BB2260" t="s">
        <v>77</v>
      </c>
      <c r="BC2260">
        <v>1990</v>
      </c>
      <c r="BD2260" t="s">
        <v>73</v>
      </c>
    </row>
    <row r="2261" spans="1:56" x14ac:dyDescent="0.35">
      <c r="A2261">
        <v>1582098</v>
      </c>
      <c r="B2261" t="s">
        <v>1715</v>
      </c>
      <c r="E2261">
        <v>95.9</v>
      </c>
      <c r="F2261" t="s">
        <v>58</v>
      </c>
      <c r="G2261" t="s">
        <v>59</v>
      </c>
      <c r="H2261" t="s">
        <v>60</v>
      </c>
      <c r="J2261" t="s">
        <v>86</v>
      </c>
      <c r="L2261" t="s">
        <v>62</v>
      </c>
      <c r="M2261" t="s">
        <v>63</v>
      </c>
      <c r="N2261" t="s">
        <v>64</v>
      </c>
      <c r="P2261" t="s">
        <v>65</v>
      </c>
      <c r="R2261">
        <v>0.16</v>
      </c>
      <c r="T2261">
        <v>0.11600000000000001</v>
      </c>
      <c r="V2261">
        <v>0.22</v>
      </c>
      <c r="W2261" t="s">
        <v>66</v>
      </c>
      <c r="X2261" t="s">
        <v>67</v>
      </c>
      <c r="Y2261" t="s">
        <v>67</v>
      </c>
      <c r="Z2261" t="s">
        <v>68</v>
      </c>
      <c r="AB2261">
        <v>4</v>
      </c>
      <c r="AC2261" t="s">
        <v>61</v>
      </c>
      <c r="AJ2261" t="s">
        <v>69</v>
      </c>
      <c r="AY2261" t="s">
        <v>96</v>
      </c>
      <c r="AZ2261">
        <v>6797</v>
      </c>
      <c r="BA2261" t="s">
        <v>97</v>
      </c>
      <c r="BB2261" t="s">
        <v>98</v>
      </c>
      <c r="BC2261">
        <v>1986</v>
      </c>
      <c r="BD2261" t="s">
        <v>90</v>
      </c>
    </row>
    <row r="2262" spans="1:56" x14ac:dyDescent="0.35">
      <c r="A2262">
        <v>1582098</v>
      </c>
      <c r="B2262" t="s">
        <v>1715</v>
      </c>
      <c r="E2262">
        <v>95.9</v>
      </c>
      <c r="F2262" t="s">
        <v>58</v>
      </c>
      <c r="G2262" t="s">
        <v>59</v>
      </c>
      <c r="H2262" t="s">
        <v>60</v>
      </c>
      <c r="J2262" t="s">
        <v>86</v>
      </c>
      <c r="L2262" t="s">
        <v>62</v>
      </c>
      <c r="M2262" t="s">
        <v>63</v>
      </c>
      <c r="N2262" t="s">
        <v>64</v>
      </c>
      <c r="P2262" t="s">
        <v>65</v>
      </c>
      <c r="R2262">
        <v>0.124</v>
      </c>
      <c r="T2262">
        <v>9.5000000000000001E-2</v>
      </c>
      <c r="V2262">
        <v>0.16200000000000001</v>
      </c>
      <c r="W2262" t="s">
        <v>66</v>
      </c>
      <c r="X2262" t="s">
        <v>67</v>
      </c>
      <c r="Y2262" t="s">
        <v>67</v>
      </c>
      <c r="Z2262" t="s">
        <v>68</v>
      </c>
      <c r="AB2262">
        <v>4</v>
      </c>
      <c r="AC2262" t="s">
        <v>61</v>
      </c>
      <c r="AJ2262" t="s">
        <v>69</v>
      </c>
      <c r="AY2262" t="s">
        <v>96</v>
      </c>
      <c r="AZ2262">
        <v>6797</v>
      </c>
      <c r="BA2262" t="s">
        <v>97</v>
      </c>
      <c r="BB2262" t="s">
        <v>98</v>
      </c>
      <c r="BC2262">
        <v>1986</v>
      </c>
      <c r="BD2262" t="s">
        <v>90</v>
      </c>
    </row>
    <row r="2263" spans="1:56" x14ac:dyDescent="0.35">
      <c r="A2263">
        <v>1582098</v>
      </c>
      <c r="B2263" t="s">
        <v>1715</v>
      </c>
      <c r="D2263" t="s">
        <v>85</v>
      </c>
      <c r="E2263" t="s">
        <v>86</v>
      </c>
      <c r="F2263" t="s">
        <v>58</v>
      </c>
      <c r="G2263" t="s">
        <v>59</v>
      </c>
      <c r="H2263" t="s">
        <v>60</v>
      </c>
      <c r="J2263" t="s">
        <v>86</v>
      </c>
      <c r="M2263" t="s">
        <v>63</v>
      </c>
      <c r="N2263" t="s">
        <v>64</v>
      </c>
      <c r="P2263" t="s">
        <v>100</v>
      </c>
      <c r="R2263">
        <v>9.9000000000000005E-2</v>
      </c>
      <c r="W2263" t="s">
        <v>66</v>
      </c>
      <c r="X2263" t="s">
        <v>67</v>
      </c>
      <c r="Y2263" t="s">
        <v>67</v>
      </c>
      <c r="Z2263" t="s">
        <v>68</v>
      </c>
      <c r="AB2263">
        <v>4</v>
      </c>
      <c r="AC2263" t="s">
        <v>61</v>
      </c>
      <c r="AJ2263" t="s">
        <v>69</v>
      </c>
      <c r="AY2263" t="s">
        <v>101</v>
      </c>
      <c r="AZ2263">
        <v>70421</v>
      </c>
      <c r="BA2263" t="s">
        <v>102</v>
      </c>
      <c r="BB2263" t="s">
        <v>103</v>
      </c>
      <c r="BC2263">
        <v>1974</v>
      </c>
      <c r="BD2263" t="s">
        <v>90</v>
      </c>
    </row>
    <row r="2264" spans="1:56" x14ac:dyDescent="0.35">
      <c r="A2264">
        <v>1582098</v>
      </c>
      <c r="B2264" t="s">
        <v>1715</v>
      </c>
      <c r="E2264">
        <v>95.9</v>
      </c>
      <c r="F2264" t="s">
        <v>58</v>
      </c>
      <c r="G2264" t="s">
        <v>59</v>
      </c>
      <c r="H2264" t="s">
        <v>60</v>
      </c>
      <c r="J2264" t="s">
        <v>86</v>
      </c>
      <c r="L2264" t="s">
        <v>62</v>
      </c>
      <c r="M2264" t="s">
        <v>63</v>
      </c>
      <c r="N2264" t="s">
        <v>64</v>
      </c>
      <c r="P2264" t="s">
        <v>65</v>
      </c>
      <c r="R2264">
        <v>0.105</v>
      </c>
      <c r="T2264">
        <v>8.3000000000000004E-2</v>
      </c>
      <c r="V2264">
        <v>0.13400000000000001</v>
      </c>
      <c r="W2264" t="s">
        <v>66</v>
      </c>
      <c r="X2264" t="s">
        <v>67</v>
      </c>
      <c r="Y2264" t="s">
        <v>67</v>
      </c>
      <c r="Z2264" t="s">
        <v>68</v>
      </c>
      <c r="AB2264">
        <v>4</v>
      </c>
      <c r="AC2264" t="s">
        <v>61</v>
      </c>
      <c r="AJ2264" t="s">
        <v>69</v>
      </c>
      <c r="AY2264" t="s">
        <v>96</v>
      </c>
      <c r="AZ2264">
        <v>6797</v>
      </c>
      <c r="BA2264" t="s">
        <v>97</v>
      </c>
      <c r="BB2264" t="s">
        <v>98</v>
      </c>
      <c r="BC2264">
        <v>1986</v>
      </c>
      <c r="BD2264" t="s">
        <v>90</v>
      </c>
    </row>
    <row r="2265" spans="1:56" x14ac:dyDescent="0.35">
      <c r="A2265">
        <v>1600277</v>
      </c>
      <c r="B2265" t="s">
        <v>1716</v>
      </c>
      <c r="D2265" t="s">
        <v>57</v>
      </c>
      <c r="E2265" t="s">
        <v>86</v>
      </c>
      <c r="F2265" t="s">
        <v>58</v>
      </c>
      <c r="G2265" t="s">
        <v>59</v>
      </c>
      <c r="H2265" t="s">
        <v>60</v>
      </c>
      <c r="J2265" t="s">
        <v>86</v>
      </c>
      <c r="L2265" t="s">
        <v>62</v>
      </c>
      <c r="M2265" t="s">
        <v>63</v>
      </c>
      <c r="N2265" t="s">
        <v>64</v>
      </c>
      <c r="P2265" t="s">
        <v>201</v>
      </c>
      <c r="R2265">
        <v>0.04</v>
      </c>
      <c r="W2265" t="s">
        <v>66</v>
      </c>
      <c r="X2265" t="s">
        <v>67</v>
      </c>
      <c r="Y2265" t="s">
        <v>67</v>
      </c>
      <c r="Z2265" t="s">
        <v>68</v>
      </c>
      <c r="AB2265">
        <v>4</v>
      </c>
      <c r="AC2265" t="s">
        <v>61</v>
      </c>
      <c r="AJ2265" t="s">
        <v>69</v>
      </c>
      <c r="AY2265" t="s">
        <v>818</v>
      </c>
      <c r="AZ2265">
        <v>5735</v>
      </c>
      <c r="BA2265" t="s">
        <v>821</v>
      </c>
      <c r="BB2265" t="s">
        <v>822</v>
      </c>
      <c r="BC2265">
        <v>1978</v>
      </c>
      <c r="BD2265" t="s">
        <v>90</v>
      </c>
    </row>
    <row r="2266" spans="1:56" x14ac:dyDescent="0.35">
      <c r="A2266">
        <v>1600277</v>
      </c>
      <c r="B2266" t="s">
        <v>1716</v>
      </c>
      <c r="D2266" t="s">
        <v>57</v>
      </c>
      <c r="E2266" t="s">
        <v>86</v>
      </c>
      <c r="F2266" t="s">
        <v>58</v>
      </c>
      <c r="G2266" t="s">
        <v>59</v>
      </c>
      <c r="H2266" t="s">
        <v>60</v>
      </c>
      <c r="J2266" t="s">
        <v>86</v>
      </c>
      <c r="L2266" t="s">
        <v>62</v>
      </c>
      <c r="M2266" t="s">
        <v>63</v>
      </c>
      <c r="N2266" t="s">
        <v>64</v>
      </c>
      <c r="P2266" t="s">
        <v>201</v>
      </c>
      <c r="R2266">
        <v>0.19</v>
      </c>
      <c r="T2266">
        <v>0.04</v>
      </c>
      <c r="V2266">
        <v>0.3</v>
      </c>
      <c r="W2266" t="s">
        <v>66</v>
      </c>
      <c r="X2266" t="s">
        <v>67</v>
      </c>
      <c r="Y2266" t="s">
        <v>67</v>
      </c>
      <c r="Z2266" t="s">
        <v>68</v>
      </c>
      <c r="AB2266">
        <v>4</v>
      </c>
      <c r="AC2266" t="s">
        <v>61</v>
      </c>
      <c r="AJ2266" t="s">
        <v>69</v>
      </c>
      <c r="AY2266" t="s">
        <v>818</v>
      </c>
      <c r="AZ2266">
        <v>875</v>
      </c>
      <c r="BA2266" t="s">
        <v>819</v>
      </c>
      <c r="BB2266" t="s">
        <v>820</v>
      </c>
      <c r="BC2266">
        <v>1979</v>
      </c>
      <c r="BD2266" t="s">
        <v>90</v>
      </c>
    </row>
    <row r="2267" spans="1:56" x14ac:dyDescent="0.35">
      <c r="A2267">
        <v>1600277</v>
      </c>
      <c r="B2267" t="s">
        <v>1716</v>
      </c>
      <c r="D2267" t="s">
        <v>57</v>
      </c>
      <c r="E2267" t="s">
        <v>86</v>
      </c>
      <c r="F2267" t="s">
        <v>58</v>
      </c>
      <c r="G2267" t="s">
        <v>59</v>
      </c>
      <c r="H2267" t="s">
        <v>60</v>
      </c>
      <c r="J2267" t="s">
        <v>86</v>
      </c>
      <c r="L2267" t="s">
        <v>62</v>
      </c>
      <c r="M2267" t="s">
        <v>63</v>
      </c>
      <c r="N2267" t="s">
        <v>64</v>
      </c>
      <c r="O2267" t="s">
        <v>267</v>
      </c>
      <c r="P2267" t="s">
        <v>1296</v>
      </c>
      <c r="R2267">
        <v>0.19</v>
      </c>
      <c r="T2267">
        <v>0.04</v>
      </c>
      <c r="V2267">
        <v>0.3</v>
      </c>
      <c r="W2267" t="s">
        <v>66</v>
      </c>
      <c r="X2267" t="s">
        <v>67</v>
      </c>
      <c r="Y2267" t="s">
        <v>67</v>
      </c>
      <c r="Z2267" t="s">
        <v>68</v>
      </c>
      <c r="AB2267">
        <v>4</v>
      </c>
      <c r="AC2267" t="s">
        <v>61</v>
      </c>
      <c r="AJ2267" t="s">
        <v>69</v>
      </c>
      <c r="AY2267" t="s">
        <v>268</v>
      </c>
      <c r="AZ2267">
        <v>2965</v>
      </c>
      <c r="BA2267" t="s">
        <v>269</v>
      </c>
      <c r="BB2267" t="s">
        <v>270</v>
      </c>
      <c r="BC2267">
        <v>1981</v>
      </c>
      <c r="BD2267" t="s">
        <v>90</v>
      </c>
    </row>
    <row r="2268" spans="1:56" x14ac:dyDescent="0.35">
      <c r="A2268">
        <v>1600277</v>
      </c>
      <c r="B2268" t="s">
        <v>1716</v>
      </c>
      <c r="D2268" t="s">
        <v>57</v>
      </c>
      <c r="E2268" t="s">
        <v>86</v>
      </c>
      <c r="F2268" t="s">
        <v>58</v>
      </c>
      <c r="G2268" t="s">
        <v>59</v>
      </c>
      <c r="H2268" t="s">
        <v>60</v>
      </c>
      <c r="J2268" t="s">
        <v>86</v>
      </c>
      <c r="L2268" t="s">
        <v>62</v>
      </c>
      <c r="M2268" t="s">
        <v>63</v>
      </c>
      <c r="N2268" t="s">
        <v>64</v>
      </c>
      <c r="P2268" t="s">
        <v>201</v>
      </c>
      <c r="R2268">
        <v>0.12</v>
      </c>
      <c r="T2268">
        <v>2.5000000000000001E-2</v>
      </c>
      <c r="V2268">
        <v>0.19</v>
      </c>
      <c r="W2268" t="s">
        <v>66</v>
      </c>
      <c r="X2268" t="s">
        <v>67</v>
      </c>
      <c r="Y2268" t="s">
        <v>67</v>
      </c>
      <c r="Z2268" t="s">
        <v>68</v>
      </c>
      <c r="AB2268">
        <v>4</v>
      </c>
      <c r="AC2268" t="s">
        <v>61</v>
      </c>
      <c r="AJ2268" t="s">
        <v>69</v>
      </c>
      <c r="AY2268" t="s">
        <v>818</v>
      </c>
      <c r="AZ2268">
        <v>5735</v>
      </c>
      <c r="BA2268" t="s">
        <v>821</v>
      </c>
      <c r="BB2268" t="s">
        <v>822</v>
      </c>
      <c r="BC2268">
        <v>1978</v>
      </c>
      <c r="BD2268" t="s">
        <v>90</v>
      </c>
    </row>
    <row r="2269" spans="1:56" x14ac:dyDescent="0.35">
      <c r="A2269">
        <v>1634044</v>
      </c>
      <c r="B2269" t="s">
        <v>1717</v>
      </c>
      <c r="D2269" t="s">
        <v>57</v>
      </c>
      <c r="E2269">
        <v>97</v>
      </c>
      <c r="F2269" t="s">
        <v>58</v>
      </c>
      <c r="G2269" t="s">
        <v>59</v>
      </c>
      <c r="H2269" t="s">
        <v>60</v>
      </c>
      <c r="J2269">
        <v>33</v>
      </c>
      <c r="K2269" t="s">
        <v>61</v>
      </c>
      <c r="L2269" t="s">
        <v>74</v>
      </c>
      <c r="M2269" t="s">
        <v>63</v>
      </c>
      <c r="N2269" t="s">
        <v>64</v>
      </c>
      <c r="P2269" t="s">
        <v>65</v>
      </c>
      <c r="R2269">
        <v>672</v>
      </c>
      <c r="W2269" t="s">
        <v>66</v>
      </c>
      <c r="X2269" t="s">
        <v>67</v>
      </c>
      <c r="Y2269" t="s">
        <v>67</v>
      </c>
      <c r="Z2269" t="s">
        <v>68</v>
      </c>
      <c r="AB2269">
        <v>4</v>
      </c>
      <c r="AC2269" t="s">
        <v>61</v>
      </c>
      <c r="AJ2269" t="s">
        <v>69</v>
      </c>
      <c r="AY2269" t="s">
        <v>80</v>
      </c>
      <c r="AZ2269">
        <v>12859</v>
      </c>
      <c r="BA2269" t="s">
        <v>81</v>
      </c>
      <c r="BB2269" t="s">
        <v>82</v>
      </c>
      <c r="BC2269">
        <v>1988</v>
      </c>
      <c r="BD2269" t="s">
        <v>73</v>
      </c>
    </row>
    <row r="2270" spans="1:56" x14ac:dyDescent="0.35">
      <c r="A2270">
        <v>1647161</v>
      </c>
      <c r="B2270" t="s">
        <v>1718</v>
      </c>
      <c r="D2270" t="s">
        <v>57</v>
      </c>
      <c r="E2270">
        <v>97</v>
      </c>
      <c r="F2270" t="s">
        <v>58</v>
      </c>
      <c r="G2270" t="s">
        <v>59</v>
      </c>
      <c r="H2270" t="s">
        <v>60</v>
      </c>
      <c r="J2270">
        <v>32</v>
      </c>
      <c r="K2270" t="s">
        <v>61</v>
      </c>
      <c r="L2270" t="s">
        <v>74</v>
      </c>
      <c r="M2270" t="s">
        <v>63</v>
      </c>
      <c r="N2270" t="s">
        <v>64</v>
      </c>
      <c r="P2270" t="s">
        <v>65</v>
      </c>
      <c r="R2270">
        <v>0.28999999999999998</v>
      </c>
      <c r="T2270">
        <v>0.27</v>
      </c>
      <c r="V2270">
        <v>0.3</v>
      </c>
      <c r="W2270" t="s">
        <v>66</v>
      </c>
      <c r="X2270" t="s">
        <v>67</v>
      </c>
      <c r="Y2270" t="s">
        <v>67</v>
      </c>
      <c r="Z2270" t="s">
        <v>68</v>
      </c>
      <c r="AB2270">
        <v>4</v>
      </c>
      <c r="AC2270" t="s">
        <v>61</v>
      </c>
      <c r="AJ2270" t="s">
        <v>69</v>
      </c>
      <c r="AY2270" t="s">
        <v>141</v>
      </c>
      <c r="AZ2270">
        <v>12447</v>
      </c>
      <c r="BA2270" t="s">
        <v>142</v>
      </c>
      <c r="BB2270" t="s">
        <v>143</v>
      </c>
      <c r="BC2270">
        <v>1985</v>
      </c>
      <c r="BD2270" t="s">
        <v>73</v>
      </c>
    </row>
    <row r="2271" spans="1:56" x14ac:dyDescent="0.35">
      <c r="A2271">
        <v>1656480</v>
      </c>
      <c r="B2271" t="s">
        <v>1719</v>
      </c>
      <c r="C2271" t="s">
        <v>464</v>
      </c>
      <c r="D2271" t="s">
        <v>85</v>
      </c>
      <c r="E2271" t="s">
        <v>86</v>
      </c>
      <c r="F2271" t="s">
        <v>58</v>
      </c>
      <c r="G2271" t="s">
        <v>59</v>
      </c>
      <c r="H2271" t="s">
        <v>60</v>
      </c>
      <c r="J2271" t="s">
        <v>86</v>
      </c>
      <c r="L2271" t="s">
        <v>62</v>
      </c>
      <c r="M2271" t="s">
        <v>63</v>
      </c>
      <c r="N2271" t="s">
        <v>64</v>
      </c>
      <c r="P2271" t="s">
        <v>65</v>
      </c>
      <c r="R2271">
        <v>3600</v>
      </c>
      <c r="W2271" t="s">
        <v>66</v>
      </c>
      <c r="X2271" t="s">
        <v>67</v>
      </c>
      <c r="Y2271" t="s">
        <v>67</v>
      </c>
      <c r="Z2271" t="s">
        <v>68</v>
      </c>
      <c r="AB2271">
        <v>4</v>
      </c>
      <c r="AC2271" t="s">
        <v>61</v>
      </c>
      <c r="AJ2271" t="s">
        <v>69</v>
      </c>
      <c r="AY2271" t="s">
        <v>465</v>
      </c>
      <c r="AZ2271">
        <v>923</v>
      </c>
      <c r="BA2271" t="s">
        <v>466</v>
      </c>
      <c r="BB2271" t="s">
        <v>467</v>
      </c>
      <c r="BC2271">
        <v>1961</v>
      </c>
      <c r="BD2271" t="s">
        <v>468</v>
      </c>
    </row>
    <row r="2272" spans="1:56" x14ac:dyDescent="0.35">
      <c r="A2272">
        <v>1656480</v>
      </c>
      <c r="B2272" t="s">
        <v>1719</v>
      </c>
      <c r="C2272" t="s">
        <v>464</v>
      </c>
      <c r="D2272" t="s">
        <v>85</v>
      </c>
      <c r="E2272" t="s">
        <v>86</v>
      </c>
      <c r="F2272" t="s">
        <v>58</v>
      </c>
      <c r="G2272" t="s">
        <v>59</v>
      </c>
      <c r="H2272" t="s">
        <v>60</v>
      </c>
      <c r="J2272" t="s">
        <v>86</v>
      </c>
      <c r="L2272" t="s">
        <v>62</v>
      </c>
      <c r="M2272" t="s">
        <v>63</v>
      </c>
      <c r="N2272" t="s">
        <v>64</v>
      </c>
      <c r="P2272" t="s">
        <v>65</v>
      </c>
      <c r="R2272">
        <v>3900</v>
      </c>
      <c r="W2272" t="s">
        <v>66</v>
      </c>
      <c r="X2272" t="s">
        <v>67</v>
      </c>
      <c r="Y2272" t="s">
        <v>67</v>
      </c>
      <c r="Z2272" t="s">
        <v>68</v>
      </c>
      <c r="AB2272">
        <v>4</v>
      </c>
      <c r="AC2272" t="s">
        <v>61</v>
      </c>
      <c r="AJ2272" t="s">
        <v>69</v>
      </c>
      <c r="AY2272" t="s">
        <v>465</v>
      </c>
      <c r="AZ2272">
        <v>923</v>
      </c>
      <c r="BA2272" t="s">
        <v>466</v>
      </c>
      <c r="BB2272" t="s">
        <v>467</v>
      </c>
      <c r="BC2272">
        <v>1961</v>
      </c>
      <c r="BD2272" t="s">
        <v>468</v>
      </c>
    </row>
    <row r="2273" spans="1:56" x14ac:dyDescent="0.35">
      <c r="A2273">
        <v>1689823</v>
      </c>
      <c r="B2273" t="s">
        <v>1720</v>
      </c>
      <c r="D2273" t="s">
        <v>57</v>
      </c>
      <c r="E2273" t="s">
        <v>128</v>
      </c>
      <c r="F2273" t="s">
        <v>58</v>
      </c>
      <c r="G2273" t="s">
        <v>59</v>
      </c>
      <c r="H2273" t="s">
        <v>60</v>
      </c>
      <c r="I2273" t="s">
        <v>129</v>
      </c>
      <c r="J2273" t="s">
        <v>86</v>
      </c>
      <c r="K2273" t="s">
        <v>61</v>
      </c>
      <c r="L2273" t="s">
        <v>74</v>
      </c>
      <c r="M2273" t="s">
        <v>63</v>
      </c>
      <c r="N2273" t="s">
        <v>64</v>
      </c>
      <c r="P2273" t="s">
        <v>65</v>
      </c>
      <c r="R2273">
        <v>1.64</v>
      </c>
      <c r="W2273" t="s">
        <v>66</v>
      </c>
      <c r="X2273" t="s">
        <v>67</v>
      </c>
      <c r="Y2273" t="s">
        <v>67</v>
      </c>
      <c r="Z2273" t="s">
        <v>68</v>
      </c>
      <c r="AB2273">
        <v>4</v>
      </c>
      <c r="AC2273" t="s">
        <v>61</v>
      </c>
      <c r="AJ2273" t="s">
        <v>69</v>
      </c>
      <c r="AY2273" t="s">
        <v>134</v>
      </c>
      <c r="AZ2273">
        <v>15031</v>
      </c>
      <c r="BA2273" t="s">
        <v>135</v>
      </c>
      <c r="BB2273" t="s">
        <v>136</v>
      </c>
      <c r="BC2273">
        <v>1995</v>
      </c>
      <c r="BD2273" t="s">
        <v>133</v>
      </c>
    </row>
    <row r="2274" spans="1:56" x14ac:dyDescent="0.35">
      <c r="A2274">
        <v>1689823</v>
      </c>
      <c r="B2274" t="s">
        <v>1720</v>
      </c>
      <c r="D2274" t="s">
        <v>57</v>
      </c>
      <c r="E2274" t="s">
        <v>1721</v>
      </c>
      <c r="F2274" t="s">
        <v>58</v>
      </c>
      <c r="G2274" t="s">
        <v>59</v>
      </c>
      <c r="H2274" t="s">
        <v>60</v>
      </c>
      <c r="J2274" t="s">
        <v>86</v>
      </c>
      <c r="K2274" t="s">
        <v>61</v>
      </c>
      <c r="L2274" t="s">
        <v>74</v>
      </c>
      <c r="M2274" t="s">
        <v>63</v>
      </c>
      <c r="N2274" t="s">
        <v>64</v>
      </c>
      <c r="P2274" t="s">
        <v>65</v>
      </c>
      <c r="R2274">
        <v>1.0900000000000001</v>
      </c>
      <c r="T2274">
        <v>1.05</v>
      </c>
      <c r="V2274">
        <v>1.1299999999999999</v>
      </c>
      <c r="W2274" t="s">
        <v>66</v>
      </c>
      <c r="X2274" t="s">
        <v>67</v>
      </c>
      <c r="Y2274" t="s">
        <v>67</v>
      </c>
      <c r="Z2274" t="s">
        <v>68</v>
      </c>
      <c r="AB2274">
        <v>4</v>
      </c>
      <c r="AC2274" t="s">
        <v>61</v>
      </c>
      <c r="AJ2274" t="s">
        <v>69</v>
      </c>
      <c r="AY2274" t="s">
        <v>258</v>
      </c>
      <c r="AZ2274">
        <v>10954</v>
      </c>
      <c r="BA2274" t="s">
        <v>259</v>
      </c>
      <c r="BB2274" t="s">
        <v>260</v>
      </c>
      <c r="BC2274">
        <v>1984</v>
      </c>
      <c r="BD2274" t="s">
        <v>261</v>
      </c>
    </row>
    <row r="2275" spans="1:56" x14ac:dyDescent="0.35">
      <c r="A2275">
        <v>1689823</v>
      </c>
      <c r="B2275" t="s">
        <v>1720</v>
      </c>
      <c r="D2275" t="s">
        <v>57</v>
      </c>
      <c r="E2275" t="s">
        <v>128</v>
      </c>
      <c r="F2275" t="s">
        <v>58</v>
      </c>
      <c r="G2275" t="s">
        <v>59</v>
      </c>
      <c r="H2275" t="s">
        <v>60</v>
      </c>
      <c r="I2275" t="s">
        <v>129</v>
      </c>
      <c r="J2275" t="s">
        <v>86</v>
      </c>
      <c r="K2275" t="s">
        <v>61</v>
      </c>
      <c r="L2275" t="s">
        <v>74</v>
      </c>
      <c r="M2275" t="s">
        <v>63</v>
      </c>
      <c r="N2275" t="s">
        <v>64</v>
      </c>
      <c r="O2275">
        <v>6</v>
      </c>
      <c r="P2275" t="s">
        <v>65</v>
      </c>
      <c r="R2275">
        <v>1.64</v>
      </c>
      <c r="T2275">
        <v>1.53</v>
      </c>
      <c r="V2275">
        <v>1.75</v>
      </c>
      <c r="W2275" t="s">
        <v>66</v>
      </c>
      <c r="X2275" t="s">
        <v>67</v>
      </c>
      <c r="Y2275" t="s">
        <v>67</v>
      </c>
      <c r="Z2275" t="s">
        <v>68</v>
      </c>
      <c r="AB2275">
        <v>4</v>
      </c>
      <c r="AC2275" t="s">
        <v>61</v>
      </c>
      <c r="AJ2275" t="s">
        <v>69</v>
      </c>
      <c r="AY2275" t="s">
        <v>130</v>
      </c>
      <c r="AZ2275">
        <v>86254</v>
      </c>
      <c r="BA2275" t="s">
        <v>131</v>
      </c>
      <c r="BB2275" t="s">
        <v>132</v>
      </c>
      <c r="BC2275">
        <v>2005</v>
      </c>
      <c r="BD2275" t="s">
        <v>133</v>
      </c>
    </row>
    <row r="2276" spans="1:56" x14ac:dyDescent="0.35">
      <c r="A2276">
        <v>1689823</v>
      </c>
      <c r="B2276" t="s">
        <v>1720</v>
      </c>
      <c r="D2276" t="s">
        <v>57</v>
      </c>
      <c r="E2276">
        <v>90</v>
      </c>
      <c r="F2276" t="s">
        <v>58</v>
      </c>
      <c r="G2276" t="s">
        <v>59</v>
      </c>
      <c r="H2276" t="s">
        <v>60</v>
      </c>
      <c r="J2276">
        <v>32</v>
      </c>
      <c r="K2276" t="s">
        <v>61</v>
      </c>
      <c r="L2276" t="s">
        <v>74</v>
      </c>
      <c r="M2276" t="s">
        <v>63</v>
      </c>
      <c r="N2276" t="s">
        <v>64</v>
      </c>
      <c r="O2276">
        <v>6</v>
      </c>
      <c r="P2276" t="s">
        <v>65</v>
      </c>
      <c r="R2276">
        <v>1.17</v>
      </c>
      <c r="T2276">
        <v>1.1299999999999999</v>
      </c>
      <c r="V2276">
        <v>1.21</v>
      </c>
      <c r="W2276" t="s">
        <v>66</v>
      </c>
      <c r="X2276" t="s">
        <v>67</v>
      </c>
      <c r="Y2276" t="s">
        <v>67</v>
      </c>
      <c r="Z2276" t="s">
        <v>68</v>
      </c>
      <c r="AB2276">
        <v>4</v>
      </c>
      <c r="AC2276" t="s">
        <v>61</v>
      </c>
      <c r="AJ2276" t="s">
        <v>69</v>
      </c>
      <c r="AY2276" t="s">
        <v>141</v>
      </c>
      <c r="AZ2276">
        <v>12447</v>
      </c>
      <c r="BA2276" t="s">
        <v>142</v>
      </c>
      <c r="BB2276" t="s">
        <v>143</v>
      </c>
      <c r="BC2276">
        <v>1985</v>
      </c>
      <c r="BD2276" t="s">
        <v>73</v>
      </c>
    </row>
    <row r="2277" spans="1:56" x14ac:dyDescent="0.35">
      <c r="A2277">
        <v>1689834</v>
      </c>
      <c r="B2277" t="s">
        <v>1722</v>
      </c>
      <c r="D2277" t="s">
        <v>57</v>
      </c>
      <c r="E2277" t="s">
        <v>86</v>
      </c>
      <c r="F2277" t="s">
        <v>58</v>
      </c>
      <c r="G2277" t="s">
        <v>59</v>
      </c>
      <c r="H2277" t="s">
        <v>60</v>
      </c>
      <c r="J2277">
        <v>30</v>
      </c>
      <c r="K2277" t="s">
        <v>61</v>
      </c>
      <c r="L2277" t="s">
        <v>74</v>
      </c>
      <c r="M2277" t="s">
        <v>63</v>
      </c>
      <c r="N2277" t="s">
        <v>64</v>
      </c>
      <c r="P2277" t="s">
        <v>65</v>
      </c>
      <c r="R2277">
        <v>6.8</v>
      </c>
      <c r="W2277" t="s">
        <v>66</v>
      </c>
      <c r="X2277" t="s">
        <v>67</v>
      </c>
      <c r="Y2277" t="s">
        <v>67</v>
      </c>
      <c r="Z2277" t="s">
        <v>68</v>
      </c>
      <c r="AB2277">
        <v>4</v>
      </c>
      <c r="AC2277" t="s">
        <v>61</v>
      </c>
      <c r="AJ2277" t="s">
        <v>69</v>
      </c>
      <c r="AY2277" t="s">
        <v>75</v>
      </c>
      <c r="AZ2277">
        <v>3217</v>
      </c>
      <c r="BA2277" t="s">
        <v>76</v>
      </c>
      <c r="BB2277" t="s">
        <v>77</v>
      </c>
      <c r="BC2277">
        <v>1990</v>
      </c>
      <c r="BD2277" t="s">
        <v>73</v>
      </c>
    </row>
    <row r="2278" spans="1:56" x14ac:dyDescent="0.35">
      <c r="A2278">
        <v>1689845</v>
      </c>
      <c r="B2278" t="s">
        <v>1723</v>
      </c>
      <c r="D2278" t="s">
        <v>57</v>
      </c>
      <c r="E2278">
        <v>98</v>
      </c>
      <c r="F2278" t="s">
        <v>58</v>
      </c>
      <c r="G2278" t="s">
        <v>59</v>
      </c>
      <c r="H2278" t="s">
        <v>60</v>
      </c>
      <c r="J2278" t="s">
        <v>86</v>
      </c>
      <c r="K2278" t="s">
        <v>61</v>
      </c>
      <c r="L2278" t="s">
        <v>74</v>
      </c>
      <c r="M2278" t="s">
        <v>63</v>
      </c>
      <c r="N2278" t="s">
        <v>64</v>
      </c>
      <c r="P2278" t="s">
        <v>65</v>
      </c>
      <c r="R2278">
        <v>11.5</v>
      </c>
      <c r="W2278" t="s">
        <v>66</v>
      </c>
      <c r="X2278" t="s">
        <v>67</v>
      </c>
      <c r="Y2278" t="s">
        <v>67</v>
      </c>
      <c r="Z2278" t="s">
        <v>68</v>
      </c>
      <c r="AB2278">
        <v>4</v>
      </c>
      <c r="AC2278" t="s">
        <v>61</v>
      </c>
      <c r="AJ2278" t="s">
        <v>69</v>
      </c>
      <c r="AY2278" t="s">
        <v>286</v>
      </c>
      <c r="AZ2278">
        <v>12448</v>
      </c>
      <c r="BA2278" t="s">
        <v>287</v>
      </c>
      <c r="BB2278" t="s">
        <v>288</v>
      </c>
      <c r="BC2278">
        <v>1984</v>
      </c>
      <c r="BD2278" t="s">
        <v>1035</v>
      </c>
    </row>
    <row r="2279" spans="1:56" x14ac:dyDescent="0.35">
      <c r="A2279">
        <v>1689845</v>
      </c>
      <c r="B2279" t="s">
        <v>1723</v>
      </c>
      <c r="D2279" t="s">
        <v>57</v>
      </c>
      <c r="E2279" t="s">
        <v>128</v>
      </c>
      <c r="F2279" t="s">
        <v>58</v>
      </c>
      <c r="G2279" t="s">
        <v>59</v>
      </c>
      <c r="H2279" t="s">
        <v>60</v>
      </c>
      <c r="I2279" t="s">
        <v>129</v>
      </c>
      <c r="J2279" t="s">
        <v>86</v>
      </c>
      <c r="K2279" t="s">
        <v>61</v>
      </c>
      <c r="L2279" t="s">
        <v>74</v>
      </c>
      <c r="M2279" t="s">
        <v>63</v>
      </c>
      <c r="N2279" t="s">
        <v>64</v>
      </c>
      <c r="P2279" t="s">
        <v>65</v>
      </c>
      <c r="R2279">
        <v>13.8</v>
      </c>
      <c r="W2279" t="s">
        <v>66</v>
      </c>
      <c r="X2279" t="s">
        <v>67</v>
      </c>
      <c r="Y2279" t="s">
        <v>67</v>
      </c>
      <c r="Z2279" t="s">
        <v>68</v>
      </c>
      <c r="AB2279">
        <v>4</v>
      </c>
      <c r="AC2279" t="s">
        <v>61</v>
      </c>
      <c r="AJ2279" t="s">
        <v>69</v>
      </c>
      <c r="AY2279" t="s">
        <v>134</v>
      </c>
      <c r="AZ2279">
        <v>15031</v>
      </c>
      <c r="BA2279" t="s">
        <v>135</v>
      </c>
      <c r="BB2279" t="s">
        <v>136</v>
      </c>
      <c r="BC2279">
        <v>1995</v>
      </c>
      <c r="BD2279" t="s">
        <v>133</v>
      </c>
    </row>
    <row r="2280" spans="1:56" x14ac:dyDescent="0.35">
      <c r="A2280">
        <v>1689845</v>
      </c>
      <c r="B2280" t="s">
        <v>1723</v>
      </c>
      <c r="D2280" t="s">
        <v>57</v>
      </c>
      <c r="E2280">
        <v>98</v>
      </c>
      <c r="F2280" t="s">
        <v>58</v>
      </c>
      <c r="G2280" t="s">
        <v>59</v>
      </c>
      <c r="H2280" t="s">
        <v>60</v>
      </c>
      <c r="J2280">
        <v>33</v>
      </c>
      <c r="K2280" t="s">
        <v>61</v>
      </c>
      <c r="L2280" t="s">
        <v>74</v>
      </c>
      <c r="M2280" t="s">
        <v>63</v>
      </c>
      <c r="N2280" t="s">
        <v>64</v>
      </c>
      <c r="P2280" t="s">
        <v>65</v>
      </c>
      <c r="R2280">
        <v>13.8</v>
      </c>
      <c r="T2280">
        <v>12.7</v>
      </c>
      <c r="V2280">
        <v>15.1</v>
      </c>
      <c r="W2280" t="s">
        <v>66</v>
      </c>
      <c r="X2280" t="s">
        <v>67</v>
      </c>
      <c r="Y2280" t="s">
        <v>67</v>
      </c>
      <c r="Z2280" t="s">
        <v>68</v>
      </c>
      <c r="AB2280">
        <v>4</v>
      </c>
      <c r="AC2280" t="s">
        <v>61</v>
      </c>
      <c r="AJ2280" t="s">
        <v>69</v>
      </c>
      <c r="AY2280" t="s">
        <v>80</v>
      </c>
      <c r="AZ2280">
        <v>12859</v>
      </c>
      <c r="BA2280" t="s">
        <v>81</v>
      </c>
      <c r="BB2280" t="s">
        <v>82</v>
      </c>
      <c r="BC2280">
        <v>1988</v>
      </c>
      <c r="BD2280" t="s">
        <v>73</v>
      </c>
    </row>
    <row r="2281" spans="1:56" x14ac:dyDescent="0.35">
      <c r="A2281">
        <v>1740198</v>
      </c>
      <c r="B2281" t="s">
        <v>1724</v>
      </c>
      <c r="D2281" t="s">
        <v>57</v>
      </c>
      <c r="E2281" t="s">
        <v>86</v>
      </c>
      <c r="F2281" t="s">
        <v>58</v>
      </c>
      <c r="G2281" t="s">
        <v>59</v>
      </c>
      <c r="H2281" t="s">
        <v>60</v>
      </c>
      <c r="J2281" t="s">
        <v>86</v>
      </c>
      <c r="L2281" t="s">
        <v>62</v>
      </c>
      <c r="M2281" t="s">
        <v>63</v>
      </c>
      <c r="N2281" t="s">
        <v>64</v>
      </c>
      <c r="P2281" t="s">
        <v>201</v>
      </c>
      <c r="R2281">
        <v>45.5</v>
      </c>
      <c r="W2281" t="s">
        <v>66</v>
      </c>
      <c r="X2281" t="s">
        <v>67</v>
      </c>
      <c r="Y2281" t="s">
        <v>67</v>
      </c>
      <c r="Z2281" t="s">
        <v>68</v>
      </c>
      <c r="AB2281">
        <v>4</v>
      </c>
      <c r="AC2281" t="s">
        <v>61</v>
      </c>
      <c r="AJ2281" t="s">
        <v>69</v>
      </c>
      <c r="AY2281" t="s">
        <v>1725</v>
      </c>
      <c r="AZ2281">
        <v>10550</v>
      </c>
      <c r="BA2281" t="s">
        <v>1726</v>
      </c>
      <c r="BB2281" t="s">
        <v>1727</v>
      </c>
      <c r="BC2281">
        <v>1983</v>
      </c>
      <c r="BD2281" t="s">
        <v>90</v>
      </c>
    </row>
    <row r="2282" spans="1:56" x14ac:dyDescent="0.35">
      <c r="A2282">
        <v>1740198</v>
      </c>
      <c r="B2282" t="s">
        <v>1724</v>
      </c>
      <c r="D2282" t="s">
        <v>57</v>
      </c>
      <c r="E2282" t="s">
        <v>79</v>
      </c>
      <c r="F2282" t="s">
        <v>58</v>
      </c>
      <c r="G2282" t="s">
        <v>59</v>
      </c>
      <c r="H2282" t="s">
        <v>60</v>
      </c>
      <c r="J2282">
        <v>28</v>
      </c>
      <c r="K2282" t="s">
        <v>61</v>
      </c>
      <c r="L2282" t="s">
        <v>74</v>
      </c>
      <c r="M2282" t="s">
        <v>63</v>
      </c>
      <c r="N2282" t="s">
        <v>64</v>
      </c>
      <c r="P2282" t="s">
        <v>65</v>
      </c>
      <c r="R2282">
        <v>2.1</v>
      </c>
      <c r="T2282">
        <v>1.74</v>
      </c>
      <c r="V2282">
        <v>2.5299999999999998</v>
      </c>
      <c r="W2282" t="s">
        <v>66</v>
      </c>
      <c r="X2282" t="s">
        <v>67</v>
      </c>
      <c r="Y2282" t="s">
        <v>67</v>
      </c>
      <c r="Z2282" t="s">
        <v>68</v>
      </c>
      <c r="AB2282">
        <v>4</v>
      </c>
      <c r="AC2282" t="s">
        <v>61</v>
      </c>
      <c r="AJ2282" t="s">
        <v>69</v>
      </c>
      <c r="AY2282" t="s">
        <v>141</v>
      </c>
      <c r="AZ2282">
        <v>12447</v>
      </c>
      <c r="BA2282" t="s">
        <v>142</v>
      </c>
      <c r="BB2282" t="s">
        <v>143</v>
      </c>
      <c r="BC2282">
        <v>1985</v>
      </c>
      <c r="BD2282" t="s">
        <v>73</v>
      </c>
    </row>
    <row r="2283" spans="1:56" x14ac:dyDescent="0.35">
      <c r="A2283">
        <v>1740198</v>
      </c>
      <c r="B2283" t="s">
        <v>1724</v>
      </c>
      <c r="D2283" t="s">
        <v>57</v>
      </c>
      <c r="E2283" t="s">
        <v>86</v>
      </c>
      <c r="F2283" t="s">
        <v>58</v>
      </c>
      <c r="G2283" t="s">
        <v>59</v>
      </c>
      <c r="H2283" t="s">
        <v>60</v>
      </c>
      <c r="J2283" t="s">
        <v>86</v>
      </c>
      <c r="L2283" t="s">
        <v>62</v>
      </c>
      <c r="M2283" t="s">
        <v>63</v>
      </c>
      <c r="N2283" t="s">
        <v>64</v>
      </c>
      <c r="P2283" t="s">
        <v>201</v>
      </c>
      <c r="R2283">
        <v>9.9</v>
      </c>
      <c r="W2283" t="s">
        <v>66</v>
      </c>
      <c r="X2283" t="s">
        <v>67</v>
      </c>
      <c r="Y2283" t="s">
        <v>67</v>
      </c>
      <c r="Z2283" t="s">
        <v>68</v>
      </c>
      <c r="AB2283">
        <v>4</v>
      </c>
      <c r="AC2283" t="s">
        <v>61</v>
      </c>
      <c r="AJ2283" t="s">
        <v>69</v>
      </c>
      <c r="AY2283" t="s">
        <v>1725</v>
      </c>
      <c r="AZ2283">
        <v>10550</v>
      </c>
      <c r="BA2283" t="s">
        <v>1726</v>
      </c>
      <c r="BB2283" t="s">
        <v>1727</v>
      </c>
      <c r="BC2283">
        <v>1983</v>
      </c>
      <c r="BD2283" t="s">
        <v>90</v>
      </c>
    </row>
    <row r="2284" spans="1:56" x14ac:dyDescent="0.35">
      <c r="A2284">
        <v>1740198</v>
      </c>
      <c r="B2284" t="s">
        <v>1724</v>
      </c>
      <c r="D2284" t="s">
        <v>57</v>
      </c>
      <c r="E2284" t="s">
        <v>86</v>
      </c>
      <c r="F2284" t="s">
        <v>58</v>
      </c>
      <c r="G2284" t="s">
        <v>59</v>
      </c>
      <c r="H2284" t="s">
        <v>60</v>
      </c>
      <c r="J2284" t="s">
        <v>86</v>
      </c>
      <c r="L2284" t="s">
        <v>62</v>
      </c>
      <c r="M2284" t="s">
        <v>63</v>
      </c>
      <c r="N2284" t="s">
        <v>64</v>
      </c>
      <c r="P2284" t="s">
        <v>201</v>
      </c>
      <c r="R2284">
        <v>1.5</v>
      </c>
      <c r="W2284" t="s">
        <v>66</v>
      </c>
      <c r="X2284" t="s">
        <v>67</v>
      </c>
      <c r="Y2284" t="s">
        <v>67</v>
      </c>
      <c r="Z2284" t="s">
        <v>68</v>
      </c>
      <c r="AB2284">
        <v>4</v>
      </c>
      <c r="AC2284" t="s">
        <v>61</v>
      </c>
      <c r="AJ2284" t="s">
        <v>69</v>
      </c>
      <c r="AY2284" t="s">
        <v>1725</v>
      </c>
      <c r="AZ2284">
        <v>10550</v>
      </c>
      <c r="BA2284" t="s">
        <v>1726</v>
      </c>
      <c r="BB2284" t="s">
        <v>1727</v>
      </c>
      <c r="BC2284">
        <v>1983</v>
      </c>
      <c r="BD2284" t="s">
        <v>90</v>
      </c>
    </row>
    <row r="2285" spans="1:56" x14ac:dyDescent="0.35">
      <c r="A2285">
        <v>1740198</v>
      </c>
      <c r="B2285" t="s">
        <v>1724</v>
      </c>
      <c r="D2285" t="s">
        <v>57</v>
      </c>
      <c r="E2285" t="s">
        <v>86</v>
      </c>
      <c r="F2285" t="s">
        <v>58</v>
      </c>
      <c r="G2285" t="s">
        <v>59</v>
      </c>
      <c r="H2285" t="s">
        <v>60</v>
      </c>
      <c r="J2285" t="s">
        <v>86</v>
      </c>
      <c r="L2285" t="s">
        <v>62</v>
      </c>
      <c r="M2285" t="s">
        <v>63</v>
      </c>
      <c r="N2285" t="s">
        <v>64</v>
      </c>
      <c r="P2285" t="s">
        <v>201</v>
      </c>
      <c r="R2285">
        <v>3.2</v>
      </c>
      <c r="W2285" t="s">
        <v>66</v>
      </c>
      <c r="X2285" t="s">
        <v>67</v>
      </c>
      <c r="Y2285" t="s">
        <v>67</v>
      </c>
      <c r="Z2285" t="s">
        <v>68</v>
      </c>
      <c r="AB2285">
        <v>4</v>
      </c>
      <c r="AC2285" t="s">
        <v>61</v>
      </c>
      <c r="AJ2285" t="s">
        <v>69</v>
      </c>
      <c r="AY2285" t="s">
        <v>1725</v>
      </c>
      <c r="AZ2285">
        <v>10550</v>
      </c>
      <c r="BA2285" t="s">
        <v>1726</v>
      </c>
      <c r="BB2285" t="s">
        <v>1727</v>
      </c>
      <c r="BC2285">
        <v>1983</v>
      </c>
      <c r="BD2285" t="s">
        <v>90</v>
      </c>
    </row>
    <row r="2286" spans="1:56" x14ac:dyDescent="0.35">
      <c r="A2286">
        <v>1745819</v>
      </c>
      <c r="B2286" t="s">
        <v>1728</v>
      </c>
      <c r="D2286" t="s">
        <v>57</v>
      </c>
      <c r="E2286">
        <v>98</v>
      </c>
      <c r="F2286" t="s">
        <v>58</v>
      </c>
      <c r="G2286" t="s">
        <v>59</v>
      </c>
      <c r="H2286" t="s">
        <v>60</v>
      </c>
      <c r="J2286">
        <v>31</v>
      </c>
      <c r="K2286" t="s">
        <v>61</v>
      </c>
      <c r="L2286" t="s">
        <v>74</v>
      </c>
      <c r="M2286" t="s">
        <v>63</v>
      </c>
      <c r="N2286" t="s">
        <v>64</v>
      </c>
      <c r="P2286" t="s">
        <v>65</v>
      </c>
      <c r="R2286">
        <v>15</v>
      </c>
      <c r="T2286">
        <v>13.7</v>
      </c>
      <c r="V2286">
        <v>16.298999999999999</v>
      </c>
      <c r="W2286" t="s">
        <v>66</v>
      </c>
      <c r="X2286" t="s">
        <v>67</v>
      </c>
      <c r="Y2286" t="s">
        <v>67</v>
      </c>
      <c r="Z2286" t="s">
        <v>68</v>
      </c>
      <c r="AB2286">
        <v>4</v>
      </c>
      <c r="AC2286" t="s">
        <v>61</v>
      </c>
      <c r="AJ2286" t="s">
        <v>69</v>
      </c>
      <c r="AY2286" t="s">
        <v>141</v>
      </c>
      <c r="AZ2286">
        <v>12447</v>
      </c>
      <c r="BA2286" t="s">
        <v>142</v>
      </c>
      <c r="BB2286" t="s">
        <v>143</v>
      </c>
      <c r="BC2286">
        <v>1985</v>
      </c>
      <c r="BD2286" t="s">
        <v>73</v>
      </c>
    </row>
    <row r="2287" spans="1:56" x14ac:dyDescent="0.35">
      <c r="A2287">
        <v>1745819</v>
      </c>
      <c r="B2287" t="s">
        <v>1728</v>
      </c>
      <c r="D2287" t="s">
        <v>57</v>
      </c>
      <c r="E2287">
        <v>98</v>
      </c>
      <c r="F2287" t="s">
        <v>58</v>
      </c>
      <c r="G2287" t="s">
        <v>59</v>
      </c>
      <c r="H2287" t="s">
        <v>60</v>
      </c>
      <c r="J2287" t="s">
        <v>86</v>
      </c>
      <c r="K2287" t="s">
        <v>61</v>
      </c>
      <c r="L2287" t="s">
        <v>74</v>
      </c>
      <c r="M2287" t="s">
        <v>63</v>
      </c>
      <c r="N2287" t="s">
        <v>64</v>
      </c>
      <c r="P2287" t="s">
        <v>65</v>
      </c>
      <c r="R2287">
        <v>13.2</v>
      </c>
      <c r="T2287">
        <v>12.1</v>
      </c>
      <c r="V2287">
        <v>14.4</v>
      </c>
      <c r="W2287" t="s">
        <v>66</v>
      </c>
      <c r="X2287" t="s">
        <v>67</v>
      </c>
      <c r="Y2287" t="s">
        <v>67</v>
      </c>
      <c r="Z2287" t="s">
        <v>68</v>
      </c>
      <c r="AB2287">
        <v>4</v>
      </c>
      <c r="AC2287" t="s">
        <v>61</v>
      </c>
      <c r="AJ2287" t="s">
        <v>69</v>
      </c>
      <c r="AY2287" t="s">
        <v>258</v>
      </c>
      <c r="AZ2287">
        <v>10954</v>
      </c>
      <c r="BA2287" t="s">
        <v>259</v>
      </c>
      <c r="BB2287" t="s">
        <v>260</v>
      </c>
      <c r="BC2287">
        <v>1984</v>
      </c>
      <c r="BD2287" t="s">
        <v>261</v>
      </c>
    </row>
    <row r="2288" spans="1:56" x14ac:dyDescent="0.35">
      <c r="A2288">
        <v>1757182</v>
      </c>
      <c r="B2288" t="s">
        <v>1729</v>
      </c>
      <c r="E2288">
        <v>26</v>
      </c>
      <c r="F2288" t="s">
        <v>58</v>
      </c>
      <c r="G2288" t="s">
        <v>59</v>
      </c>
      <c r="H2288" t="s">
        <v>60</v>
      </c>
      <c r="J2288" t="s">
        <v>86</v>
      </c>
      <c r="L2288" t="s">
        <v>62</v>
      </c>
      <c r="M2288" t="s">
        <v>63</v>
      </c>
      <c r="N2288" t="s">
        <v>64</v>
      </c>
      <c r="P2288" t="s">
        <v>65</v>
      </c>
      <c r="R2288">
        <v>0.27</v>
      </c>
      <c r="W2288" t="s">
        <v>66</v>
      </c>
      <c r="X2288" t="s">
        <v>67</v>
      </c>
      <c r="Y2288" t="s">
        <v>67</v>
      </c>
      <c r="Z2288" t="s">
        <v>68</v>
      </c>
      <c r="AB2288">
        <v>4</v>
      </c>
      <c r="AC2288" t="s">
        <v>61</v>
      </c>
      <c r="AJ2288" t="s">
        <v>69</v>
      </c>
      <c r="AY2288" t="s">
        <v>96</v>
      </c>
      <c r="AZ2288">
        <v>6797</v>
      </c>
      <c r="BA2288" t="s">
        <v>97</v>
      </c>
      <c r="BB2288" t="s">
        <v>98</v>
      </c>
      <c r="BC2288">
        <v>1986</v>
      </c>
      <c r="BD2288" t="s">
        <v>90</v>
      </c>
    </row>
    <row r="2289" spans="1:56" x14ac:dyDescent="0.35">
      <c r="A2289">
        <v>1761611</v>
      </c>
      <c r="B2289" t="s">
        <v>1730</v>
      </c>
      <c r="D2289" t="s">
        <v>57</v>
      </c>
      <c r="E2289">
        <v>99</v>
      </c>
      <c r="F2289" t="s">
        <v>58</v>
      </c>
      <c r="G2289" t="s">
        <v>59</v>
      </c>
      <c r="H2289" t="s">
        <v>60</v>
      </c>
      <c r="J2289">
        <v>32</v>
      </c>
      <c r="K2289" t="s">
        <v>61</v>
      </c>
      <c r="L2289" t="s">
        <v>74</v>
      </c>
      <c r="M2289" t="s">
        <v>63</v>
      </c>
      <c r="N2289" t="s">
        <v>64</v>
      </c>
      <c r="P2289" t="s">
        <v>65</v>
      </c>
      <c r="R2289">
        <v>1.3</v>
      </c>
      <c r="T2289">
        <v>1.2</v>
      </c>
      <c r="V2289">
        <v>1.4</v>
      </c>
      <c r="W2289" t="s">
        <v>66</v>
      </c>
      <c r="X2289" t="s">
        <v>67</v>
      </c>
      <c r="Y2289" t="s">
        <v>67</v>
      </c>
      <c r="Z2289" t="s">
        <v>68</v>
      </c>
      <c r="AB2289">
        <v>4</v>
      </c>
      <c r="AC2289" t="s">
        <v>61</v>
      </c>
      <c r="AJ2289" t="s">
        <v>69</v>
      </c>
      <c r="AY2289" t="s">
        <v>286</v>
      </c>
      <c r="AZ2289">
        <v>12448</v>
      </c>
      <c r="BA2289" t="s">
        <v>287</v>
      </c>
      <c r="BB2289" t="s">
        <v>288</v>
      </c>
      <c r="BC2289">
        <v>1984</v>
      </c>
      <c r="BD2289" t="s">
        <v>73</v>
      </c>
    </row>
    <row r="2290" spans="1:56" x14ac:dyDescent="0.35">
      <c r="A2290">
        <v>1770805</v>
      </c>
      <c r="B2290" t="s">
        <v>1731</v>
      </c>
      <c r="E2290">
        <v>100</v>
      </c>
      <c r="F2290" t="s">
        <v>58</v>
      </c>
      <c r="G2290" t="s">
        <v>59</v>
      </c>
      <c r="H2290" t="s">
        <v>60</v>
      </c>
      <c r="J2290" t="s">
        <v>86</v>
      </c>
      <c r="L2290" t="s">
        <v>62</v>
      </c>
      <c r="M2290" t="s">
        <v>63</v>
      </c>
      <c r="N2290" t="s">
        <v>64</v>
      </c>
      <c r="P2290" t="s">
        <v>65</v>
      </c>
      <c r="Q2290" t="s">
        <v>153</v>
      </c>
      <c r="R2290">
        <v>100</v>
      </c>
      <c r="W2290" t="s">
        <v>66</v>
      </c>
      <c r="X2290" t="s">
        <v>67</v>
      </c>
      <c r="Y2290" t="s">
        <v>67</v>
      </c>
      <c r="Z2290" t="s">
        <v>68</v>
      </c>
      <c r="AB2290">
        <v>4</v>
      </c>
      <c r="AC2290" t="s">
        <v>61</v>
      </c>
      <c r="AJ2290" t="s">
        <v>69</v>
      </c>
      <c r="AY2290" t="s">
        <v>96</v>
      </c>
      <c r="AZ2290">
        <v>6797</v>
      </c>
      <c r="BA2290" t="s">
        <v>97</v>
      </c>
      <c r="BB2290" t="s">
        <v>98</v>
      </c>
      <c r="BC2290">
        <v>1986</v>
      </c>
      <c r="BD2290" t="s">
        <v>90</v>
      </c>
    </row>
    <row r="2291" spans="1:56" x14ac:dyDescent="0.35">
      <c r="A2291">
        <v>1773893</v>
      </c>
      <c r="B2291" t="s">
        <v>1732</v>
      </c>
      <c r="E2291">
        <v>100</v>
      </c>
      <c r="F2291" t="s">
        <v>58</v>
      </c>
      <c r="G2291" t="s">
        <v>59</v>
      </c>
      <c r="H2291" t="s">
        <v>60</v>
      </c>
      <c r="J2291" t="s">
        <v>86</v>
      </c>
      <c r="L2291" t="s">
        <v>62</v>
      </c>
      <c r="M2291" t="s">
        <v>63</v>
      </c>
      <c r="N2291" t="s">
        <v>64</v>
      </c>
      <c r="P2291" t="s">
        <v>65</v>
      </c>
      <c r="R2291">
        <v>1.7</v>
      </c>
      <c r="T2291">
        <v>1.25</v>
      </c>
      <c r="V2291">
        <v>2.2999999999999998</v>
      </c>
      <c r="W2291" t="s">
        <v>66</v>
      </c>
      <c r="X2291" t="s">
        <v>67</v>
      </c>
      <c r="Y2291" t="s">
        <v>67</v>
      </c>
      <c r="Z2291" t="s">
        <v>68</v>
      </c>
      <c r="AB2291">
        <v>4</v>
      </c>
      <c r="AC2291" t="s">
        <v>61</v>
      </c>
      <c r="AJ2291" t="s">
        <v>69</v>
      </c>
      <c r="AY2291" t="s">
        <v>96</v>
      </c>
      <c r="AZ2291">
        <v>6797</v>
      </c>
      <c r="BA2291" t="s">
        <v>97</v>
      </c>
      <c r="BB2291" t="s">
        <v>98</v>
      </c>
      <c r="BC2291">
        <v>1986</v>
      </c>
      <c r="BD2291" t="s">
        <v>90</v>
      </c>
    </row>
    <row r="2292" spans="1:56" x14ac:dyDescent="0.35">
      <c r="A2292">
        <v>1773893</v>
      </c>
      <c r="B2292" t="s">
        <v>1732</v>
      </c>
      <c r="E2292">
        <v>100</v>
      </c>
      <c r="F2292" t="s">
        <v>58</v>
      </c>
      <c r="G2292" t="s">
        <v>59</v>
      </c>
      <c r="H2292" t="s">
        <v>60</v>
      </c>
      <c r="J2292" t="s">
        <v>86</v>
      </c>
      <c r="L2292" t="s">
        <v>74</v>
      </c>
      <c r="M2292" t="s">
        <v>63</v>
      </c>
      <c r="N2292" t="s">
        <v>64</v>
      </c>
      <c r="P2292" t="s">
        <v>65</v>
      </c>
      <c r="R2292">
        <v>1.75</v>
      </c>
      <c r="T2292">
        <v>1.61</v>
      </c>
      <c r="V2292">
        <v>1.9</v>
      </c>
      <c r="W2292" t="s">
        <v>66</v>
      </c>
      <c r="X2292" t="s">
        <v>67</v>
      </c>
      <c r="Y2292" t="s">
        <v>67</v>
      </c>
      <c r="Z2292" t="s">
        <v>68</v>
      </c>
      <c r="AB2292">
        <v>4</v>
      </c>
      <c r="AC2292" t="s">
        <v>61</v>
      </c>
      <c r="AJ2292" t="s">
        <v>69</v>
      </c>
      <c r="AY2292" t="s">
        <v>96</v>
      </c>
      <c r="AZ2292">
        <v>6797</v>
      </c>
      <c r="BA2292" t="s">
        <v>97</v>
      </c>
      <c r="BB2292" t="s">
        <v>98</v>
      </c>
      <c r="BC2292">
        <v>1986</v>
      </c>
      <c r="BD2292" t="s">
        <v>90</v>
      </c>
    </row>
    <row r="2293" spans="1:56" x14ac:dyDescent="0.35">
      <c r="A2293">
        <v>1787617</v>
      </c>
      <c r="B2293" t="s">
        <v>1733</v>
      </c>
      <c r="D2293" t="s">
        <v>85</v>
      </c>
      <c r="E2293">
        <v>15</v>
      </c>
      <c r="F2293" t="s">
        <v>58</v>
      </c>
      <c r="G2293" t="s">
        <v>59</v>
      </c>
      <c r="H2293" t="s">
        <v>60</v>
      </c>
      <c r="J2293" t="s">
        <v>86</v>
      </c>
      <c r="L2293" t="s">
        <v>62</v>
      </c>
      <c r="M2293" t="s">
        <v>63</v>
      </c>
      <c r="N2293" t="s">
        <v>64</v>
      </c>
      <c r="P2293" t="s">
        <v>100</v>
      </c>
      <c r="R2293">
        <v>6</v>
      </c>
      <c r="W2293" t="s">
        <v>66</v>
      </c>
      <c r="X2293" t="s">
        <v>67</v>
      </c>
      <c r="Y2293" t="s">
        <v>67</v>
      </c>
      <c r="Z2293" t="s">
        <v>68</v>
      </c>
      <c r="AB2293">
        <v>4</v>
      </c>
      <c r="AC2293" t="s">
        <v>61</v>
      </c>
      <c r="AJ2293" t="s">
        <v>69</v>
      </c>
      <c r="AY2293" t="s">
        <v>1246</v>
      </c>
      <c r="AZ2293">
        <v>6969</v>
      </c>
      <c r="BA2293" t="s">
        <v>1247</v>
      </c>
      <c r="BB2293" t="s">
        <v>1248</v>
      </c>
      <c r="BC2293">
        <v>1973</v>
      </c>
      <c r="BD2293" t="s">
        <v>90</v>
      </c>
    </row>
    <row r="2294" spans="1:56" x14ac:dyDescent="0.35">
      <c r="A2294">
        <v>1787617</v>
      </c>
      <c r="B2294" t="s">
        <v>1733</v>
      </c>
      <c r="D2294" t="s">
        <v>85</v>
      </c>
      <c r="E2294" t="s">
        <v>86</v>
      </c>
      <c r="F2294" t="s">
        <v>58</v>
      </c>
      <c r="G2294" t="s">
        <v>59</v>
      </c>
      <c r="H2294" t="s">
        <v>60</v>
      </c>
      <c r="J2294" t="s">
        <v>86</v>
      </c>
      <c r="L2294" t="s">
        <v>62</v>
      </c>
      <c r="M2294" t="s">
        <v>63</v>
      </c>
      <c r="N2294" t="s">
        <v>64</v>
      </c>
      <c r="P2294" t="s">
        <v>100</v>
      </c>
      <c r="R2294">
        <v>6</v>
      </c>
      <c r="W2294" t="s">
        <v>66</v>
      </c>
      <c r="X2294" t="s">
        <v>67</v>
      </c>
      <c r="Y2294" t="s">
        <v>67</v>
      </c>
      <c r="Z2294" t="s">
        <v>68</v>
      </c>
      <c r="AB2294">
        <v>4</v>
      </c>
      <c r="AC2294" t="s">
        <v>61</v>
      </c>
      <c r="AJ2294" t="s">
        <v>69</v>
      </c>
      <c r="AY2294" t="s">
        <v>1243</v>
      </c>
      <c r="AZ2294">
        <v>5789</v>
      </c>
      <c r="BA2294" t="s">
        <v>1244</v>
      </c>
      <c r="BB2294" t="s">
        <v>1245</v>
      </c>
      <c r="BC2294">
        <v>1974</v>
      </c>
      <c r="BD2294" t="s">
        <v>90</v>
      </c>
    </row>
    <row r="2295" spans="1:56" x14ac:dyDescent="0.35">
      <c r="A2295">
        <v>1825214</v>
      </c>
      <c r="B2295" t="s">
        <v>1734</v>
      </c>
      <c r="D2295" t="s">
        <v>57</v>
      </c>
      <c r="E2295">
        <v>100</v>
      </c>
      <c r="F2295" t="s">
        <v>58</v>
      </c>
      <c r="G2295" t="s">
        <v>59</v>
      </c>
      <c r="H2295" t="s">
        <v>60</v>
      </c>
      <c r="J2295">
        <v>30</v>
      </c>
      <c r="K2295" t="s">
        <v>61</v>
      </c>
      <c r="L2295" t="s">
        <v>74</v>
      </c>
      <c r="M2295" t="s">
        <v>63</v>
      </c>
      <c r="N2295" t="s">
        <v>64</v>
      </c>
      <c r="P2295" t="s">
        <v>65</v>
      </c>
      <c r="R2295">
        <v>0.65</v>
      </c>
      <c r="T2295">
        <v>0.5</v>
      </c>
      <c r="V2295">
        <v>0.84</v>
      </c>
      <c r="W2295" t="s">
        <v>66</v>
      </c>
      <c r="X2295" t="s">
        <v>67</v>
      </c>
      <c r="Y2295" t="s">
        <v>67</v>
      </c>
      <c r="Z2295" t="s">
        <v>68</v>
      </c>
      <c r="AB2295">
        <v>4</v>
      </c>
      <c r="AC2295" t="s">
        <v>61</v>
      </c>
      <c r="AJ2295" t="s">
        <v>69</v>
      </c>
      <c r="AY2295" t="s">
        <v>309</v>
      </c>
      <c r="AZ2295">
        <v>17138</v>
      </c>
      <c r="BA2295" t="s">
        <v>310</v>
      </c>
      <c r="BB2295" t="s">
        <v>311</v>
      </c>
      <c r="BC2295">
        <v>1991</v>
      </c>
      <c r="BD2295" t="s">
        <v>73</v>
      </c>
    </row>
    <row r="2296" spans="1:56" x14ac:dyDescent="0.35">
      <c r="A2296">
        <v>1825214</v>
      </c>
      <c r="B2296" t="s">
        <v>1734</v>
      </c>
      <c r="D2296" t="s">
        <v>57</v>
      </c>
      <c r="E2296">
        <v>100</v>
      </c>
      <c r="F2296" t="s">
        <v>58</v>
      </c>
      <c r="G2296" t="s">
        <v>59</v>
      </c>
      <c r="H2296" t="s">
        <v>60</v>
      </c>
      <c r="J2296">
        <v>30</v>
      </c>
      <c r="K2296" t="s">
        <v>61</v>
      </c>
      <c r="L2296" t="s">
        <v>62</v>
      </c>
      <c r="M2296" t="s">
        <v>63</v>
      </c>
      <c r="N2296" t="s">
        <v>64</v>
      </c>
      <c r="P2296" t="s">
        <v>65</v>
      </c>
      <c r="Q2296" t="s">
        <v>153</v>
      </c>
      <c r="R2296">
        <v>1.19</v>
      </c>
      <c r="W2296" t="s">
        <v>66</v>
      </c>
      <c r="X2296" t="s">
        <v>67</v>
      </c>
      <c r="Y2296" t="s">
        <v>67</v>
      </c>
      <c r="Z2296" t="s">
        <v>68</v>
      </c>
      <c r="AB2296">
        <v>4</v>
      </c>
      <c r="AC2296" t="s">
        <v>61</v>
      </c>
      <c r="AJ2296" t="s">
        <v>69</v>
      </c>
      <c r="AY2296" t="s">
        <v>309</v>
      </c>
      <c r="AZ2296">
        <v>17138</v>
      </c>
      <c r="BA2296" t="s">
        <v>310</v>
      </c>
      <c r="BB2296" t="s">
        <v>311</v>
      </c>
      <c r="BC2296">
        <v>1991</v>
      </c>
      <c r="BD2296" t="s">
        <v>73</v>
      </c>
    </row>
    <row r="2297" spans="1:56" x14ac:dyDescent="0.35">
      <c r="A2297">
        <v>1861401</v>
      </c>
      <c r="B2297" t="s">
        <v>1735</v>
      </c>
      <c r="E2297">
        <v>100</v>
      </c>
      <c r="F2297" t="s">
        <v>58</v>
      </c>
      <c r="G2297" t="s">
        <v>59</v>
      </c>
      <c r="H2297" t="s">
        <v>60</v>
      </c>
      <c r="J2297" t="s">
        <v>86</v>
      </c>
      <c r="L2297" t="s">
        <v>62</v>
      </c>
      <c r="M2297" t="s">
        <v>63</v>
      </c>
      <c r="N2297" t="s">
        <v>64</v>
      </c>
      <c r="P2297" t="s">
        <v>65</v>
      </c>
      <c r="R2297">
        <v>0.1</v>
      </c>
      <c r="T2297">
        <v>0.1</v>
      </c>
      <c r="V2297">
        <v>1</v>
      </c>
      <c r="W2297" t="s">
        <v>66</v>
      </c>
      <c r="X2297" t="s">
        <v>67</v>
      </c>
      <c r="Y2297" t="s">
        <v>67</v>
      </c>
      <c r="Z2297" t="s">
        <v>68</v>
      </c>
      <c r="AB2297">
        <v>4</v>
      </c>
      <c r="AC2297" t="s">
        <v>61</v>
      </c>
      <c r="AJ2297" t="s">
        <v>69</v>
      </c>
      <c r="AY2297" t="s">
        <v>96</v>
      </c>
      <c r="AZ2297">
        <v>6797</v>
      </c>
      <c r="BA2297" t="s">
        <v>97</v>
      </c>
      <c r="BB2297" t="s">
        <v>98</v>
      </c>
      <c r="BC2297">
        <v>1986</v>
      </c>
      <c r="BD2297" t="s">
        <v>90</v>
      </c>
    </row>
    <row r="2298" spans="1:56" x14ac:dyDescent="0.35">
      <c r="A2298">
        <v>1871574</v>
      </c>
      <c r="B2298" t="s">
        <v>1736</v>
      </c>
      <c r="D2298" t="s">
        <v>57</v>
      </c>
      <c r="E2298" t="s">
        <v>79</v>
      </c>
      <c r="F2298" t="s">
        <v>58</v>
      </c>
      <c r="G2298" t="s">
        <v>59</v>
      </c>
      <c r="H2298" t="s">
        <v>60</v>
      </c>
      <c r="J2298">
        <v>28</v>
      </c>
      <c r="K2298" t="s">
        <v>61</v>
      </c>
      <c r="L2298" t="s">
        <v>74</v>
      </c>
      <c r="M2298" t="s">
        <v>63</v>
      </c>
      <c r="N2298" t="s">
        <v>64</v>
      </c>
      <c r="P2298" t="s">
        <v>65</v>
      </c>
      <c r="R2298">
        <v>0.189</v>
      </c>
      <c r="T2298">
        <v>0.17199999999999999</v>
      </c>
      <c r="V2298">
        <v>0.20599999999999999</v>
      </c>
      <c r="W2298" t="s">
        <v>66</v>
      </c>
      <c r="X2298" t="s">
        <v>67</v>
      </c>
      <c r="Y2298" t="s">
        <v>67</v>
      </c>
      <c r="Z2298" t="s">
        <v>68</v>
      </c>
      <c r="AB2298">
        <v>4</v>
      </c>
      <c r="AC2298" t="s">
        <v>61</v>
      </c>
      <c r="AJ2298" t="s">
        <v>69</v>
      </c>
      <c r="AY2298" t="s">
        <v>263</v>
      </c>
      <c r="AZ2298">
        <v>12858</v>
      </c>
      <c r="BA2298" t="s">
        <v>264</v>
      </c>
      <c r="BB2298" t="s">
        <v>265</v>
      </c>
      <c r="BC2298">
        <v>1986</v>
      </c>
      <c r="BD2298" t="s">
        <v>73</v>
      </c>
    </row>
    <row r="2299" spans="1:56" x14ac:dyDescent="0.35">
      <c r="A2299">
        <v>1891958</v>
      </c>
      <c r="B2299" t="s">
        <v>1737</v>
      </c>
      <c r="D2299" t="s">
        <v>57</v>
      </c>
      <c r="E2299">
        <v>95</v>
      </c>
      <c r="F2299" t="s">
        <v>58</v>
      </c>
      <c r="G2299" t="s">
        <v>59</v>
      </c>
      <c r="H2299" t="s">
        <v>60</v>
      </c>
      <c r="J2299">
        <v>31</v>
      </c>
      <c r="K2299" t="s">
        <v>61</v>
      </c>
      <c r="L2299" t="s">
        <v>74</v>
      </c>
      <c r="M2299" t="s">
        <v>63</v>
      </c>
      <c r="N2299" t="s">
        <v>64</v>
      </c>
      <c r="P2299" t="s">
        <v>65</v>
      </c>
      <c r="R2299">
        <v>24.3</v>
      </c>
      <c r="T2299">
        <v>21.4</v>
      </c>
      <c r="V2299">
        <v>27.5</v>
      </c>
      <c r="W2299" t="s">
        <v>66</v>
      </c>
      <c r="X2299" t="s">
        <v>67</v>
      </c>
      <c r="Y2299" t="s">
        <v>67</v>
      </c>
      <c r="Z2299" t="s">
        <v>68</v>
      </c>
      <c r="AB2299">
        <v>4</v>
      </c>
      <c r="AC2299" t="s">
        <v>61</v>
      </c>
      <c r="AJ2299" t="s">
        <v>69</v>
      </c>
      <c r="AY2299" t="s">
        <v>75</v>
      </c>
      <c r="AZ2299">
        <v>3217</v>
      </c>
      <c r="BA2299" t="s">
        <v>76</v>
      </c>
      <c r="BB2299" t="s">
        <v>77</v>
      </c>
      <c r="BC2299">
        <v>1990</v>
      </c>
      <c r="BD2299" t="s">
        <v>73</v>
      </c>
    </row>
    <row r="2300" spans="1:56" x14ac:dyDescent="0.35">
      <c r="A2300">
        <v>1897456</v>
      </c>
      <c r="B2300" t="s">
        <v>1738</v>
      </c>
      <c r="D2300" t="s">
        <v>637</v>
      </c>
      <c r="E2300">
        <v>12.9</v>
      </c>
      <c r="F2300" t="s">
        <v>58</v>
      </c>
      <c r="G2300" t="s">
        <v>59</v>
      </c>
      <c r="H2300" t="s">
        <v>60</v>
      </c>
      <c r="J2300" t="s">
        <v>289</v>
      </c>
      <c r="K2300" t="s">
        <v>184</v>
      </c>
      <c r="L2300" t="s">
        <v>190</v>
      </c>
      <c r="M2300" t="s">
        <v>63</v>
      </c>
      <c r="N2300" t="s">
        <v>64</v>
      </c>
      <c r="O2300">
        <v>10</v>
      </c>
      <c r="P2300" t="s">
        <v>65</v>
      </c>
      <c r="R2300">
        <v>2.2599999999999999E-2</v>
      </c>
      <c r="W2300" t="s">
        <v>66</v>
      </c>
      <c r="X2300" t="s">
        <v>67</v>
      </c>
      <c r="Y2300" t="s">
        <v>67</v>
      </c>
      <c r="Z2300" t="s">
        <v>68</v>
      </c>
      <c r="AB2300">
        <v>4</v>
      </c>
      <c r="AC2300" t="s">
        <v>61</v>
      </c>
      <c r="AJ2300" t="s">
        <v>69</v>
      </c>
      <c r="AY2300" t="s">
        <v>1739</v>
      </c>
      <c r="AZ2300">
        <v>72623</v>
      </c>
      <c r="BA2300" t="s">
        <v>1740</v>
      </c>
      <c r="BB2300" t="s">
        <v>1741</v>
      </c>
      <c r="BC2300">
        <v>2003</v>
      </c>
      <c r="BD2300" t="s">
        <v>185</v>
      </c>
    </row>
    <row r="2301" spans="1:56" x14ac:dyDescent="0.35">
      <c r="A2301">
        <v>1897456</v>
      </c>
      <c r="B2301" t="s">
        <v>1738</v>
      </c>
      <c r="D2301" t="s">
        <v>85</v>
      </c>
      <c r="E2301">
        <v>12.9</v>
      </c>
      <c r="F2301" t="s">
        <v>58</v>
      </c>
      <c r="G2301" t="s">
        <v>59</v>
      </c>
      <c r="H2301" t="s">
        <v>60</v>
      </c>
      <c r="J2301" t="s">
        <v>289</v>
      </c>
      <c r="K2301" t="s">
        <v>184</v>
      </c>
      <c r="L2301" t="s">
        <v>190</v>
      </c>
      <c r="M2301" t="s">
        <v>63</v>
      </c>
      <c r="N2301" t="s">
        <v>64</v>
      </c>
      <c r="O2301">
        <v>10</v>
      </c>
      <c r="P2301" t="s">
        <v>100</v>
      </c>
      <c r="R2301">
        <v>2.2599999999999999E-2</v>
      </c>
      <c r="W2301" t="s">
        <v>66</v>
      </c>
      <c r="X2301" t="s">
        <v>67</v>
      </c>
      <c r="Y2301" t="s">
        <v>67</v>
      </c>
      <c r="Z2301" t="s">
        <v>68</v>
      </c>
      <c r="AB2301">
        <v>4</v>
      </c>
      <c r="AC2301" t="s">
        <v>61</v>
      </c>
      <c r="AJ2301" t="s">
        <v>69</v>
      </c>
      <c r="AY2301" t="s">
        <v>1739</v>
      </c>
      <c r="AZ2301">
        <v>101293</v>
      </c>
      <c r="BA2301" t="s">
        <v>1742</v>
      </c>
      <c r="BB2301" t="s">
        <v>1743</v>
      </c>
      <c r="BC2301">
        <v>2002</v>
      </c>
      <c r="BD2301" t="s">
        <v>185</v>
      </c>
    </row>
    <row r="2302" spans="1:56" x14ac:dyDescent="0.35">
      <c r="A2302">
        <v>1912249</v>
      </c>
      <c r="B2302" t="s">
        <v>1744</v>
      </c>
      <c r="C2302" t="s">
        <v>91</v>
      </c>
      <c r="D2302" t="s">
        <v>57</v>
      </c>
      <c r="E2302">
        <v>97</v>
      </c>
      <c r="F2302" t="s">
        <v>58</v>
      </c>
      <c r="G2302" t="s">
        <v>59</v>
      </c>
      <c r="H2302" t="s">
        <v>60</v>
      </c>
      <c r="I2302" t="s">
        <v>129</v>
      </c>
      <c r="J2302" t="s">
        <v>86</v>
      </c>
      <c r="K2302" t="s">
        <v>61</v>
      </c>
      <c r="L2302" t="s">
        <v>62</v>
      </c>
      <c r="M2302" t="s">
        <v>63</v>
      </c>
      <c r="N2302" t="s">
        <v>64</v>
      </c>
      <c r="O2302">
        <v>7</v>
      </c>
      <c r="P2302" t="s">
        <v>65</v>
      </c>
      <c r="Q2302" t="s">
        <v>153</v>
      </c>
      <c r="R2302">
        <v>4.0999999999999996</v>
      </c>
      <c r="W2302" t="s">
        <v>66</v>
      </c>
      <c r="X2302" t="s">
        <v>67</v>
      </c>
      <c r="Y2302" t="s">
        <v>67</v>
      </c>
      <c r="Z2302" t="s">
        <v>68</v>
      </c>
      <c r="AB2302">
        <v>4</v>
      </c>
      <c r="AC2302" t="s">
        <v>61</v>
      </c>
      <c r="AJ2302" t="s">
        <v>69</v>
      </c>
      <c r="AY2302" t="s">
        <v>1745</v>
      </c>
      <c r="AZ2302">
        <v>81782</v>
      </c>
      <c r="BA2302" t="s">
        <v>1746</v>
      </c>
      <c r="BB2302" t="s">
        <v>1747</v>
      </c>
      <c r="BC2302">
        <v>1991</v>
      </c>
      <c r="BD2302" t="s">
        <v>1360</v>
      </c>
    </row>
    <row r="2303" spans="1:56" x14ac:dyDescent="0.35">
      <c r="A2303">
        <v>1912249</v>
      </c>
      <c r="B2303" t="s">
        <v>1744</v>
      </c>
      <c r="C2303" t="s">
        <v>91</v>
      </c>
      <c r="D2303" t="s">
        <v>57</v>
      </c>
      <c r="E2303">
        <v>97.1</v>
      </c>
      <c r="F2303" t="s">
        <v>58</v>
      </c>
      <c r="G2303" t="s">
        <v>59</v>
      </c>
      <c r="H2303" t="s">
        <v>60</v>
      </c>
      <c r="J2303" t="s">
        <v>86</v>
      </c>
      <c r="L2303" t="s">
        <v>74</v>
      </c>
      <c r="M2303" t="s">
        <v>63</v>
      </c>
      <c r="N2303" t="s">
        <v>64</v>
      </c>
      <c r="O2303">
        <v>6</v>
      </c>
      <c r="P2303" t="s">
        <v>65</v>
      </c>
      <c r="R2303">
        <v>20</v>
      </c>
      <c r="W2303" t="s">
        <v>66</v>
      </c>
      <c r="X2303" t="s">
        <v>67</v>
      </c>
      <c r="Y2303" t="s">
        <v>67</v>
      </c>
      <c r="Z2303" t="s">
        <v>68</v>
      </c>
      <c r="AB2303">
        <v>4</v>
      </c>
      <c r="AC2303" t="s">
        <v>61</v>
      </c>
      <c r="AJ2303" t="s">
        <v>69</v>
      </c>
      <c r="AY2303" t="s">
        <v>1748</v>
      </c>
      <c r="AZ2303">
        <v>78794</v>
      </c>
      <c r="BA2303" t="s">
        <v>1749</v>
      </c>
      <c r="BB2303" t="s">
        <v>1750</v>
      </c>
      <c r="BC2303">
        <v>1992</v>
      </c>
      <c r="BD2303" t="s">
        <v>90</v>
      </c>
    </row>
    <row r="2304" spans="1:56" x14ac:dyDescent="0.35">
      <c r="A2304">
        <v>1912249</v>
      </c>
      <c r="B2304" t="s">
        <v>1744</v>
      </c>
      <c r="D2304" t="s">
        <v>85</v>
      </c>
      <c r="E2304" t="s">
        <v>86</v>
      </c>
      <c r="F2304" t="s">
        <v>58</v>
      </c>
      <c r="G2304" t="s">
        <v>59</v>
      </c>
      <c r="H2304" t="s">
        <v>60</v>
      </c>
      <c r="J2304" t="s">
        <v>86</v>
      </c>
      <c r="L2304" t="s">
        <v>190</v>
      </c>
      <c r="M2304" t="s">
        <v>63</v>
      </c>
      <c r="N2304" t="s">
        <v>64</v>
      </c>
      <c r="P2304" t="s">
        <v>100</v>
      </c>
      <c r="R2304">
        <v>15</v>
      </c>
      <c r="T2304">
        <v>11</v>
      </c>
      <c r="V2304">
        <v>20</v>
      </c>
      <c r="W2304" t="s">
        <v>66</v>
      </c>
      <c r="X2304" t="s">
        <v>67</v>
      </c>
      <c r="Y2304" t="s">
        <v>67</v>
      </c>
      <c r="Z2304" t="s">
        <v>68</v>
      </c>
      <c r="AB2304">
        <v>4</v>
      </c>
      <c r="AC2304" t="s">
        <v>61</v>
      </c>
      <c r="AJ2304" t="s">
        <v>69</v>
      </c>
      <c r="AY2304" t="s">
        <v>1751</v>
      </c>
      <c r="AZ2304">
        <v>631</v>
      </c>
      <c r="BA2304" t="s">
        <v>1752</v>
      </c>
      <c r="BB2304" t="s">
        <v>1753</v>
      </c>
      <c r="BC2304">
        <v>1976</v>
      </c>
      <c r="BD2304" t="s">
        <v>90</v>
      </c>
    </row>
    <row r="2305" spans="1:56" x14ac:dyDescent="0.35">
      <c r="A2305">
        <v>1918021</v>
      </c>
      <c r="B2305" t="s">
        <v>1754</v>
      </c>
      <c r="C2305" t="s">
        <v>91</v>
      </c>
      <c r="D2305" t="s">
        <v>85</v>
      </c>
      <c r="E2305">
        <v>93.8</v>
      </c>
      <c r="F2305" t="s">
        <v>58</v>
      </c>
      <c r="G2305" t="s">
        <v>59</v>
      </c>
      <c r="H2305" t="s">
        <v>60</v>
      </c>
      <c r="J2305" t="s">
        <v>86</v>
      </c>
      <c r="L2305" t="s">
        <v>62</v>
      </c>
      <c r="M2305" t="s">
        <v>63</v>
      </c>
      <c r="N2305" t="s">
        <v>64</v>
      </c>
      <c r="P2305" t="s">
        <v>65</v>
      </c>
      <c r="R2305">
        <v>55.3</v>
      </c>
      <c r="T2305">
        <v>47.4</v>
      </c>
      <c r="V2305">
        <v>64.599999999999994</v>
      </c>
      <c r="W2305" t="s">
        <v>66</v>
      </c>
      <c r="X2305" t="s">
        <v>67</v>
      </c>
      <c r="Y2305" t="s">
        <v>67</v>
      </c>
      <c r="Z2305" t="s">
        <v>68</v>
      </c>
      <c r="AB2305">
        <v>4</v>
      </c>
      <c r="AC2305" t="s">
        <v>61</v>
      </c>
      <c r="AJ2305" t="s">
        <v>69</v>
      </c>
      <c r="AY2305" t="s">
        <v>1755</v>
      </c>
      <c r="AZ2305">
        <v>10698</v>
      </c>
      <c r="BA2305" t="s">
        <v>1756</v>
      </c>
      <c r="BB2305" t="s">
        <v>1757</v>
      </c>
      <c r="BC2305">
        <v>1984</v>
      </c>
      <c r="BD2305" t="s">
        <v>90</v>
      </c>
    </row>
    <row r="2306" spans="1:56" x14ac:dyDescent="0.35">
      <c r="A2306">
        <v>1918021</v>
      </c>
      <c r="B2306" t="s">
        <v>1754</v>
      </c>
      <c r="E2306">
        <v>93.8</v>
      </c>
      <c r="F2306" t="s">
        <v>58</v>
      </c>
      <c r="G2306" t="s">
        <v>59</v>
      </c>
      <c r="H2306" t="s">
        <v>60</v>
      </c>
      <c r="I2306" t="s">
        <v>129</v>
      </c>
      <c r="J2306" t="s">
        <v>86</v>
      </c>
      <c r="L2306" t="s">
        <v>62</v>
      </c>
      <c r="M2306" t="s">
        <v>63</v>
      </c>
      <c r="N2306" t="s">
        <v>64</v>
      </c>
      <c r="P2306" t="s">
        <v>65</v>
      </c>
      <c r="R2306">
        <v>55.3</v>
      </c>
      <c r="W2306" t="s">
        <v>66</v>
      </c>
      <c r="X2306" t="s">
        <v>67</v>
      </c>
      <c r="Y2306" t="s">
        <v>67</v>
      </c>
      <c r="Z2306" t="s">
        <v>68</v>
      </c>
      <c r="AB2306">
        <v>4</v>
      </c>
      <c r="AC2306" t="s">
        <v>61</v>
      </c>
      <c r="AJ2306" t="s">
        <v>69</v>
      </c>
      <c r="AY2306" t="s">
        <v>116</v>
      </c>
      <c r="AZ2306">
        <v>344</v>
      </c>
      <c r="BA2306" t="s">
        <v>117</v>
      </c>
      <c r="BB2306" t="s">
        <v>118</v>
      </c>
      <c r="BC2306">
        <v>1992</v>
      </c>
      <c r="BD2306" t="s">
        <v>90</v>
      </c>
    </row>
    <row r="2307" spans="1:56" x14ac:dyDescent="0.35">
      <c r="A2307">
        <v>1929733</v>
      </c>
      <c r="B2307" t="s">
        <v>1758</v>
      </c>
      <c r="E2307">
        <v>62.5</v>
      </c>
      <c r="F2307" t="s">
        <v>58</v>
      </c>
      <c r="G2307" t="s">
        <v>59</v>
      </c>
      <c r="H2307" t="s">
        <v>60</v>
      </c>
      <c r="J2307" t="s">
        <v>86</v>
      </c>
      <c r="L2307" t="s">
        <v>62</v>
      </c>
      <c r="M2307" t="s">
        <v>63</v>
      </c>
      <c r="N2307" t="s">
        <v>64</v>
      </c>
      <c r="P2307" t="s">
        <v>65</v>
      </c>
      <c r="R2307">
        <v>3.25</v>
      </c>
      <c r="T2307">
        <v>2.54</v>
      </c>
      <c r="V2307">
        <v>4.16</v>
      </c>
      <c r="W2307" t="s">
        <v>66</v>
      </c>
      <c r="X2307" t="s">
        <v>67</v>
      </c>
      <c r="Y2307" t="s">
        <v>67</v>
      </c>
      <c r="Z2307" t="s">
        <v>68</v>
      </c>
      <c r="AB2307">
        <v>4</v>
      </c>
      <c r="AC2307" t="s">
        <v>61</v>
      </c>
      <c r="AJ2307" t="s">
        <v>69</v>
      </c>
      <c r="AY2307" t="s">
        <v>96</v>
      </c>
      <c r="AZ2307">
        <v>6797</v>
      </c>
      <c r="BA2307" t="s">
        <v>97</v>
      </c>
      <c r="BB2307" t="s">
        <v>98</v>
      </c>
      <c r="BC2307">
        <v>1986</v>
      </c>
      <c r="BD2307" t="s">
        <v>90</v>
      </c>
    </row>
    <row r="2308" spans="1:56" x14ac:dyDescent="0.35">
      <c r="A2308">
        <v>1929733</v>
      </c>
      <c r="B2308" t="s">
        <v>1758</v>
      </c>
      <c r="E2308">
        <v>97.4</v>
      </c>
      <c r="F2308" t="s">
        <v>58</v>
      </c>
      <c r="G2308" t="s">
        <v>59</v>
      </c>
      <c r="H2308" t="s">
        <v>60</v>
      </c>
      <c r="J2308" t="s">
        <v>86</v>
      </c>
      <c r="L2308" t="s">
        <v>62</v>
      </c>
      <c r="M2308" t="s">
        <v>63</v>
      </c>
      <c r="N2308" t="s">
        <v>64</v>
      </c>
      <c r="P2308" t="s">
        <v>65</v>
      </c>
      <c r="R2308">
        <v>2.5</v>
      </c>
      <c r="T2308">
        <v>2.2999999999999998</v>
      </c>
      <c r="V2308">
        <v>2.8</v>
      </c>
      <c r="W2308" t="s">
        <v>66</v>
      </c>
      <c r="X2308" t="s">
        <v>67</v>
      </c>
      <c r="Y2308" t="s">
        <v>67</v>
      </c>
      <c r="Z2308" t="s">
        <v>68</v>
      </c>
      <c r="AB2308">
        <v>4</v>
      </c>
      <c r="AC2308" t="s">
        <v>61</v>
      </c>
      <c r="AJ2308" t="s">
        <v>69</v>
      </c>
      <c r="AY2308" t="s">
        <v>116</v>
      </c>
      <c r="AZ2308">
        <v>344</v>
      </c>
      <c r="BA2308" t="s">
        <v>117</v>
      </c>
      <c r="BB2308" t="s">
        <v>118</v>
      </c>
      <c r="BC2308">
        <v>1992</v>
      </c>
      <c r="BD2308" t="s">
        <v>90</v>
      </c>
    </row>
    <row r="2309" spans="1:56" x14ac:dyDescent="0.35">
      <c r="A2309">
        <v>1929824</v>
      </c>
      <c r="B2309" t="s">
        <v>1759</v>
      </c>
      <c r="E2309">
        <v>93.6</v>
      </c>
      <c r="F2309" t="s">
        <v>58</v>
      </c>
      <c r="G2309" t="s">
        <v>59</v>
      </c>
      <c r="H2309" t="s">
        <v>60</v>
      </c>
      <c r="J2309" t="s">
        <v>86</v>
      </c>
      <c r="L2309" t="s">
        <v>62</v>
      </c>
      <c r="M2309" t="s">
        <v>63</v>
      </c>
      <c r="N2309" t="s">
        <v>64</v>
      </c>
      <c r="P2309" t="s">
        <v>65</v>
      </c>
      <c r="R2309">
        <v>9.6</v>
      </c>
      <c r="T2309">
        <v>7.8</v>
      </c>
      <c r="V2309">
        <v>11.6</v>
      </c>
      <c r="W2309" t="s">
        <v>66</v>
      </c>
      <c r="X2309" t="s">
        <v>67</v>
      </c>
      <c r="Y2309" t="s">
        <v>67</v>
      </c>
      <c r="Z2309" t="s">
        <v>68</v>
      </c>
      <c r="AB2309">
        <v>4</v>
      </c>
      <c r="AC2309" t="s">
        <v>61</v>
      </c>
      <c r="AJ2309" t="s">
        <v>69</v>
      </c>
      <c r="AY2309" t="s">
        <v>96</v>
      </c>
      <c r="AZ2309">
        <v>6797</v>
      </c>
      <c r="BA2309" t="s">
        <v>97</v>
      </c>
      <c r="BB2309" t="s">
        <v>98</v>
      </c>
      <c r="BC2309">
        <v>1986</v>
      </c>
      <c r="BD2309" t="s">
        <v>90</v>
      </c>
    </row>
    <row r="2310" spans="1:56" x14ac:dyDescent="0.35">
      <c r="A2310">
        <v>1929824</v>
      </c>
      <c r="B2310" t="s">
        <v>1759</v>
      </c>
      <c r="E2310">
        <v>93.6</v>
      </c>
      <c r="F2310" t="s">
        <v>58</v>
      </c>
      <c r="G2310" t="s">
        <v>59</v>
      </c>
      <c r="H2310" t="s">
        <v>60</v>
      </c>
      <c r="J2310" t="s">
        <v>86</v>
      </c>
      <c r="L2310" t="s">
        <v>62</v>
      </c>
      <c r="M2310" t="s">
        <v>63</v>
      </c>
      <c r="N2310" t="s">
        <v>64</v>
      </c>
      <c r="P2310" t="s">
        <v>65</v>
      </c>
      <c r="R2310">
        <v>10.199999999999999</v>
      </c>
      <c r="T2310">
        <v>8.8000000000000007</v>
      </c>
      <c r="V2310">
        <v>11.7</v>
      </c>
      <c r="W2310" t="s">
        <v>66</v>
      </c>
      <c r="X2310" t="s">
        <v>67</v>
      </c>
      <c r="Y2310" t="s">
        <v>67</v>
      </c>
      <c r="Z2310" t="s">
        <v>68</v>
      </c>
      <c r="AB2310">
        <v>4</v>
      </c>
      <c r="AC2310" t="s">
        <v>61</v>
      </c>
      <c r="AJ2310" t="s">
        <v>69</v>
      </c>
      <c r="AY2310" t="s">
        <v>96</v>
      </c>
      <c r="AZ2310">
        <v>6797</v>
      </c>
      <c r="BA2310" t="s">
        <v>97</v>
      </c>
      <c r="BB2310" t="s">
        <v>98</v>
      </c>
      <c r="BC2310">
        <v>1986</v>
      </c>
      <c r="BD2310" t="s">
        <v>90</v>
      </c>
    </row>
    <row r="2311" spans="1:56" x14ac:dyDescent="0.35">
      <c r="A2311">
        <v>1937377</v>
      </c>
      <c r="B2311" t="s">
        <v>1760</v>
      </c>
      <c r="D2311" t="s">
        <v>85</v>
      </c>
      <c r="E2311">
        <v>15</v>
      </c>
      <c r="F2311" t="s">
        <v>58</v>
      </c>
      <c r="G2311" t="s">
        <v>59</v>
      </c>
      <c r="H2311" t="s">
        <v>60</v>
      </c>
      <c r="J2311" t="s">
        <v>86</v>
      </c>
      <c r="L2311" t="s">
        <v>62</v>
      </c>
      <c r="M2311" t="s">
        <v>63</v>
      </c>
      <c r="N2311" t="s">
        <v>64</v>
      </c>
      <c r="P2311" t="s">
        <v>100</v>
      </c>
      <c r="Q2311" t="s">
        <v>153</v>
      </c>
      <c r="R2311">
        <v>180</v>
      </c>
      <c r="W2311" t="s">
        <v>66</v>
      </c>
      <c r="X2311" t="s">
        <v>67</v>
      </c>
      <c r="Y2311" t="s">
        <v>67</v>
      </c>
      <c r="Z2311" t="s">
        <v>68</v>
      </c>
      <c r="AB2311">
        <v>4</v>
      </c>
      <c r="AC2311" t="s">
        <v>61</v>
      </c>
      <c r="AJ2311" t="s">
        <v>69</v>
      </c>
      <c r="AY2311" t="s">
        <v>1246</v>
      </c>
      <c r="AZ2311">
        <v>6969</v>
      </c>
      <c r="BA2311" t="s">
        <v>1247</v>
      </c>
      <c r="BB2311" t="s">
        <v>1248</v>
      </c>
      <c r="BC2311">
        <v>1973</v>
      </c>
      <c r="BD2311" t="s">
        <v>90</v>
      </c>
    </row>
    <row r="2312" spans="1:56" x14ac:dyDescent="0.35">
      <c r="A2312">
        <v>1937377</v>
      </c>
      <c r="B2312" t="s">
        <v>1760</v>
      </c>
      <c r="D2312" t="s">
        <v>85</v>
      </c>
      <c r="E2312" t="s">
        <v>86</v>
      </c>
      <c r="F2312" t="s">
        <v>58</v>
      </c>
      <c r="G2312" t="s">
        <v>59</v>
      </c>
      <c r="H2312" t="s">
        <v>60</v>
      </c>
      <c r="J2312" t="s">
        <v>86</v>
      </c>
      <c r="L2312" t="s">
        <v>62</v>
      </c>
      <c r="M2312" t="s">
        <v>63</v>
      </c>
      <c r="N2312" t="s">
        <v>64</v>
      </c>
      <c r="P2312" t="s">
        <v>100</v>
      </c>
      <c r="Q2312" t="s">
        <v>153</v>
      </c>
      <c r="R2312">
        <v>180</v>
      </c>
      <c r="W2312" t="s">
        <v>66</v>
      </c>
      <c r="X2312" t="s">
        <v>67</v>
      </c>
      <c r="Y2312" t="s">
        <v>67</v>
      </c>
      <c r="Z2312" t="s">
        <v>68</v>
      </c>
      <c r="AB2312">
        <v>4</v>
      </c>
      <c r="AC2312" t="s">
        <v>61</v>
      </c>
      <c r="AJ2312" t="s">
        <v>69</v>
      </c>
      <c r="AY2312" t="s">
        <v>1243</v>
      </c>
      <c r="AZ2312">
        <v>5789</v>
      </c>
      <c r="BA2312" t="s">
        <v>1244</v>
      </c>
      <c r="BB2312" t="s">
        <v>1245</v>
      </c>
      <c r="BC2312">
        <v>1974</v>
      </c>
      <c r="BD2312" t="s">
        <v>90</v>
      </c>
    </row>
    <row r="2313" spans="1:56" x14ac:dyDescent="0.35">
      <c r="A2313">
        <v>1962750</v>
      </c>
      <c r="B2313" t="s">
        <v>1761</v>
      </c>
      <c r="D2313" t="s">
        <v>637</v>
      </c>
      <c r="E2313" t="s">
        <v>86</v>
      </c>
      <c r="F2313" t="s">
        <v>58</v>
      </c>
      <c r="G2313" t="s">
        <v>59</v>
      </c>
      <c r="H2313" t="s">
        <v>60</v>
      </c>
      <c r="I2313" t="s">
        <v>129</v>
      </c>
      <c r="J2313" t="s">
        <v>86</v>
      </c>
      <c r="K2313" t="s">
        <v>61</v>
      </c>
      <c r="L2313" t="s">
        <v>74</v>
      </c>
      <c r="M2313" t="s">
        <v>63</v>
      </c>
      <c r="N2313" t="s">
        <v>64</v>
      </c>
      <c r="P2313" t="s">
        <v>65</v>
      </c>
      <c r="R2313">
        <v>0.61</v>
      </c>
      <c r="T2313">
        <v>0.54</v>
      </c>
      <c r="V2313">
        <v>0.7</v>
      </c>
      <c r="W2313" t="s">
        <v>66</v>
      </c>
      <c r="X2313" t="s">
        <v>67</v>
      </c>
      <c r="Y2313" t="s">
        <v>67</v>
      </c>
      <c r="Z2313" t="s">
        <v>68</v>
      </c>
      <c r="AB2313">
        <v>4</v>
      </c>
      <c r="AC2313" t="s">
        <v>61</v>
      </c>
      <c r="AJ2313" t="s">
        <v>69</v>
      </c>
      <c r="AY2313" t="s">
        <v>639</v>
      </c>
      <c r="AZ2313">
        <v>180793</v>
      </c>
      <c r="BA2313" t="s">
        <v>640</v>
      </c>
      <c r="BB2313" t="s">
        <v>641</v>
      </c>
      <c r="BC2313">
        <v>1990</v>
      </c>
      <c r="BD2313" t="s">
        <v>642</v>
      </c>
    </row>
    <row r="2314" spans="1:56" x14ac:dyDescent="0.35">
      <c r="A2314">
        <v>1962750</v>
      </c>
      <c r="B2314" t="s">
        <v>1761</v>
      </c>
      <c r="D2314" t="s">
        <v>57</v>
      </c>
      <c r="E2314" t="s">
        <v>79</v>
      </c>
      <c r="F2314" t="s">
        <v>58</v>
      </c>
      <c r="G2314" t="s">
        <v>59</v>
      </c>
      <c r="H2314" t="s">
        <v>60</v>
      </c>
      <c r="J2314">
        <v>32</v>
      </c>
      <c r="K2314" t="s">
        <v>61</v>
      </c>
      <c r="L2314" t="s">
        <v>74</v>
      </c>
      <c r="M2314" t="s">
        <v>63</v>
      </c>
      <c r="N2314" t="s">
        <v>64</v>
      </c>
      <c r="P2314" t="s">
        <v>65</v>
      </c>
      <c r="R2314">
        <v>0.59</v>
      </c>
      <c r="T2314">
        <v>0.52</v>
      </c>
      <c r="V2314">
        <v>0.68</v>
      </c>
      <c r="W2314" t="s">
        <v>66</v>
      </c>
      <c r="X2314" t="s">
        <v>67</v>
      </c>
      <c r="Y2314" t="s">
        <v>67</v>
      </c>
      <c r="Z2314" t="s">
        <v>68</v>
      </c>
      <c r="AB2314">
        <v>4</v>
      </c>
      <c r="AC2314" t="s">
        <v>61</v>
      </c>
      <c r="AJ2314" t="s">
        <v>69</v>
      </c>
      <c r="AY2314" t="s">
        <v>80</v>
      </c>
      <c r="AZ2314">
        <v>12859</v>
      </c>
      <c r="BA2314" t="s">
        <v>81</v>
      </c>
      <c r="BB2314" t="s">
        <v>82</v>
      </c>
      <c r="BC2314">
        <v>1988</v>
      </c>
      <c r="BD2314" t="s">
        <v>73</v>
      </c>
    </row>
    <row r="2315" spans="1:56" x14ac:dyDescent="0.35">
      <c r="A2315">
        <v>1965099</v>
      </c>
      <c r="B2315" t="s">
        <v>1762</v>
      </c>
      <c r="D2315" t="s">
        <v>57</v>
      </c>
      <c r="E2315">
        <v>97</v>
      </c>
      <c r="F2315" t="s">
        <v>58</v>
      </c>
      <c r="G2315" t="s">
        <v>59</v>
      </c>
      <c r="H2315" t="s">
        <v>60</v>
      </c>
      <c r="J2315" t="s">
        <v>86</v>
      </c>
      <c r="K2315" t="s">
        <v>61</v>
      </c>
      <c r="L2315" t="s">
        <v>74</v>
      </c>
      <c r="M2315" t="s">
        <v>63</v>
      </c>
      <c r="N2315" t="s">
        <v>64</v>
      </c>
      <c r="P2315" t="s">
        <v>65</v>
      </c>
      <c r="R2315">
        <v>5.22</v>
      </c>
      <c r="T2315">
        <v>4.7300000000000004</v>
      </c>
      <c r="V2315">
        <v>5.76</v>
      </c>
      <c r="W2315" t="s">
        <v>66</v>
      </c>
      <c r="X2315" t="s">
        <v>67</v>
      </c>
      <c r="Y2315" t="s">
        <v>67</v>
      </c>
      <c r="Z2315" t="s">
        <v>68</v>
      </c>
      <c r="AB2315">
        <v>4</v>
      </c>
      <c r="AC2315" t="s">
        <v>61</v>
      </c>
      <c r="AJ2315" t="s">
        <v>69</v>
      </c>
      <c r="AY2315" t="s">
        <v>141</v>
      </c>
      <c r="AZ2315">
        <v>12447</v>
      </c>
      <c r="BA2315" t="s">
        <v>142</v>
      </c>
      <c r="BB2315" t="s">
        <v>143</v>
      </c>
      <c r="BC2315">
        <v>1985</v>
      </c>
      <c r="BD2315" t="s">
        <v>148</v>
      </c>
    </row>
    <row r="2316" spans="1:56" x14ac:dyDescent="0.35">
      <c r="A2316">
        <v>1965099</v>
      </c>
      <c r="B2316" t="s">
        <v>1762</v>
      </c>
      <c r="D2316" t="s">
        <v>57</v>
      </c>
      <c r="E2316">
        <v>97</v>
      </c>
      <c r="F2316" t="s">
        <v>58</v>
      </c>
      <c r="G2316" t="s">
        <v>59</v>
      </c>
      <c r="H2316" t="s">
        <v>60</v>
      </c>
      <c r="J2316" t="s">
        <v>86</v>
      </c>
      <c r="K2316" t="s">
        <v>61</v>
      </c>
      <c r="L2316" t="s">
        <v>74</v>
      </c>
      <c r="M2316" t="s">
        <v>63</v>
      </c>
      <c r="N2316" t="s">
        <v>64</v>
      </c>
      <c r="P2316" t="s">
        <v>65</v>
      </c>
      <c r="R2316">
        <v>6.39</v>
      </c>
      <c r="T2316">
        <v>6.02</v>
      </c>
      <c r="V2316">
        <v>6.78</v>
      </c>
      <c r="W2316" t="s">
        <v>66</v>
      </c>
      <c r="X2316" t="s">
        <v>67</v>
      </c>
      <c r="Y2316" t="s">
        <v>67</v>
      </c>
      <c r="Z2316" t="s">
        <v>68</v>
      </c>
      <c r="AB2316">
        <v>4</v>
      </c>
      <c r="AC2316" t="s">
        <v>61</v>
      </c>
      <c r="AJ2316" t="s">
        <v>69</v>
      </c>
      <c r="AY2316" t="s">
        <v>141</v>
      </c>
      <c r="AZ2316">
        <v>12447</v>
      </c>
      <c r="BA2316" t="s">
        <v>142</v>
      </c>
      <c r="BB2316" t="s">
        <v>143</v>
      </c>
      <c r="BC2316">
        <v>1985</v>
      </c>
      <c r="BD2316" t="s">
        <v>148</v>
      </c>
    </row>
    <row r="2317" spans="1:56" x14ac:dyDescent="0.35">
      <c r="A2317">
        <v>2008391</v>
      </c>
      <c r="B2317" t="s">
        <v>1763</v>
      </c>
      <c r="E2317">
        <v>49.6</v>
      </c>
      <c r="F2317" t="s">
        <v>58</v>
      </c>
      <c r="G2317" t="s">
        <v>59</v>
      </c>
      <c r="H2317" t="s">
        <v>60</v>
      </c>
      <c r="J2317" t="s">
        <v>86</v>
      </c>
      <c r="L2317" t="s">
        <v>62</v>
      </c>
      <c r="M2317" t="s">
        <v>63</v>
      </c>
      <c r="N2317" t="s">
        <v>64</v>
      </c>
      <c r="P2317" t="s">
        <v>65</v>
      </c>
      <c r="R2317">
        <v>800</v>
      </c>
      <c r="T2317">
        <v>32</v>
      </c>
      <c r="V2317">
        <v>1012</v>
      </c>
      <c r="W2317" t="s">
        <v>66</v>
      </c>
      <c r="X2317" t="s">
        <v>67</v>
      </c>
      <c r="Y2317" t="s">
        <v>67</v>
      </c>
      <c r="Z2317" t="s">
        <v>68</v>
      </c>
      <c r="AB2317">
        <v>4</v>
      </c>
      <c r="AC2317" t="s">
        <v>61</v>
      </c>
      <c r="AJ2317" t="s">
        <v>69</v>
      </c>
      <c r="AY2317" t="s">
        <v>96</v>
      </c>
      <c r="AZ2317">
        <v>6797</v>
      </c>
      <c r="BA2317" t="s">
        <v>97</v>
      </c>
      <c r="BB2317" t="s">
        <v>98</v>
      </c>
      <c r="BC2317">
        <v>1986</v>
      </c>
      <c r="BD2317" t="s">
        <v>90</v>
      </c>
    </row>
    <row r="2318" spans="1:56" x14ac:dyDescent="0.35">
      <c r="A2318">
        <v>2008391</v>
      </c>
      <c r="B2318" t="s">
        <v>1763</v>
      </c>
      <c r="E2318">
        <v>49.6</v>
      </c>
      <c r="F2318" t="s">
        <v>58</v>
      </c>
      <c r="G2318" t="s">
        <v>59</v>
      </c>
      <c r="H2318" t="s">
        <v>60</v>
      </c>
      <c r="J2318" t="s">
        <v>86</v>
      </c>
      <c r="L2318" t="s">
        <v>62</v>
      </c>
      <c r="M2318" t="s">
        <v>63</v>
      </c>
      <c r="N2318" t="s">
        <v>64</v>
      </c>
      <c r="P2318" t="s">
        <v>65</v>
      </c>
      <c r="R2318">
        <v>630</v>
      </c>
      <c r="T2318">
        <v>522</v>
      </c>
      <c r="V2318">
        <v>760</v>
      </c>
      <c r="W2318" t="s">
        <v>66</v>
      </c>
      <c r="X2318" t="s">
        <v>67</v>
      </c>
      <c r="Y2318" t="s">
        <v>67</v>
      </c>
      <c r="Z2318" t="s">
        <v>68</v>
      </c>
      <c r="AB2318">
        <v>4</v>
      </c>
      <c r="AC2318" t="s">
        <v>61</v>
      </c>
      <c r="AJ2318" t="s">
        <v>69</v>
      </c>
      <c r="AY2318" t="s">
        <v>96</v>
      </c>
      <c r="AZ2318">
        <v>6797</v>
      </c>
      <c r="BA2318" t="s">
        <v>97</v>
      </c>
      <c r="BB2318" t="s">
        <v>98</v>
      </c>
      <c r="BC2318">
        <v>1986</v>
      </c>
      <c r="BD2318" t="s">
        <v>90</v>
      </c>
    </row>
    <row r="2319" spans="1:56" x14ac:dyDescent="0.35">
      <c r="A2319">
        <v>2008391</v>
      </c>
      <c r="B2319" t="s">
        <v>1763</v>
      </c>
      <c r="E2319">
        <v>49.6</v>
      </c>
      <c r="F2319" t="s">
        <v>58</v>
      </c>
      <c r="G2319" t="s">
        <v>59</v>
      </c>
      <c r="H2319" t="s">
        <v>60</v>
      </c>
      <c r="I2319" t="s">
        <v>186</v>
      </c>
      <c r="J2319" t="s">
        <v>86</v>
      </c>
      <c r="L2319" t="s">
        <v>62</v>
      </c>
      <c r="M2319" t="s">
        <v>63</v>
      </c>
      <c r="N2319" t="s">
        <v>64</v>
      </c>
      <c r="P2319" t="s">
        <v>65</v>
      </c>
      <c r="R2319">
        <v>1530</v>
      </c>
      <c r="T2319">
        <v>1070</v>
      </c>
      <c r="V2319">
        <v>2190</v>
      </c>
      <c r="W2319" t="s">
        <v>66</v>
      </c>
      <c r="X2319" t="s">
        <v>67</v>
      </c>
      <c r="Y2319" t="s">
        <v>67</v>
      </c>
      <c r="Z2319" t="s">
        <v>68</v>
      </c>
      <c r="AB2319">
        <v>4</v>
      </c>
      <c r="AC2319" t="s">
        <v>61</v>
      </c>
      <c r="AJ2319" t="s">
        <v>69</v>
      </c>
      <c r="AY2319" t="s">
        <v>96</v>
      </c>
      <c r="AZ2319">
        <v>6797</v>
      </c>
      <c r="BA2319" t="s">
        <v>97</v>
      </c>
      <c r="BB2319" t="s">
        <v>98</v>
      </c>
      <c r="BC2319">
        <v>1986</v>
      </c>
      <c r="BD2319" t="s">
        <v>90</v>
      </c>
    </row>
    <row r="2320" spans="1:56" x14ac:dyDescent="0.35">
      <c r="A2320">
        <v>2008391</v>
      </c>
      <c r="B2320" t="s">
        <v>1763</v>
      </c>
      <c r="E2320">
        <v>49.6</v>
      </c>
      <c r="F2320" t="s">
        <v>58</v>
      </c>
      <c r="G2320" t="s">
        <v>59</v>
      </c>
      <c r="H2320" t="s">
        <v>60</v>
      </c>
      <c r="J2320" t="s">
        <v>86</v>
      </c>
      <c r="L2320" t="s">
        <v>62</v>
      </c>
      <c r="M2320" t="s">
        <v>63</v>
      </c>
      <c r="N2320" t="s">
        <v>64</v>
      </c>
      <c r="P2320" t="s">
        <v>65</v>
      </c>
      <c r="R2320">
        <v>760</v>
      </c>
      <c r="T2320">
        <v>595</v>
      </c>
      <c r="V2320">
        <v>970</v>
      </c>
      <c r="W2320" t="s">
        <v>66</v>
      </c>
      <c r="X2320" t="s">
        <v>67</v>
      </c>
      <c r="Y2320" t="s">
        <v>67</v>
      </c>
      <c r="Z2320" t="s">
        <v>68</v>
      </c>
      <c r="AB2320">
        <v>4</v>
      </c>
      <c r="AC2320" t="s">
        <v>61</v>
      </c>
      <c r="AJ2320" t="s">
        <v>69</v>
      </c>
      <c r="AY2320" t="s">
        <v>96</v>
      </c>
      <c r="AZ2320">
        <v>6797</v>
      </c>
      <c r="BA2320" t="s">
        <v>97</v>
      </c>
      <c r="BB2320" t="s">
        <v>98</v>
      </c>
      <c r="BC2320">
        <v>1986</v>
      </c>
      <c r="BD2320" t="s">
        <v>90</v>
      </c>
    </row>
    <row r="2321" spans="1:56" x14ac:dyDescent="0.35">
      <c r="A2321">
        <v>2008391</v>
      </c>
      <c r="B2321" t="s">
        <v>1763</v>
      </c>
      <c r="E2321">
        <v>49.6</v>
      </c>
      <c r="F2321" t="s">
        <v>58</v>
      </c>
      <c r="G2321" t="s">
        <v>59</v>
      </c>
      <c r="H2321" t="s">
        <v>60</v>
      </c>
      <c r="J2321" t="s">
        <v>86</v>
      </c>
      <c r="L2321" t="s">
        <v>62</v>
      </c>
      <c r="M2321" t="s">
        <v>63</v>
      </c>
      <c r="N2321" t="s">
        <v>64</v>
      </c>
      <c r="P2321" t="s">
        <v>65</v>
      </c>
      <c r="R2321">
        <v>760</v>
      </c>
      <c r="T2321">
        <v>595</v>
      </c>
      <c r="V2321">
        <v>970</v>
      </c>
      <c r="W2321" t="s">
        <v>66</v>
      </c>
      <c r="X2321" t="s">
        <v>67</v>
      </c>
      <c r="Y2321" t="s">
        <v>67</v>
      </c>
      <c r="Z2321" t="s">
        <v>68</v>
      </c>
      <c r="AB2321">
        <v>4</v>
      </c>
      <c r="AC2321" t="s">
        <v>61</v>
      </c>
      <c r="AJ2321" t="s">
        <v>69</v>
      </c>
      <c r="AY2321" t="s">
        <v>96</v>
      </c>
      <c r="AZ2321">
        <v>6797</v>
      </c>
      <c r="BA2321" t="s">
        <v>97</v>
      </c>
      <c r="BB2321" t="s">
        <v>98</v>
      </c>
      <c r="BC2321">
        <v>1986</v>
      </c>
      <c r="BD2321" t="s">
        <v>90</v>
      </c>
    </row>
    <row r="2322" spans="1:56" x14ac:dyDescent="0.35">
      <c r="A2322">
        <v>2008391</v>
      </c>
      <c r="B2322" t="s">
        <v>1763</v>
      </c>
      <c r="E2322">
        <v>49.6</v>
      </c>
      <c r="F2322" t="s">
        <v>58</v>
      </c>
      <c r="G2322" t="s">
        <v>59</v>
      </c>
      <c r="H2322" t="s">
        <v>60</v>
      </c>
      <c r="J2322" t="s">
        <v>86</v>
      </c>
      <c r="L2322" t="s">
        <v>62</v>
      </c>
      <c r="M2322" t="s">
        <v>63</v>
      </c>
      <c r="N2322" t="s">
        <v>64</v>
      </c>
      <c r="P2322" t="s">
        <v>65</v>
      </c>
      <c r="R2322">
        <v>266</v>
      </c>
      <c r="T2322">
        <v>216</v>
      </c>
      <c r="V2322">
        <v>321</v>
      </c>
      <c r="W2322" t="s">
        <v>66</v>
      </c>
      <c r="X2322" t="s">
        <v>67</v>
      </c>
      <c r="Y2322" t="s">
        <v>67</v>
      </c>
      <c r="Z2322" t="s">
        <v>68</v>
      </c>
      <c r="AB2322">
        <v>4</v>
      </c>
      <c r="AC2322" t="s">
        <v>61</v>
      </c>
      <c r="AJ2322" t="s">
        <v>69</v>
      </c>
      <c r="AY2322" t="s">
        <v>96</v>
      </c>
      <c r="AZ2322">
        <v>6797</v>
      </c>
      <c r="BA2322" t="s">
        <v>97</v>
      </c>
      <c r="BB2322" t="s">
        <v>98</v>
      </c>
      <c r="BC2322">
        <v>1986</v>
      </c>
      <c r="BD2322" t="s">
        <v>90</v>
      </c>
    </row>
    <row r="2323" spans="1:56" x14ac:dyDescent="0.35">
      <c r="A2323">
        <v>2008391</v>
      </c>
      <c r="B2323" t="s">
        <v>1763</v>
      </c>
      <c r="E2323">
        <v>49.6</v>
      </c>
      <c r="F2323" t="s">
        <v>58</v>
      </c>
      <c r="G2323" t="s">
        <v>59</v>
      </c>
      <c r="H2323" t="s">
        <v>60</v>
      </c>
      <c r="J2323" t="s">
        <v>86</v>
      </c>
      <c r="L2323" t="s">
        <v>62</v>
      </c>
      <c r="M2323" t="s">
        <v>63</v>
      </c>
      <c r="N2323" t="s">
        <v>64</v>
      </c>
      <c r="P2323" t="s">
        <v>65</v>
      </c>
      <c r="R2323">
        <v>800</v>
      </c>
      <c r="T2323">
        <v>637</v>
      </c>
      <c r="V2323">
        <v>1005</v>
      </c>
      <c r="W2323" t="s">
        <v>66</v>
      </c>
      <c r="X2323" t="s">
        <v>67</v>
      </c>
      <c r="Y2323" t="s">
        <v>67</v>
      </c>
      <c r="Z2323" t="s">
        <v>68</v>
      </c>
      <c r="AB2323">
        <v>4</v>
      </c>
      <c r="AC2323" t="s">
        <v>61</v>
      </c>
      <c r="AJ2323" t="s">
        <v>69</v>
      </c>
      <c r="AY2323" t="s">
        <v>96</v>
      </c>
      <c r="AZ2323">
        <v>6797</v>
      </c>
      <c r="BA2323" t="s">
        <v>97</v>
      </c>
      <c r="BB2323" t="s">
        <v>98</v>
      </c>
      <c r="BC2323">
        <v>1986</v>
      </c>
      <c r="BD2323" t="s">
        <v>90</v>
      </c>
    </row>
    <row r="2324" spans="1:56" x14ac:dyDescent="0.35">
      <c r="A2324">
        <v>2008391</v>
      </c>
      <c r="B2324" t="s">
        <v>1763</v>
      </c>
      <c r="E2324">
        <v>67.3</v>
      </c>
      <c r="F2324" t="s">
        <v>58</v>
      </c>
      <c r="G2324" t="s">
        <v>59</v>
      </c>
      <c r="H2324" t="s">
        <v>60</v>
      </c>
      <c r="J2324" t="s">
        <v>86</v>
      </c>
      <c r="L2324" t="s">
        <v>62</v>
      </c>
      <c r="M2324" t="s">
        <v>63</v>
      </c>
      <c r="N2324" t="s">
        <v>64</v>
      </c>
      <c r="P2324" t="s">
        <v>100</v>
      </c>
      <c r="R2324">
        <v>318</v>
      </c>
      <c r="T2324">
        <v>224</v>
      </c>
      <c r="V2324">
        <v>387</v>
      </c>
      <c r="W2324" t="s">
        <v>66</v>
      </c>
      <c r="X2324" t="s">
        <v>67</v>
      </c>
      <c r="Y2324" t="s">
        <v>67</v>
      </c>
      <c r="Z2324" t="s">
        <v>68</v>
      </c>
      <c r="AB2324">
        <v>4</v>
      </c>
      <c r="AC2324" t="s">
        <v>61</v>
      </c>
      <c r="AJ2324" t="s">
        <v>69</v>
      </c>
      <c r="AY2324" t="s">
        <v>116</v>
      </c>
      <c r="AZ2324">
        <v>344</v>
      </c>
      <c r="BA2324" t="s">
        <v>117</v>
      </c>
      <c r="BB2324" t="s">
        <v>118</v>
      </c>
      <c r="BC2324">
        <v>1992</v>
      </c>
      <c r="BD2324" t="s">
        <v>90</v>
      </c>
    </row>
    <row r="2325" spans="1:56" x14ac:dyDescent="0.35">
      <c r="A2325">
        <v>2008391</v>
      </c>
      <c r="B2325" t="s">
        <v>1763</v>
      </c>
      <c r="E2325">
        <v>49.6</v>
      </c>
      <c r="F2325" t="s">
        <v>58</v>
      </c>
      <c r="G2325" t="s">
        <v>59</v>
      </c>
      <c r="H2325" t="s">
        <v>60</v>
      </c>
      <c r="J2325" t="s">
        <v>86</v>
      </c>
      <c r="L2325" t="s">
        <v>62</v>
      </c>
      <c r="M2325" t="s">
        <v>63</v>
      </c>
      <c r="N2325" t="s">
        <v>64</v>
      </c>
      <c r="P2325" t="s">
        <v>65</v>
      </c>
      <c r="R2325">
        <v>590</v>
      </c>
      <c r="T2325">
        <v>495</v>
      </c>
      <c r="V2325">
        <v>703</v>
      </c>
      <c r="W2325" t="s">
        <v>66</v>
      </c>
      <c r="X2325" t="s">
        <v>67</v>
      </c>
      <c r="Y2325" t="s">
        <v>67</v>
      </c>
      <c r="Z2325" t="s">
        <v>68</v>
      </c>
      <c r="AB2325">
        <v>4</v>
      </c>
      <c r="AC2325" t="s">
        <v>61</v>
      </c>
      <c r="AJ2325" t="s">
        <v>69</v>
      </c>
      <c r="AY2325" t="s">
        <v>96</v>
      </c>
      <c r="AZ2325">
        <v>6797</v>
      </c>
      <c r="BA2325" t="s">
        <v>97</v>
      </c>
      <c r="BB2325" t="s">
        <v>98</v>
      </c>
      <c r="BC2325">
        <v>1986</v>
      </c>
      <c r="BD2325" t="s">
        <v>90</v>
      </c>
    </row>
    <row r="2326" spans="1:56" x14ac:dyDescent="0.35">
      <c r="A2326">
        <v>2008391</v>
      </c>
      <c r="B2326" t="s">
        <v>1763</v>
      </c>
      <c r="E2326">
        <v>49.6</v>
      </c>
      <c r="F2326" t="s">
        <v>58</v>
      </c>
      <c r="G2326" t="s">
        <v>59</v>
      </c>
      <c r="H2326" t="s">
        <v>60</v>
      </c>
      <c r="J2326" t="s">
        <v>86</v>
      </c>
      <c r="L2326" t="s">
        <v>62</v>
      </c>
      <c r="M2326" t="s">
        <v>63</v>
      </c>
      <c r="N2326" t="s">
        <v>64</v>
      </c>
      <c r="P2326" t="s">
        <v>65</v>
      </c>
      <c r="R2326">
        <v>335</v>
      </c>
      <c r="T2326">
        <v>245</v>
      </c>
      <c r="V2326">
        <v>458</v>
      </c>
      <c r="W2326" t="s">
        <v>66</v>
      </c>
      <c r="X2326" t="s">
        <v>67</v>
      </c>
      <c r="Y2326" t="s">
        <v>67</v>
      </c>
      <c r="Z2326" t="s">
        <v>68</v>
      </c>
      <c r="AB2326">
        <v>4</v>
      </c>
      <c r="AC2326" t="s">
        <v>61</v>
      </c>
      <c r="AJ2326" t="s">
        <v>69</v>
      </c>
      <c r="AY2326" t="s">
        <v>96</v>
      </c>
      <c r="AZ2326">
        <v>6797</v>
      </c>
      <c r="BA2326" t="s">
        <v>97</v>
      </c>
      <c r="BB2326" t="s">
        <v>98</v>
      </c>
      <c r="BC2326">
        <v>1986</v>
      </c>
      <c r="BD2326" t="s">
        <v>90</v>
      </c>
    </row>
    <row r="2327" spans="1:56" x14ac:dyDescent="0.35">
      <c r="A2327">
        <v>2008391</v>
      </c>
      <c r="B2327" t="s">
        <v>1763</v>
      </c>
      <c r="E2327">
        <v>49.6</v>
      </c>
      <c r="F2327" t="s">
        <v>58</v>
      </c>
      <c r="G2327" t="s">
        <v>59</v>
      </c>
      <c r="H2327" t="s">
        <v>60</v>
      </c>
      <c r="I2327" t="s">
        <v>705</v>
      </c>
      <c r="J2327" t="s">
        <v>86</v>
      </c>
      <c r="L2327" t="s">
        <v>62</v>
      </c>
      <c r="M2327" t="s">
        <v>63</v>
      </c>
      <c r="N2327" t="s">
        <v>64</v>
      </c>
      <c r="P2327" t="s">
        <v>65</v>
      </c>
      <c r="R2327">
        <v>320</v>
      </c>
      <c r="T2327">
        <v>240</v>
      </c>
      <c r="V2327">
        <v>425</v>
      </c>
      <c r="W2327" t="s">
        <v>66</v>
      </c>
      <c r="X2327" t="s">
        <v>67</v>
      </c>
      <c r="Y2327" t="s">
        <v>67</v>
      </c>
      <c r="Z2327" t="s">
        <v>68</v>
      </c>
      <c r="AB2327">
        <v>4</v>
      </c>
      <c r="AC2327" t="s">
        <v>61</v>
      </c>
      <c r="AJ2327" t="s">
        <v>69</v>
      </c>
      <c r="AY2327" t="s">
        <v>96</v>
      </c>
      <c r="AZ2327">
        <v>6797</v>
      </c>
      <c r="BA2327" t="s">
        <v>97</v>
      </c>
      <c r="BB2327" t="s">
        <v>98</v>
      </c>
      <c r="BC2327">
        <v>1986</v>
      </c>
      <c r="BD2327" t="s">
        <v>90</v>
      </c>
    </row>
    <row r="2328" spans="1:56" x14ac:dyDescent="0.35">
      <c r="A2328">
        <v>2008391</v>
      </c>
      <c r="B2328" t="s">
        <v>1763</v>
      </c>
      <c r="E2328">
        <v>49.6</v>
      </c>
      <c r="F2328" t="s">
        <v>58</v>
      </c>
      <c r="G2328" t="s">
        <v>59</v>
      </c>
      <c r="H2328" t="s">
        <v>60</v>
      </c>
      <c r="J2328" t="s">
        <v>86</v>
      </c>
      <c r="L2328" t="s">
        <v>62</v>
      </c>
      <c r="M2328" t="s">
        <v>63</v>
      </c>
      <c r="N2328" t="s">
        <v>64</v>
      </c>
      <c r="P2328" t="s">
        <v>65</v>
      </c>
      <c r="R2328">
        <v>760</v>
      </c>
      <c r="T2328">
        <v>595</v>
      </c>
      <c r="V2328">
        <v>970</v>
      </c>
      <c r="W2328" t="s">
        <v>66</v>
      </c>
      <c r="X2328" t="s">
        <v>67</v>
      </c>
      <c r="Y2328" t="s">
        <v>67</v>
      </c>
      <c r="Z2328" t="s">
        <v>68</v>
      </c>
      <c r="AB2328">
        <v>4</v>
      </c>
      <c r="AC2328" t="s">
        <v>61</v>
      </c>
      <c r="AJ2328" t="s">
        <v>69</v>
      </c>
      <c r="AY2328" t="s">
        <v>96</v>
      </c>
      <c r="AZ2328">
        <v>6797</v>
      </c>
      <c r="BA2328" t="s">
        <v>97</v>
      </c>
      <c r="BB2328" t="s">
        <v>98</v>
      </c>
      <c r="BC2328">
        <v>1986</v>
      </c>
      <c r="BD2328" t="s">
        <v>90</v>
      </c>
    </row>
    <row r="2329" spans="1:56" x14ac:dyDescent="0.35">
      <c r="A2329">
        <v>2008391</v>
      </c>
      <c r="B2329" t="s">
        <v>1763</v>
      </c>
      <c r="E2329">
        <v>49.6</v>
      </c>
      <c r="F2329" t="s">
        <v>58</v>
      </c>
      <c r="G2329" t="s">
        <v>59</v>
      </c>
      <c r="H2329" t="s">
        <v>60</v>
      </c>
      <c r="I2329" t="s">
        <v>1764</v>
      </c>
      <c r="J2329" t="s">
        <v>86</v>
      </c>
      <c r="L2329" t="s">
        <v>62</v>
      </c>
      <c r="M2329" t="s">
        <v>63</v>
      </c>
      <c r="N2329" t="s">
        <v>64</v>
      </c>
      <c r="P2329" t="s">
        <v>65</v>
      </c>
      <c r="R2329">
        <v>630</v>
      </c>
      <c r="T2329">
        <v>520</v>
      </c>
      <c r="V2329">
        <v>763</v>
      </c>
      <c r="W2329" t="s">
        <v>66</v>
      </c>
      <c r="X2329" t="s">
        <v>67</v>
      </c>
      <c r="Y2329" t="s">
        <v>67</v>
      </c>
      <c r="Z2329" t="s">
        <v>68</v>
      </c>
      <c r="AB2329">
        <v>4</v>
      </c>
      <c r="AC2329" t="s">
        <v>61</v>
      </c>
      <c r="AJ2329" t="s">
        <v>69</v>
      </c>
      <c r="AY2329" t="s">
        <v>96</v>
      </c>
      <c r="AZ2329">
        <v>6797</v>
      </c>
      <c r="BA2329" t="s">
        <v>97</v>
      </c>
      <c r="BB2329" t="s">
        <v>98</v>
      </c>
      <c r="BC2329">
        <v>1986</v>
      </c>
      <c r="BD2329" t="s">
        <v>90</v>
      </c>
    </row>
    <row r="2330" spans="1:56" x14ac:dyDescent="0.35">
      <c r="A2330">
        <v>2008391</v>
      </c>
      <c r="B2330" t="s">
        <v>1763</v>
      </c>
      <c r="E2330">
        <v>49.6</v>
      </c>
      <c r="F2330" t="s">
        <v>58</v>
      </c>
      <c r="G2330" t="s">
        <v>59</v>
      </c>
      <c r="H2330" t="s">
        <v>60</v>
      </c>
      <c r="J2330" t="s">
        <v>86</v>
      </c>
      <c r="L2330" t="s">
        <v>62</v>
      </c>
      <c r="M2330" t="s">
        <v>63</v>
      </c>
      <c r="N2330" t="s">
        <v>64</v>
      </c>
      <c r="P2330" t="s">
        <v>65</v>
      </c>
      <c r="R2330">
        <v>760</v>
      </c>
      <c r="T2330">
        <v>595</v>
      </c>
      <c r="V2330">
        <v>970</v>
      </c>
      <c r="W2330" t="s">
        <v>66</v>
      </c>
      <c r="X2330" t="s">
        <v>67</v>
      </c>
      <c r="Y2330" t="s">
        <v>67</v>
      </c>
      <c r="Z2330" t="s">
        <v>68</v>
      </c>
      <c r="AB2330">
        <v>4</v>
      </c>
      <c r="AC2330" t="s">
        <v>61</v>
      </c>
      <c r="AJ2330" t="s">
        <v>69</v>
      </c>
      <c r="AY2330" t="s">
        <v>96</v>
      </c>
      <c r="AZ2330">
        <v>6797</v>
      </c>
      <c r="BA2330" t="s">
        <v>97</v>
      </c>
      <c r="BB2330" t="s">
        <v>98</v>
      </c>
      <c r="BC2330">
        <v>1986</v>
      </c>
      <c r="BD2330" t="s">
        <v>90</v>
      </c>
    </row>
    <row r="2331" spans="1:56" x14ac:dyDescent="0.35">
      <c r="A2331">
        <v>2008391</v>
      </c>
      <c r="B2331" t="s">
        <v>1763</v>
      </c>
      <c r="E2331">
        <v>49.6</v>
      </c>
      <c r="F2331" t="s">
        <v>58</v>
      </c>
      <c r="G2331" t="s">
        <v>59</v>
      </c>
      <c r="H2331" t="s">
        <v>60</v>
      </c>
      <c r="I2331" t="s">
        <v>1316</v>
      </c>
      <c r="J2331" t="s">
        <v>86</v>
      </c>
      <c r="L2331" t="s">
        <v>62</v>
      </c>
      <c r="M2331" t="s">
        <v>63</v>
      </c>
      <c r="N2331" t="s">
        <v>64</v>
      </c>
      <c r="P2331" t="s">
        <v>65</v>
      </c>
      <c r="R2331">
        <v>425</v>
      </c>
      <c r="T2331">
        <v>334</v>
      </c>
      <c r="V2331">
        <v>541</v>
      </c>
      <c r="W2331" t="s">
        <v>66</v>
      </c>
      <c r="X2331" t="s">
        <v>67</v>
      </c>
      <c r="Y2331" t="s">
        <v>67</v>
      </c>
      <c r="Z2331" t="s">
        <v>68</v>
      </c>
      <c r="AB2331">
        <v>4</v>
      </c>
      <c r="AC2331" t="s">
        <v>61</v>
      </c>
      <c r="AJ2331" t="s">
        <v>69</v>
      </c>
      <c r="AY2331" t="s">
        <v>96</v>
      </c>
      <c r="AZ2331">
        <v>6797</v>
      </c>
      <c r="BA2331" t="s">
        <v>97</v>
      </c>
      <c r="BB2331" t="s">
        <v>98</v>
      </c>
      <c r="BC2331">
        <v>1986</v>
      </c>
      <c r="BD2331" t="s">
        <v>90</v>
      </c>
    </row>
    <row r="2332" spans="1:56" x14ac:dyDescent="0.35">
      <c r="A2332">
        <v>2008391</v>
      </c>
      <c r="B2332" t="s">
        <v>1763</v>
      </c>
      <c r="E2332">
        <v>49.6</v>
      </c>
      <c r="F2332" t="s">
        <v>58</v>
      </c>
      <c r="G2332" t="s">
        <v>59</v>
      </c>
      <c r="H2332" t="s">
        <v>60</v>
      </c>
      <c r="I2332" t="s">
        <v>705</v>
      </c>
      <c r="J2332" t="s">
        <v>86</v>
      </c>
      <c r="L2332" t="s">
        <v>62</v>
      </c>
      <c r="M2332" t="s">
        <v>63</v>
      </c>
      <c r="N2332" t="s">
        <v>64</v>
      </c>
      <c r="P2332" t="s">
        <v>65</v>
      </c>
      <c r="R2332">
        <v>740</v>
      </c>
      <c r="T2332">
        <v>495</v>
      </c>
      <c r="V2332">
        <v>1106</v>
      </c>
      <c r="W2332" t="s">
        <v>66</v>
      </c>
      <c r="X2332" t="s">
        <v>67</v>
      </c>
      <c r="Y2332" t="s">
        <v>67</v>
      </c>
      <c r="Z2332" t="s">
        <v>68</v>
      </c>
      <c r="AB2332">
        <v>4</v>
      </c>
      <c r="AC2332" t="s">
        <v>61</v>
      </c>
      <c r="AJ2332" t="s">
        <v>69</v>
      </c>
      <c r="AY2332" t="s">
        <v>96</v>
      </c>
      <c r="AZ2332">
        <v>6797</v>
      </c>
      <c r="BA2332" t="s">
        <v>97</v>
      </c>
      <c r="BB2332" t="s">
        <v>98</v>
      </c>
      <c r="BC2332">
        <v>1986</v>
      </c>
      <c r="BD2332" t="s">
        <v>90</v>
      </c>
    </row>
    <row r="2333" spans="1:56" x14ac:dyDescent="0.35">
      <c r="A2333">
        <v>2008391</v>
      </c>
      <c r="B2333" t="s">
        <v>1763</v>
      </c>
      <c r="E2333">
        <v>49.6</v>
      </c>
      <c r="F2333" t="s">
        <v>58</v>
      </c>
      <c r="G2333" t="s">
        <v>59</v>
      </c>
      <c r="H2333" t="s">
        <v>60</v>
      </c>
      <c r="J2333" t="s">
        <v>86</v>
      </c>
      <c r="L2333" t="s">
        <v>62</v>
      </c>
      <c r="M2333" t="s">
        <v>63</v>
      </c>
      <c r="N2333" t="s">
        <v>64</v>
      </c>
      <c r="P2333" t="s">
        <v>65</v>
      </c>
      <c r="R2333">
        <v>590</v>
      </c>
      <c r="T2333">
        <v>495</v>
      </c>
      <c r="V2333">
        <v>703</v>
      </c>
      <c r="W2333" t="s">
        <v>66</v>
      </c>
      <c r="X2333" t="s">
        <v>67</v>
      </c>
      <c r="Y2333" t="s">
        <v>67</v>
      </c>
      <c r="Z2333" t="s">
        <v>68</v>
      </c>
      <c r="AB2333">
        <v>4</v>
      </c>
      <c r="AC2333" t="s">
        <v>61</v>
      </c>
      <c r="AJ2333" t="s">
        <v>69</v>
      </c>
      <c r="AY2333" t="s">
        <v>96</v>
      </c>
      <c r="AZ2333">
        <v>6797</v>
      </c>
      <c r="BA2333" t="s">
        <v>97</v>
      </c>
      <c r="BB2333" t="s">
        <v>98</v>
      </c>
      <c r="BC2333">
        <v>1986</v>
      </c>
      <c r="BD2333" t="s">
        <v>90</v>
      </c>
    </row>
    <row r="2334" spans="1:56" x14ac:dyDescent="0.35">
      <c r="A2334">
        <v>2008391</v>
      </c>
      <c r="B2334" t="s">
        <v>1763</v>
      </c>
      <c r="E2334">
        <v>49.6</v>
      </c>
      <c r="F2334" t="s">
        <v>58</v>
      </c>
      <c r="G2334" t="s">
        <v>59</v>
      </c>
      <c r="H2334" t="s">
        <v>60</v>
      </c>
      <c r="J2334" t="s">
        <v>86</v>
      </c>
      <c r="L2334" t="s">
        <v>62</v>
      </c>
      <c r="M2334" t="s">
        <v>63</v>
      </c>
      <c r="N2334" t="s">
        <v>64</v>
      </c>
      <c r="P2334" t="s">
        <v>65</v>
      </c>
      <c r="R2334">
        <v>760</v>
      </c>
      <c r="T2334">
        <v>595</v>
      </c>
      <c r="V2334">
        <v>970</v>
      </c>
      <c r="W2334" t="s">
        <v>66</v>
      </c>
      <c r="X2334" t="s">
        <v>67</v>
      </c>
      <c r="Y2334" t="s">
        <v>67</v>
      </c>
      <c r="Z2334" t="s">
        <v>68</v>
      </c>
      <c r="AB2334">
        <v>4</v>
      </c>
      <c r="AC2334" t="s">
        <v>61</v>
      </c>
      <c r="AJ2334" t="s">
        <v>69</v>
      </c>
      <c r="AY2334" t="s">
        <v>96</v>
      </c>
      <c r="AZ2334">
        <v>6797</v>
      </c>
      <c r="BA2334" t="s">
        <v>97</v>
      </c>
      <c r="BB2334" t="s">
        <v>98</v>
      </c>
      <c r="BC2334">
        <v>1986</v>
      </c>
      <c r="BD2334" t="s">
        <v>90</v>
      </c>
    </row>
    <row r="2335" spans="1:56" x14ac:dyDescent="0.35">
      <c r="A2335">
        <v>2008391</v>
      </c>
      <c r="B2335" t="s">
        <v>1763</v>
      </c>
      <c r="E2335">
        <v>49.6</v>
      </c>
      <c r="F2335" t="s">
        <v>58</v>
      </c>
      <c r="G2335" t="s">
        <v>59</v>
      </c>
      <c r="H2335" t="s">
        <v>60</v>
      </c>
      <c r="I2335" t="s">
        <v>1765</v>
      </c>
      <c r="J2335" t="s">
        <v>86</v>
      </c>
      <c r="L2335" t="s">
        <v>62</v>
      </c>
      <c r="M2335" t="s">
        <v>63</v>
      </c>
      <c r="N2335" t="s">
        <v>64</v>
      </c>
      <c r="P2335" t="s">
        <v>65</v>
      </c>
      <c r="R2335">
        <v>1450</v>
      </c>
      <c r="T2335">
        <v>1160</v>
      </c>
      <c r="V2335">
        <v>1810</v>
      </c>
      <c r="W2335" t="s">
        <v>66</v>
      </c>
      <c r="X2335" t="s">
        <v>67</v>
      </c>
      <c r="Y2335" t="s">
        <v>67</v>
      </c>
      <c r="Z2335" t="s">
        <v>68</v>
      </c>
      <c r="AB2335">
        <v>4</v>
      </c>
      <c r="AC2335" t="s">
        <v>61</v>
      </c>
      <c r="AJ2335" t="s">
        <v>69</v>
      </c>
      <c r="AY2335" t="s">
        <v>96</v>
      </c>
      <c r="AZ2335">
        <v>6797</v>
      </c>
      <c r="BA2335" t="s">
        <v>97</v>
      </c>
      <c r="BB2335" t="s">
        <v>98</v>
      </c>
      <c r="BC2335">
        <v>1986</v>
      </c>
      <c r="BD2335" t="s">
        <v>90</v>
      </c>
    </row>
    <row r="2336" spans="1:56" x14ac:dyDescent="0.35">
      <c r="A2336">
        <v>2008391</v>
      </c>
      <c r="B2336" t="s">
        <v>1763</v>
      </c>
      <c r="E2336">
        <v>49.6</v>
      </c>
      <c r="F2336" t="s">
        <v>58</v>
      </c>
      <c r="G2336" t="s">
        <v>59</v>
      </c>
      <c r="H2336" t="s">
        <v>60</v>
      </c>
      <c r="J2336" t="s">
        <v>86</v>
      </c>
      <c r="L2336" t="s">
        <v>62</v>
      </c>
      <c r="M2336" t="s">
        <v>63</v>
      </c>
      <c r="N2336" t="s">
        <v>64</v>
      </c>
      <c r="P2336" t="s">
        <v>65</v>
      </c>
      <c r="R2336">
        <v>630</v>
      </c>
      <c r="T2336">
        <v>522</v>
      </c>
      <c r="V2336">
        <v>761</v>
      </c>
      <c r="W2336" t="s">
        <v>66</v>
      </c>
      <c r="X2336" t="s">
        <v>67</v>
      </c>
      <c r="Y2336" t="s">
        <v>67</v>
      </c>
      <c r="Z2336" t="s">
        <v>68</v>
      </c>
      <c r="AB2336">
        <v>4</v>
      </c>
      <c r="AC2336" t="s">
        <v>61</v>
      </c>
      <c r="AJ2336" t="s">
        <v>69</v>
      </c>
      <c r="AY2336" t="s">
        <v>96</v>
      </c>
      <c r="AZ2336">
        <v>6797</v>
      </c>
      <c r="BA2336" t="s">
        <v>97</v>
      </c>
      <c r="BB2336" t="s">
        <v>98</v>
      </c>
      <c r="BC2336">
        <v>1986</v>
      </c>
      <c r="BD2336" t="s">
        <v>90</v>
      </c>
    </row>
    <row r="2337" spans="1:56" x14ac:dyDescent="0.35">
      <c r="A2337">
        <v>2008391</v>
      </c>
      <c r="B2337" t="s">
        <v>1763</v>
      </c>
      <c r="E2337">
        <v>49.6</v>
      </c>
      <c r="F2337" t="s">
        <v>58</v>
      </c>
      <c r="G2337" t="s">
        <v>59</v>
      </c>
      <c r="H2337" t="s">
        <v>60</v>
      </c>
      <c r="I2337" t="s">
        <v>705</v>
      </c>
      <c r="J2337" t="s">
        <v>86</v>
      </c>
      <c r="L2337" t="s">
        <v>62</v>
      </c>
      <c r="M2337" t="s">
        <v>63</v>
      </c>
      <c r="N2337" t="s">
        <v>64</v>
      </c>
      <c r="P2337" t="s">
        <v>65</v>
      </c>
      <c r="R2337">
        <v>700</v>
      </c>
      <c r="T2337">
        <v>561</v>
      </c>
      <c r="V2337">
        <v>873</v>
      </c>
      <c r="W2337" t="s">
        <v>66</v>
      </c>
      <c r="X2337" t="s">
        <v>67</v>
      </c>
      <c r="Y2337" t="s">
        <v>67</v>
      </c>
      <c r="Z2337" t="s">
        <v>68</v>
      </c>
      <c r="AB2337">
        <v>4</v>
      </c>
      <c r="AC2337" t="s">
        <v>61</v>
      </c>
      <c r="AJ2337" t="s">
        <v>69</v>
      </c>
      <c r="AY2337" t="s">
        <v>96</v>
      </c>
      <c r="AZ2337">
        <v>6797</v>
      </c>
      <c r="BA2337" t="s">
        <v>97</v>
      </c>
      <c r="BB2337" t="s">
        <v>98</v>
      </c>
      <c r="BC2337">
        <v>1986</v>
      </c>
      <c r="BD2337" t="s">
        <v>90</v>
      </c>
    </row>
    <row r="2338" spans="1:56" x14ac:dyDescent="0.35">
      <c r="A2338">
        <v>2008391</v>
      </c>
      <c r="B2338" t="s">
        <v>1763</v>
      </c>
      <c r="E2338">
        <v>49.6</v>
      </c>
      <c r="F2338" t="s">
        <v>58</v>
      </c>
      <c r="G2338" t="s">
        <v>59</v>
      </c>
      <c r="H2338" t="s">
        <v>60</v>
      </c>
      <c r="J2338" t="s">
        <v>86</v>
      </c>
      <c r="L2338" t="s">
        <v>62</v>
      </c>
      <c r="M2338" t="s">
        <v>63</v>
      </c>
      <c r="N2338" t="s">
        <v>64</v>
      </c>
      <c r="P2338" t="s">
        <v>65</v>
      </c>
      <c r="R2338">
        <v>440</v>
      </c>
      <c r="T2338">
        <v>355</v>
      </c>
      <c r="V2338">
        <v>546</v>
      </c>
      <c r="W2338" t="s">
        <v>66</v>
      </c>
      <c r="X2338" t="s">
        <v>67</v>
      </c>
      <c r="Y2338" t="s">
        <v>67</v>
      </c>
      <c r="Z2338" t="s">
        <v>68</v>
      </c>
      <c r="AB2338">
        <v>4</v>
      </c>
      <c r="AC2338" t="s">
        <v>61</v>
      </c>
      <c r="AJ2338" t="s">
        <v>69</v>
      </c>
      <c r="AY2338" t="s">
        <v>96</v>
      </c>
      <c r="AZ2338">
        <v>6797</v>
      </c>
      <c r="BA2338" t="s">
        <v>97</v>
      </c>
      <c r="BB2338" t="s">
        <v>98</v>
      </c>
      <c r="BC2338">
        <v>1986</v>
      </c>
      <c r="BD2338" t="s">
        <v>90</v>
      </c>
    </row>
    <row r="2339" spans="1:56" x14ac:dyDescent="0.35">
      <c r="A2339">
        <v>2008391</v>
      </c>
      <c r="B2339" t="s">
        <v>1763</v>
      </c>
      <c r="E2339">
        <v>49.6</v>
      </c>
      <c r="F2339" t="s">
        <v>58</v>
      </c>
      <c r="G2339" t="s">
        <v>59</v>
      </c>
      <c r="H2339" t="s">
        <v>60</v>
      </c>
      <c r="J2339" t="s">
        <v>86</v>
      </c>
      <c r="L2339" t="s">
        <v>62</v>
      </c>
      <c r="M2339" t="s">
        <v>63</v>
      </c>
      <c r="N2339" t="s">
        <v>64</v>
      </c>
      <c r="P2339" t="s">
        <v>65</v>
      </c>
      <c r="R2339">
        <v>285</v>
      </c>
      <c r="T2339">
        <v>236</v>
      </c>
      <c r="V2339">
        <v>344</v>
      </c>
      <c r="W2339" t="s">
        <v>66</v>
      </c>
      <c r="X2339" t="s">
        <v>67</v>
      </c>
      <c r="Y2339" t="s">
        <v>67</v>
      </c>
      <c r="Z2339" t="s">
        <v>68</v>
      </c>
      <c r="AB2339">
        <v>4</v>
      </c>
      <c r="AC2339" t="s">
        <v>61</v>
      </c>
      <c r="AJ2339" t="s">
        <v>69</v>
      </c>
      <c r="AY2339" t="s">
        <v>96</v>
      </c>
      <c r="AZ2339">
        <v>6797</v>
      </c>
      <c r="BA2339" t="s">
        <v>97</v>
      </c>
      <c r="BB2339" t="s">
        <v>98</v>
      </c>
      <c r="BC2339">
        <v>1986</v>
      </c>
      <c r="BD2339" t="s">
        <v>90</v>
      </c>
    </row>
    <row r="2340" spans="1:56" x14ac:dyDescent="0.35">
      <c r="A2340">
        <v>2008391</v>
      </c>
      <c r="B2340" t="s">
        <v>1763</v>
      </c>
      <c r="C2340" t="s">
        <v>91</v>
      </c>
      <c r="D2340" t="s">
        <v>85</v>
      </c>
      <c r="E2340">
        <v>67.3</v>
      </c>
      <c r="F2340" t="s">
        <v>58</v>
      </c>
      <c r="G2340" t="s">
        <v>59</v>
      </c>
      <c r="H2340" t="s">
        <v>60</v>
      </c>
      <c r="J2340" t="s">
        <v>86</v>
      </c>
      <c r="L2340" t="s">
        <v>62</v>
      </c>
      <c r="M2340" t="s">
        <v>63</v>
      </c>
      <c r="N2340" t="s">
        <v>64</v>
      </c>
      <c r="P2340" t="s">
        <v>65</v>
      </c>
      <c r="R2340">
        <v>344</v>
      </c>
      <c r="T2340">
        <v>282</v>
      </c>
      <c r="V2340">
        <v>382</v>
      </c>
      <c r="W2340" t="s">
        <v>66</v>
      </c>
      <c r="X2340" t="s">
        <v>67</v>
      </c>
      <c r="Y2340" t="s">
        <v>67</v>
      </c>
      <c r="Z2340" t="s">
        <v>68</v>
      </c>
      <c r="AB2340">
        <v>4</v>
      </c>
      <c r="AC2340" t="s">
        <v>61</v>
      </c>
      <c r="AJ2340" t="s">
        <v>69</v>
      </c>
      <c r="AY2340" t="s">
        <v>790</v>
      </c>
      <c r="AZ2340">
        <v>11504</v>
      </c>
      <c r="BA2340" t="s">
        <v>791</v>
      </c>
      <c r="BB2340" t="s">
        <v>792</v>
      </c>
      <c r="BC2340">
        <v>1985</v>
      </c>
      <c r="BD2340" t="s">
        <v>90</v>
      </c>
    </row>
    <row r="2341" spans="1:56" x14ac:dyDescent="0.35">
      <c r="A2341">
        <v>2008391</v>
      </c>
      <c r="B2341" t="s">
        <v>1763</v>
      </c>
      <c r="E2341">
        <v>49.6</v>
      </c>
      <c r="F2341" t="s">
        <v>58</v>
      </c>
      <c r="G2341" t="s">
        <v>59</v>
      </c>
      <c r="H2341" t="s">
        <v>60</v>
      </c>
      <c r="J2341" t="s">
        <v>86</v>
      </c>
      <c r="L2341" t="s">
        <v>62</v>
      </c>
      <c r="M2341" t="s">
        <v>63</v>
      </c>
      <c r="N2341" t="s">
        <v>64</v>
      </c>
      <c r="P2341" t="s">
        <v>65</v>
      </c>
      <c r="R2341">
        <v>740</v>
      </c>
      <c r="T2341">
        <v>583</v>
      </c>
      <c r="V2341">
        <v>939</v>
      </c>
      <c r="W2341" t="s">
        <v>66</v>
      </c>
      <c r="X2341" t="s">
        <v>67</v>
      </c>
      <c r="Y2341" t="s">
        <v>67</v>
      </c>
      <c r="Z2341" t="s">
        <v>68</v>
      </c>
      <c r="AB2341">
        <v>4</v>
      </c>
      <c r="AC2341" t="s">
        <v>61</v>
      </c>
      <c r="AJ2341" t="s">
        <v>69</v>
      </c>
      <c r="AY2341" t="s">
        <v>96</v>
      </c>
      <c r="AZ2341">
        <v>6797</v>
      </c>
      <c r="BA2341" t="s">
        <v>97</v>
      </c>
      <c r="BB2341" t="s">
        <v>98</v>
      </c>
      <c r="BC2341">
        <v>1986</v>
      </c>
      <c r="BD2341" t="s">
        <v>90</v>
      </c>
    </row>
    <row r="2342" spans="1:56" x14ac:dyDescent="0.35">
      <c r="A2342">
        <v>2008391</v>
      </c>
      <c r="B2342" t="s">
        <v>1763</v>
      </c>
      <c r="E2342">
        <v>49.6</v>
      </c>
      <c r="F2342" t="s">
        <v>58</v>
      </c>
      <c r="G2342" t="s">
        <v>59</v>
      </c>
      <c r="H2342" t="s">
        <v>60</v>
      </c>
      <c r="I2342" t="s">
        <v>705</v>
      </c>
      <c r="J2342" t="s">
        <v>86</v>
      </c>
      <c r="L2342" t="s">
        <v>62</v>
      </c>
      <c r="M2342" t="s">
        <v>63</v>
      </c>
      <c r="N2342" t="s">
        <v>64</v>
      </c>
      <c r="P2342" t="s">
        <v>65</v>
      </c>
      <c r="R2342">
        <v>630</v>
      </c>
      <c r="T2342">
        <v>520</v>
      </c>
      <c r="V2342">
        <v>763</v>
      </c>
      <c r="W2342" t="s">
        <v>66</v>
      </c>
      <c r="X2342" t="s">
        <v>67</v>
      </c>
      <c r="Y2342" t="s">
        <v>67</v>
      </c>
      <c r="Z2342" t="s">
        <v>68</v>
      </c>
      <c r="AB2342">
        <v>4</v>
      </c>
      <c r="AC2342" t="s">
        <v>61</v>
      </c>
      <c r="AJ2342" t="s">
        <v>69</v>
      </c>
      <c r="AY2342" t="s">
        <v>96</v>
      </c>
      <c r="AZ2342">
        <v>6797</v>
      </c>
      <c r="BA2342" t="s">
        <v>97</v>
      </c>
      <c r="BB2342" t="s">
        <v>98</v>
      </c>
      <c r="BC2342">
        <v>1986</v>
      </c>
      <c r="BD2342" t="s">
        <v>90</v>
      </c>
    </row>
    <row r="2343" spans="1:56" x14ac:dyDescent="0.35">
      <c r="A2343">
        <v>2008460</v>
      </c>
      <c r="B2343" t="s">
        <v>1766</v>
      </c>
      <c r="E2343">
        <v>56.7</v>
      </c>
      <c r="F2343" t="s">
        <v>58</v>
      </c>
      <c r="G2343" t="s">
        <v>59</v>
      </c>
      <c r="H2343" t="s">
        <v>60</v>
      </c>
      <c r="J2343" t="s">
        <v>86</v>
      </c>
      <c r="L2343" t="s">
        <v>62</v>
      </c>
      <c r="M2343" t="s">
        <v>63</v>
      </c>
      <c r="N2343" t="s">
        <v>64</v>
      </c>
      <c r="P2343" t="s">
        <v>65</v>
      </c>
      <c r="Q2343" t="s">
        <v>153</v>
      </c>
      <c r="R2343">
        <v>10</v>
      </c>
      <c r="W2343" t="s">
        <v>66</v>
      </c>
      <c r="X2343" t="s">
        <v>67</v>
      </c>
      <c r="Y2343" t="s">
        <v>67</v>
      </c>
      <c r="Z2343" t="s">
        <v>68</v>
      </c>
      <c r="AB2343">
        <v>4</v>
      </c>
      <c r="AC2343" t="s">
        <v>61</v>
      </c>
      <c r="AJ2343" t="s">
        <v>69</v>
      </c>
      <c r="AY2343" t="s">
        <v>96</v>
      </c>
      <c r="AZ2343">
        <v>6797</v>
      </c>
      <c r="BA2343" t="s">
        <v>97</v>
      </c>
      <c r="BB2343" t="s">
        <v>98</v>
      </c>
      <c r="BC2343">
        <v>1986</v>
      </c>
      <c r="BD2343" t="s">
        <v>90</v>
      </c>
    </row>
    <row r="2344" spans="1:56" x14ac:dyDescent="0.35">
      <c r="A2344">
        <v>2008584</v>
      </c>
      <c r="B2344" t="s">
        <v>1767</v>
      </c>
      <c r="D2344" t="s">
        <v>57</v>
      </c>
      <c r="E2344">
        <v>97</v>
      </c>
      <c r="F2344" t="s">
        <v>58</v>
      </c>
      <c r="G2344" t="s">
        <v>59</v>
      </c>
      <c r="H2344" t="s">
        <v>60</v>
      </c>
      <c r="J2344">
        <v>32</v>
      </c>
      <c r="K2344" t="s">
        <v>61</v>
      </c>
      <c r="L2344" t="s">
        <v>74</v>
      </c>
      <c r="M2344" t="s">
        <v>63</v>
      </c>
      <c r="N2344" t="s">
        <v>64</v>
      </c>
      <c r="P2344" t="s">
        <v>65</v>
      </c>
      <c r="R2344">
        <v>469</v>
      </c>
      <c r="W2344" t="s">
        <v>66</v>
      </c>
      <c r="X2344" t="s">
        <v>67</v>
      </c>
      <c r="Y2344" t="s">
        <v>67</v>
      </c>
      <c r="Z2344" t="s">
        <v>68</v>
      </c>
      <c r="AB2344">
        <v>4</v>
      </c>
      <c r="AC2344" t="s">
        <v>61</v>
      </c>
      <c r="AJ2344" t="s">
        <v>69</v>
      </c>
      <c r="AY2344" t="s">
        <v>141</v>
      </c>
      <c r="AZ2344">
        <v>12447</v>
      </c>
      <c r="BA2344" t="s">
        <v>142</v>
      </c>
      <c r="BB2344" t="s">
        <v>143</v>
      </c>
      <c r="BC2344">
        <v>1985</v>
      </c>
      <c r="BD2344" t="s">
        <v>73</v>
      </c>
    </row>
    <row r="2345" spans="1:56" x14ac:dyDescent="0.35">
      <c r="A2345">
        <v>2008584</v>
      </c>
      <c r="B2345" t="s">
        <v>1767</v>
      </c>
      <c r="D2345" t="s">
        <v>57</v>
      </c>
      <c r="E2345" t="s">
        <v>128</v>
      </c>
      <c r="F2345" t="s">
        <v>58</v>
      </c>
      <c r="G2345" t="s">
        <v>59</v>
      </c>
      <c r="H2345" t="s">
        <v>60</v>
      </c>
      <c r="I2345" t="s">
        <v>129</v>
      </c>
      <c r="J2345" t="s">
        <v>86</v>
      </c>
      <c r="K2345" t="s">
        <v>61</v>
      </c>
      <c r="L2345" t="s">
        <v>74</v>
      </c>
      <c r="M2345" t="s">
        <v>63</v>
      </c>
      <c r="N2345" t="s">
        <v>64</v>
      </c>
      <c r="P2345" t="s">
        <v>65</v>
      </c>
      <c r="R2345">
        <v>469</v>
      </c>
      <c r="W2345" t="s">
        <v>66</v>
      </c>
      <c r="X2345" t="s">
        <v>67</v>
      </c>
      <c r="Y2345" t="s">
        <v>67</v>
      </c>
      <c r="Z2345" t="s">
        <v>68</v>
      </c>
      <c r="AB2345">
        <v>4</v>
      </c>
      <c r="AC2345" t="s">
        <v>61</v>
      </c>
      <c r="AJ2345" t="s">
        <v>69</v>
      </c>
      <c r="AY2345" t="s">
        <v>134</v>
      </c>
      <c r="AZ2345">
        <v>15031</v>
      </c>
      <c r="BA2345" t="s">
        <v>135</v>
      </c>
      <c r="BB2345" t="s">
        <v>136</v>
      </c>
      <c r="BC2345">
        <v>1995</v>
      </c>
      <c r="BD2345" t="s">
        <v>133</v>
      </c>
    </row>
    <row r="2346" spans="1:56" x14ac:dyDescent="0.35">
      <c r="A2346">
        <v>2016571</v>
      </c>
      <c r="B2346" t="s">
        <v>1768</v>
      </c>
      <c r="D2346" t="s">
        <v>57</v>
      </c>
      <c r="E2346">
        <v>99</v>
      </c>
      <c r="F2346" t="s">
        <v>58</v>
      </c>
      <c r="G2346" t="s">
        <v>59</v>
      </c>
      <c r="H2346" t="s">
        <v>60</v>
      </c>
      <c r="J2346">
        <v>30</v>
      </c>
      <c r="K2346" t="s">
        <v>61</v>
      </c>
      <c r="L2346" t="s">
        <v>74</v>
      </c>
      <c r="M2346" t="s">
        <v>63</v>
      </c>
      <c r="N2346" t="s">
        <v>64</v>
      </c>
      <c r="O2346">
        <v>6</v>
      </c>
      <c r="P2346" t="s">
        <v>65</v>
      </c>
      <c r="R2346">
        <v>1.04</v>
      </c>
      <c r="T2346">
        <v>0.99</v>
      </c>
      <c r="V2346">
        <v>1.0900000000000001</v>
      </c>
      <c r="W2346" t="s">
        <v>66</v>
      </c>
      <c r="X2346" t="s">
        <v>67</v>
      </c>
      <c r="Y2346" t="s">
        <v>67</v>
      </c>
      <c r="Z2346" t="s">
        <v>68</v>
      </c>
      <c r="AB2346">
        <v>4</v>
      </c>
      <c r="AC2346" t="s">
        <v>61</v>
      </c>
      <c r="AJ2346" t="s">
        <v>69</v>
      </c>
      <c r="AY2346" t="s">
        <v>286</v>
      </c>
      <c r="AZ2346">
        <v>12448</v>
      </c>
      <c r="BA2346" t="s">
        <v>287</v>
      </c>
      <c r="BB2346" t="s">
        <v>288</v>
      </c>
      <c r="BC2346">
        <v>1984</v>
      </c>
      <c r="BD2346" t="s">
        <v>73</v>
      </c>
    </row>
    <row r="2347" spans="1:56" x14ac:dyDescent="0.35">
      <c r="A2347">
        <v>2028639</v>
      </c>
      <c r="B2347" t="s">
        <v>1769</v>
      </c>
      <c r="D2347" t="s">
        <v>57</v>
      </c>
      <c r="E2347" t="s">
        <v>128</v>
      </c>
      <c r="F2347" t="s">
        <v>58</v>
      </c>
      <c r="G2347" t="s">
        <v>59</v>
      </c>
      <c r="H2347" t="s">
        <v>60</v>
      </c>
      <c r="I2347" t="s">
        <v>129</v>
      </c>
      <c r="J2347" t="s">
        <v>86</v>
      </c>
      <c r="K2347" t="s">
        <v>61</v>
      </c>
      <c r="L2347" t="s">
        <v>74</v>
      </c>
      <c r="M2347" t="s">
        <v>63</v>
      </c>
      <c r="N2347" t="s">
        <v>64</v>
      </c>
      <c r="P2347" t="s">
        <v>65</v>
      </c>
      <c r="R2347">
        <v>11.7</v>
      </c>
      <c r="T2347">
        <v>10.8</v>
      </c>
      <c r="V2347">
        <v>12.6</v>
      </c>
      <c r="W2347" t="s">
        <v>66</v>
      </c>
      <c r="X2347" t="s">
        <v>67</v>
      </c>
      <c r="Y2347" t="s">
        <v>67</v>
      </c>
      <c r="Z2347" t="s">
        <v>68</v>
      </c>
      <c r="AB2347">
        <v>4</v>
      </c>
      <c r="AC2347" t="s">
        <v>61</v>
      </c>
      <c r="AJ2347" t="s">
        <v>69</v>
      </c>
      <c r="AY2347" t="s">
        <v>541</v>
      </c>
      <c r="AZ2347">
        <v>2721</v>
      </c>
      <c r="BA2347" t="s">
        <v>542</v>
      </c>
      <c r="BB2347" t="s">
        <v>543</v>
      </c>
      <c r="BC2347">
        <v>1989</v>
      </c>
      <c r="BD2347" t="s">
        <v>544</v>
      </c>
    </row>
    <row r="2348" spans="1:56" x14ac:dyDescent="0.35">
      <c r="A2348">
        <v>2032599</v>
      </c>
      <c r="B2348" t="s">
        <v>1770</v>
      </c>
      <c r="C2348" t="s">
        <v>1771</v>
      </c>
      <c r="D2348" t="s">
        <v>85</v>
      </c>
      <c r="E2348">
        <v>17</v>
      </c>
      <c r="F2348" t="s">
        <v>58</v>
      </c>
      <c r="G2348" t="s">
        <v>59</v>
      </c>
      <c r="H2348" t="s">
        <v>60</v>
      </c>
      <c r="J2348" t="s">
        <v>86</v>
      </c>
      <c r="L2348" t="s">
        <v>62</v>
      </c>
      <c r="M2348" t="s">
        <v>63</v>
      </c>
      <c r="N2348" t="s">
        <v>64</v>
      </c>
      <c r="P2348" t="s">
        <v>65</v>
      </c>
      <c r="R2348">
        <v>0.08</v>
      </c>
      <c r="T2348">
        <v>0.06</v>
      </c>
      <c r="V2348">
        <v>0.09</v>
      </c>
      <c r="W2348" t="s">
        <v>66</v>
      </c>
      <c r="X2348" t="s">
        <v>67</v>
      </c>
      <c r="Y2348" t="s">
        <v>67</v>
      </c>
      <c r="Z2348" t="s">
        <v>68</v>
      </c>
      <c r="AB2348">
        <v>4</v>
      </c>
      <c r="AC2348" t="s">
        <v>61</v>
      </c>
      <c r="AJ2348" t="s">
        <v>69</v>
      </c>
      <c r="AY2348" t="s">
        <v>154</v>
      </c>
      <c r="AZ2348">
        <v>15574</v>
      </c>
      <c r="BA2348" t="s">
        <v>155</v>
      </c>
      <c r="BB2348" t="s">
        <v>156</v>
      </c>
      <c r="BC2348">
        <v>1983</v>
      </c>
      <c r="BD2348" t="s">
        <v>90</v>
      </c>
    </row>
    <row r="2349" spans="1:56" x14ac:dyDescent="0.35">
      <c r="A2349">
        <v>2032599</v>
      </c>
      <c r="B2349" t="s">
        <v>1770</v>
      </c>
      <c r="E2349">
        <v>98</v>
      </c>
      <c r="F2349" t="s">
        <v>58</v>
      </c>
      <c r="G2349" t="s">
        <v>59</v>
      </c>
      <c r="H2349" t="s">
        <v>60</v>
      </c>
      <c r="J2349" t="s">
        <v>86</v>
      </c>
      <c r="L2349" t="s">
        <v>62</v>
      </c>
      <c r="M2349" t="s">
        <v>63</v>
      </c>
      <c r="N2349" t="s">
        <v>64</v>
      </c>
      <c r="P2349" t="s">
        <v>65</v>
      </c>
      <c r="R2349">
        <v>8.5</v>
      </c>
      <c r="T2349">
        <v>6.5</v>
      </c>
      <c r="V2349">
        <v>11.1</v>
      </c>
      <c r="W2349" t="s">
        <v>66</v>
      </c>
      <c r="X2349" t="s">
        <v>67</v>
      </c>
      <c r="Y2349" t="s">
        <v>67</v>
      </c>
      <c r="Z2349" t="s">
        <v>68</v>
      </c>
      <c r="AB2349">
        <v>4</v>
      </c>
      <c r="AC2349" t="s">
        <v>61</v>
      </c>
      <c r="AJ2349" t="s">
        <v>69</v>
      </c>
      <c r="AY2349" t="s">
        <v>96</v>
      </c>
      <c r="AZ2349">
        <v>6797</v>
      </c>
      <c r="BA2349" t="s">
        <v>97</v>
      </c>
      <c r="BB2349" t="s">
        <v>98</v>
      </c>
      <c r="BC2349">
        <v>1986</v>
      </c>
      <c r="BD2349" t="s">
        <v>90</v>
      </c>
    </row>
    <row r="2350" spans="1:56" x14ac:dyDescent="0.35">
      <c r="A2350">
        <v>2032599</v>
      </c>
      <c r="B2350" t="s">
        <v>1770</v>
      </c>
      <c r="D2350" t="s">
        <v>57</v>
      </c>
      <c r="E2350">
        <v>97</v>
      </c>
      <c r="F2350" t="s">
        <v>58</v>
      </c>
      <c r="G2350" t="s">
        <v>59</v>
      </c>
      <c r="H2350" t="s">
        <v>60</v>
      </c>
      <c r="J2350" t="s">
        <v>86</v>
      </c>
      <c r="K2350" t="s">
        <v>61</v>
      </c>
      <c r="L2350" t="s">
        <v>74</v>
      </c>
      <c r="M2350" t="s">
        <v>63</v>
      </c>
      <c r="N2350" t="s">
        <v>64</v>
      </c>
      <c r="O2350">
        <v>6</v>
      </c>
      <c r="P2350" t="s">
        <v>65</v>
      </c>
      <c r="R2350">
        <v>2.21</v>
      </c>
      <c r="T2350">
        <v>2.0699999999999998</v>
      </c>
      <c r="V2350">
        <v>2.37</v>
      </c>
      <c r="W2350" t="s">
        <v>66</v>
      </c>
      <c r="X2350" t="s">
        <v>67</v>
      </c>
      <c r="Y2350" t="s">
        <v>67</v>
      </c>
      <c r="Z2350" t="s">
        <v>68</v>
      </c>
      <c r="AB2350">
        <v>4</v>
      </c>
      <c r="AC2350" t="s">
        <v>61</v>
      </c>
      <c r="AJ2350" t="s">
        <v>69</v>
      </c>
      <c r="AY2350" t="s">
        <v>120</v>
      </c>
      <c r="AZ2350">
        <v>14097</v>
      </c>
      <c r="BA2350" t="s">
        <v>121</v>
      </c>
      <c r="BB2350" t="s">
        <v>122</v>
      </c>
      <c r="BC2350">
        <v>1989</v>
      </c>
      <c r="BD2350" t="s">
        <v>123</v>
      </c>
    </row>
    <row r="2351" spans="1:56" x14ac:dyDescent="0.35">
      <c r="A2351">
        <v>2032599</v>
      </c>
      <c r="B2351" t="s">
        <v>1770</v>
      </c>
      <c r="D2351" t="s">
        <v>57</v>
      </c>
      <c r="E2351">
        <v>97</v>
      </c>
      <c r="F2351" t="s">
        <v>58</v>
      </c>
      <c r="G2351" t="s">
        <v>59</v>
      </c>
      <c r="H2351" t="s">
        <v>60</v>
      </c>
      <c r="J2351">
        <v>30</v>
      </c>
      <c r="K2351" t="s">
        <v>61</v>
      </c>
      <c r="L2351" t="s">
        <v>74</v>
      </c>
      <c r="M2351" t="s">
        <v>63</v>
      </c>
      <c r="N2351" t="s">
        <v>64</v>
      </c>
      <c r="P2351" t="s">
        <v>65</v>
      </c>
      <c r="R2351">
        <v>1.95</v>
      </c>
      <c r="T2351">
        <v>1.87</v>
      </c>
      <c r="V2351">
        <v>2.02</v>
      </c>
      <c r="W2351" t="s">
        <v>66</v>
      </c>
      <c r="X2351" t="s">
        <v>67</v>
      </c>
      <c r="Y2351" t="s">
        <v>67</v>
      </c>
      <c r="Z2351" t="s">
        <v>68</v>
      </c>
      <c r="AB2351">
        <v>4</v>
      </c>
      <c r="AC2351" t="s">
        <v>61</v>
      </c>
      <c r="AJ2351" t="s">
        <v>69</v>
      </c>
      <c r="AY2351" t="s">
        <v>75</v>
      </c>
      <c r="AZ2351">
        <v>3217</v>
      </c>
      <c r="BA2351" t="s">
        <v>76</v>
      </c>
      <c r="BB2351" t="s">
        <v>77</v>
      </c>
      <c r="BC2351">
        <v>1990</v>
      </c>
      <c r="BD2351" t="s">
        <v>73</v>
      </c>
    </row>
    <row r="2352" spans="1:56" x14ac:dyDescent="0.35">
      <c r="A2352">
        <v>2032599</v>
      </c>
      <c r="B2352" t="s">
        <v>1770</v>
      </c>
      <c r="E2352">
        <v>17</v>
      </c>
      <c r="F2352" t="s">
        <v>58</v>
      </c>
      <c r="G2352" t="s">
        <v>59</v>
      </c>
      <c r="H2352" t="s">
        <v>60</v>
      </c>
      <c r="J2352" t="s">
        <v>86</v>
      </c>
      <c r="L2352" t="s">
        <v>62</v>
      </c>
      <c r="M2352" t="s">
        <v>63</v>
      </c>
      <c r="N2352" t="s">
        <v>64</v>
      </c>
      <c r="P2352" t="s">
        <v>65</v>
      </c>
      <c r="R2352">
        <v>7.4999999999999997E-2</v>
      </c>
      <c r="T2352">
        <v>6.3E-2</v>
      </c>
      <c r="V2352">
        <v>0.09</v>
      </c>
      <c r="W2352" t="s">
        <v>66</v>
      </c>
      <c r="X2352" t="s">
        <v>67</v>
      </c>
      <c r="Y2352" t="s">
        <v>67</v>
      </c>
      <c r="Z2352" t="s">
        <v>68</v>
      </c>
      <c r="AB2352">
        <v>4</v>
      </c>
      <c r="AC2352" t="s">
        <v>61</v>
      </c>
      <c r="AJ2352" t="s">
        <v>69</v>
      </c>
      <c r="AY2352" t="s">
        <v>96</v>
      </c>
      <c r="AZ2352">
        <v>6797</v>
      </c>
      <c r="BA2352" t="s">
        <v>97</v>
      </c>
      <c r="BB2352" t="s">
        <v>98</v>
      </c>
      <c r="BC2352">
        <v>1986</v>
      </c>
      <c r="BD2352" t="s">
        <v>90</v>
      </c>
    </row>
    <row r="2353" spans="1:56" x14ac:dyDescent="0.35">
      <c r="A2353">
        <v>2034222</v>
      </c>
      <c r="B2353" t="s">
        <v>1772</v>
      </c>
      <c r="D2353" t="s">
        <v>85</v>
      </c>
      <c r="E2353">
        <v>97</v>
      </c>
      <c r="F2353" t="s">
        <v>58</v>
      </c>
      <c r="G2353" t="s">
        <v>59</v>
      </c>
      <c r="H2353" t="s">
        <v>60</v>
      </c>
      <c r="J2353" t="s">
        <v>86</v>
      </c>
      <c r="K2353" t="s">
        <v>61</v>
      </c>
      <c r="L2353" t="s">
        <v>190</v>
      </c>
      <c r="M2353" t="s">
        <v>63</v>
      </c>
      <c r="N2353" t="s">
        <v>64</v>
      </c>
      <c r="P2353" t="s">
        <v>65</v>
      </c>
      <c r="R2353">
        <v>7.96</v>
      </c>
      <c r="T2353">
        <v>7.23</v>
      </c>
      <c r="V2353">
        <v>8.7799999999999994</v>
      </c>
      <c r="W2353" t="s">
        <v>66</v>
      </c>
      <c r="X2353" t="s">
        <v>67</v>
      </c>
      <c r="Y2353" t="s">
        <v>67</v>
      </c>
      <c r="Z2353" t="s">
        <v>68</v>
      </c>
      <c r="AB2353">
        <v>4</v>
      </c>
      <c r="AC2353" t="s">
        <v>61</v>
      </c>
      <c r="AJ2353" t="s">
        <v>69</v>
      </c>
      <c r="AY2353" t="s">
        <v>286</v>
      </c>
      <c r="AZ2353">
        <v>12448</v>
      </c>
      <c r="BA2353" t="s">
        <v>287</v>
      </c>
      <c r="BB2353" t="s">
        <v>288</v>
      </c>
      <c r="BC2353">
        <v>1984</v>
      </c>
      <c r="BD2353" t="s">
        <v>363</v>
      </c>
    </row>
    <row r="2354" spans="1:56" x14ac:dyDescent="0.35">
      <c r="A2354">
        <v>2034222</v>
      </c>
      <c r="B2354" t="s">
        <v>1772</v>
      </c>
      <c r="D2354" t="s">
        <v>57</v>
      </c>
      <c r="E2354">
        <v>97</v>
      </c>
      <c r="F2354" t="s">
        <v>58</v>
      </c>
      <c r="G2354" t="s">
        <v>59</v>
      </c>
      <c r="H2354" t="s">
        <v>60</v>
      </c>
      <c r="J2354">
        <v>30</v>
      </c>
      <c r="K2354" t="s">
        <v>61</v>
      </c>
      <c r="L2354" t="s">
        <v>74</v>
      </c>
      <c r="M2354" t="s">
        <v>63</v>
      </c>
      <c r="N2354" t="s">
        <v>64</v>
      </c>
      <c r="P2354" t="s">
        <v>65</v>
      </c>
      <c r="R2354">
        <v>4.7</v>
      </c>
      <c r="T2354">
        <v>3.8</v>
      </c>
      <c r="V2354">
        <v>5.8</v>
      </c>
      <c r="W2354" t="s">
        <v>66</v>
      </c>
      <c r="X2354" t="s">
        <v>67</v>
      </c>
      <c r="Y2354" t="s">
        <v>67</v>
      </c>
      <c r="Z2354" t="s">
        <v>68</v>
      </c>
      <c r="AB2354">
        <v>4</v>
      </c>
      <c r="AC2354" t="s">
        <v>61</v>
      </c>
      <c r="AJ2354" t="s">
        <v>69</v>
      </c>
      <c r="AY2354" t="s">
        <v>263</v>
      </c>
      <c r="AZ2354">
        <v>12858</v>
      </c>
      <c r="BA2354" t="s">
        <v>264</v>
      </c>
      <c r="BB2354" t="s">
        <v>265</v>
      </c>
      <c r="BC2354">
        <v>1986</v>
      </c>
      <c r="BD2354" t="s">
        <v>73</v>
      </c>
    </row>
    <row r="2355" spans="1:56" x14ac:dyDescent="0.35">
      <c r="A2355">
        <v>2051607</v>
      </c>
      <c r="B2355" t="s">
        <v>1773</v>
      </c>
      <c r="D2355" t="s">
        <v>85</v>
      </c>
      <c r="E2355" t="s">
        <v>810</v>
      </c>
      <c r="F2355" t="s">
        <v>58</v>
      </c>
      <c r="G2355" t="s">
        <v>59</v>
      </c>
      <c r="H2355" t="s">
        <v>60</v>
      </c>
      <c r="J2355" t="s">
        <v>86</v>
      </c>
      <c r="L2355" t="s">
        <v>62</v>
      </c>
      <c r="M2355" t="s">
        <v>63</v>
      </c>
      <c r="N2355" t="s">
        <v>64</v>
      </c>
      <c r="P2355" t="s">
        <v>65</v>
      </c>
      <c r="R2355">
        <v>4</v>
      </c>
      <c r="T2355">
        <v>3.7</v>
      </c>
      <c r="V2355">
        <v>4.4000000000000004</v>
      </c>
      <c r="W2355" t="s">
        <v>66</v>
      </c>
      <c r="X2355" t="s">
        <v>67</v>
      </c>
      <c r="Y2355" t="s">
        <v>67</v>
      </c>
      <c r="Z2355" t="s">
        <v>68</v>
      </c>
      <c r="AB2355">
        <v>4</v>
      </c>
      <c r="AC2355" t="s">
        <v>61</v>
      </c>
      <c r="AJ2355" t="s">
        <v>69</v>
      </c>
      <c r="AY2355" t="s">
        <v>1774</v>
      </c>
      <c r="AZ2355">
        <v>10120</v>
      </c>
      <c r="BA2355" t="s">
        <v>1775</v>
      </c>
      <c r="BB2355" t="s">
        <v>1776</v>
      </c>
      <c r="BC2355">
        <v>1982</v>
      </c>
      <c r="BD2355" t="s">
        <v>90</v>
      </c>
    </row>
    <row r="2356" spans="1:56" x14ac:dyDescent="0.35">
      <c r="A2356">
        <v>2051618</v>
      </c>
      <c r="B2356" t="s">
        <v>1777</v>
      </c>
      <c r="D2356" t="s">
        <v>85</v>
      </c>
      <c r="E2356" t="s">
        <v>810</v>
      </c>
      <c r="F2356" t="s">
        <v>58</v>
      </c>
      <c r="G2356" t="s">
        <v>59</v>
      </c>
      <c r="H2356" t="s">
        <v>60</v>
      </c>
      <c r="J2356" t="s">
        <v>86</v>
      </c>
      <c r="L2356" t="s">
        <v>62</v>
      </c>
      <c r="M2356" t="s">
        <v>63</v>
      </c>
      <c r="N2356" t="s">
        <v>64</v>
      </c>
      <c r="P2356" t="s">
        <v>65</v>
      </c>
      <c r="R2356">
        <v>7.8</v>
      </c>
      <c r="T2356">
        <v>6.8</v>
      </c>
      <c r="V2356">
        <v>9.1</v>
      </c>
      <c r="W2356" t="s">
        <v>66</v>
      </c>
      <c r="X2356" t="s">
        <v>67</v>
      </c>
      <c r="Y2356" t="s">
        <v>67</v>
      </c>
      <c r="Z2356" t="s">
        <v>68</v>
      </c>
      <c r="AB2356">
        <v>4</v>
      </c>
      <c r="AC2356" t="s">
        <v>61</v>
      </c>
      <c r="AJ2356" t="s">
        <v>69</v>
      </c>
      <c r="AY2356" t="s">
        <v>1774</v>
      </c>
      <c r="AZ2356">
        <v>10120</v>
      </c>
      <c r="BA2356" t="s">
        <v>1775</v>
      </c>
      <c r="BB2356" t="s">
        <v>1776</v>
      </c>
      <c r="BC2356">
        <v>1982</v>
      </c>
      <c r="BD2356" t="s">
        <v>90</v>
      </c>
    </row>
    <row r="2357" spans="1:56" x14ac:dyDescent="0.35">
      <c r="A2357">
        <v>2051798</v>
      </c>
      <c r="B2357" t="s">
        <v>1778</v>
      </c>
      <c r="D2357" t="s">
        <v>85</v>
      </c>
      <c r="E2357" t="s">
        <v>86</v>
      </c>
      <c r="F2357" t="s">
        <v>58</v>
      </c>
      <c r="G2357" t="s">
        <v>59</v>
      </c>
      <c r="H2357" t="s">
        <v>60</v>
      </c>
      <c r="J2357" t="s">
        <v>86</v>
      </c>
      <c r="L2357" t="s">
        <v>62</v>
      </c>
      <c r="M2357" t="s">
        <v>63</v>
      </c>
      <c r="N2357" t="s">
        <v>64</v>
      </c>
      <c r="O2357">
        <v>5</v>
      </c>
      <c r="P2357" t="s">
        <v>100</v>
      </c>
      <c r="T2357">
        <v>0.32</v>
      </c>
      <c r="V2357">
        <v>0.56000000000000005</v>
      </c>
      <c r="W2357" t="s">
        <v>66</v>
      </c>
      <c r="X2357" t="s">
        <v>67</v>
      </c>
      <c r="Y2357" t="s">
        <v>67</v>
      </c>
      <c r="Z2357" t="s">
        <v>68</v>
      </c>
      <c r="AB2357">
        <v>4</v>
      </c>
      <c r="AC2357" t="s">
        <v>61</v>
      </c>
      <c r="AJ2357" t="s">
        <v>69</v>
      </c>
      <c r="AY2357" t="s">
        <v>173</v>
      </c>
      <c r="AZ2357">
        <v>167113</v>
      </c>
      <c r="BA2357" t="s">
        <v>174</v>
      </c>
      <c r="BB2357" t="s">
        <v>175</v>
      </c>
      <c r="BC2357">
        <v>1974</v>
      </c>
      <c r="BD2357" t="s">
        <v>90</v>
      </c>
    </row>
    <row r="2358" spans="1:56" x14ac:dyDescent="0.35">
      <c r="A2358">
        <v>2051798</v>
      </c>
      <c r="B2358" t="s">
        <v>1778</v>
      </c>
      <c r="D2358" t="s">
        <v>85</v>
      </c>
      <c r="E2358" t="s">
        <v>86</v>
      </c>
      <c r="F2358" t="s">
        <v>58</v>
      </c>
      <c r="G2358" t="s">
        <v>59</v>
      </c>
      <c r="H2358" t="s">
        <v>60</v>
      </c>
      <c r="J2358" t="s">
        <v>86</v>
      </c>
      <c r="L2358" t="s">
        <v>62</v>
      </c>
      <c r="M2358" t="s">
        <v>63</v>
      </c>
      <c r="N2358" t="s">
        <v>64</v>
      </c>
      <c r="O2358">
        <v>6</v>
      </c>
      <c r="P2358" t="s">
        <v>100</v>
      </c>
      <c r="Q2358" t="s">
        <v>435</v>
      </c>
      <c r="R2358">
        <v>2</v>
      </c>
      <c r="W2358" t="s">
        <v>66</v>
      </c>
      <c r="X2358" t="s">
        <v>67</v>
      </c>
      <c r="Y2358" t="s">
        <v>67</v>
      </c>
      <c r="Z2358" t="s">
        <v>68</v>
      </c>
      <c r="AB2358">
        <v>4</v>
      </c>
      <c r="AC2358" t="s">
        <v>61</v>
      </c>
      <c r="AJ2358" t="s">
        <v>69</v>
      </c>
      <c r="AY2358" t="s">
        <v>173</v>
      </c>
      <c r="AZ2358">
        <v>167113</v>
      </c>
      <c r="BA2358" t="s">
        <v>174</v>
      </c>
      <c r="BB2358" t="s">
        <v>175</v>
      </c>
      <c r="BC2358">
        <v>1974</v>
      </c>
      <c r="BD2358" t="s">
        <v>90</v>
      </c>
    </row>
    <row r="2359" spans="1:56" x14ac:dyDescent="0.35">
      <c r="A2359">
        <v>2051798</v>
      </c>
      <c r="B2359" t="s">
        <v>1778</v>
      </c>
      <c r="D2359" t="s">
        <v>85</v>
      </c>
      <c r="E2359" t="s">
        <v>86</v>
      </c>
      <c r="F2359" t="s">
        <v>58</v>
      </c>
      <c r="G2359" t="s">
        <v>59</v>
      </c>
      <c r="H2359" t="s">
        <v>60</v>
      </c>
      <c r="J2359" t="s">
        <v>86</v>
      </c>
      <c r="L2359" t="s">
        <v>62</v>
      </c>
      <c r="M2359" t="s">
        <v>63</v>
      </c>
      <c r="N2359" t="s">
        <v>64</v>
      </c>
      <c r="O2359">
        <v>6</v>
      </c>
      <c r="P2359" t="s">
        <v>100</v>
      </c>
      <c r="T2359">
        <v>0.18</v>
      </c>
      <c r="V2359">
        <v>0.32</v>
      </c>
      <c r="W2359" t="s">
        <v>66</v>
      </c>
      <c r="X2359" t="s">
        <v>67</v>
      </c>
      <c r="Y2359" t="s">
        <v>67</v>
      </c>
      <c r="Z2359" t="s">
        <v>68</v>
      </c>
      <c r="AB2359">
        <v>4</v>
      </c>
      <c r="AC2359" t="s">
        <v>61</v>
      </c>
      <c r="AJ2359" t="s">
        <v>69</v>
      </c>
      <c r="AY2359" t="s">
        <v>173</v>
      </c>
      <c r="AZ2359">
        <v>167113</v>
      </c>
      <c r="BA2359" t="s">
        <v>174</v>
      </c>
      <c r="BB2359" t="s">
        <v>175</v>
      </c>
      <c r="BC2359">
        <v>1974</v>
      </c>
      <c r="BD2359" t="s">
        <v>90</v>
      </c>
    </row>
    <row r="2360" spans="1:56" x14ac:dyDescent="0.35">
      <c r="A2360">
        <v>2074671</v>
      </c>
      <c r="B2360" t="s">
        <v>1779</v>
      </c>
      <c r="D2360" t="s">
        <v>85</v>
      </c>
      <c r="E2360" t="s">
        <v>86</v>
      </c>
      <c r="F2360" t="s">
        <v>58</v>
      </c>
      <c r="G2360" t="s">
        <v>59</v>
      </c>
      <c r="H2360" t="s">
        <v>60</v>
      </c>
      <c r="J2360" t="s">
        <v>86</v>
      </c>
      <c r="L2360" t="s">
        <v>62</v>
      </c>
      <c r="M2360" t="s">
        <v>63</v>
      </c>
      <c r="N2360" t="s">
        <v>64</v>
      </c>
      <c r="P2360" t="s">
        <v>100</v>
      </c>
      <c r="R2360">
        <v>29</v>
      </c>
      <c r="W2360" t="s">
        <v>66</v>
      </c>
      <c r="X2360" t="s">
        <v>67</v>
      </c>
      <c r="Y2360" t="s">
        <v>67</v>
      </c>
      <c r="Z2360" t="s">
        <v>68</v>
      </c>
      <c r="AB2360">
        <v>4</v>
      </c>
      <c r="AC2360" t="s">
        <v>61</v>
      </c>
      <c r="AJ2360" t="s">
        <v>69</v>
      </c>
      <c r="AY2360" t="s">
        <v>412</v>
      </c>
      <c r="AZ2360">
        <v>901</v>
      </c>
      <c r="BA2360" t="s">
        <v>413</v>
      </c>
      <c r="BB2360" t="s">
        <v>414</v>
      </c>
      <c r="BC2360">
        <v>1969</v>
      </c>
      <c r="BD2360" t="s">
        <v>90</v>
      </c>
    </row>
    <row r="2361" spans="1:56" x14ac:dyDescent="0.35">
      <c r="A2361">
        <v>2104645</v>
      </c>
      <c r="B2361" t="s">
        <v>1780</v>
      </c>
      <c r="C2361" t="s">
        <v>91</v>
      </c>
      <c r="D2361" t="s">
        <v>85</v>
      </c>
      <c r="E2361">
        <v>25</v>
      </c>
      <c r="F2361" t="s">
        <v>58</v>
      </c>
      <c r="G2361" t="s">
        <v>59</v>
      </c>
      <c r="H2361" t="s">
        <v>60</v>
      </c>
      <c r="J2361" t="s">
        <v>86</v>
      </c>
      <c r="L2361" t="s">
        <v>62</v>
      </c>
      <c r="M2361" t="s">
        <v>63</v>
      </c>
      <c r="N2361" t="s">
        <v>64</v>
      </c>
      <c r="P2361" t="s">
        <v>65</v>
      </c>
      <c r="R2361">
        <v>0.25</v>
      </c>
      <c r="W2361" t="s">
        <v>66</v>
      </c>
      <c r="X2361" t="s">
        <v>67</v>
      </c>
      <c r="Y2361" t="s">
        <v>67</v>
      </c>
      <c r="Z2361" t="s">
        <v>68</v>
      </c>
      <c r="AB2361">
        <v>4</v>
      </c>
      <c r="AC2361" t="s">
        <v>61</v>
      </c>
      <c r="AJ2361" t="s">
        <v>69</v>
      </c>
      <c r="AY2361" t="s">
        <v>150</v>
      </c>
      <c r="AZ2361">
        <v>2155</v>
      </c>
      <c r="BA2361" t="s">
        <v>151</v>
      </c>
      <c r="BB2361" t="s">
        <v>152</v>
      </c>
      <c r="BC2361">
        <v>1958</v>
      </c>
      <c r="BD2361" t="s">
        <v>90</v>
      </c>
    </row>
    <row r="2362" spans="1:56" x14ac:dyDescent="0.35">
      <c r="A2362">
        <v>2104645</v>
      </c>
      <c r="B2362" t="s">
        <v>1780</v>
      </c>
      <c r="C2362" t="s">
        <v>91</v>
      </c>
      <c r="D2362" t="s">
        <v>85</v>
      </c>
      <c r="E2362">
        <v>25</v>
      </c>
      <c r="F2362" t="s">
        <v>58</v>
      </c>
      <c r="G2362" t="s">
        <v>59</v>
      </c>
      <c r="H2362" t="s">
        <v>60</v>
      </c>
      <c r="J2362" t="s">
        <v>86</v>
      </c>
      <c r="L2362" t="s">
        <v>62</v>
      </c>
      <c r="M2362" t="s">
        <v>63</v>
      </c>
      <c r="N2362" t="s">
        <v>64</v>
      </c>
      <c r="P2362" t="s">
        <v>65</v>
      </c>
      <c r="R2362">
        <v>0.2</v>
      </c>
      <c r="W2362" t="s">
        <v>66</v>
      </c>
      <c r="X2362" t="s">
        <v>67</v>
      </c>
      <c r="Y2362" t="s">
        <v>67</v>
      </c>
      <c r="Z2362" t="s">
        <v>68</v>
      </c>
      <c r="AB2362">
        <v>4</v>
      </c>
      <c r="AC2362" t="s">
        <v>61</v>
      </c>
      <c r="AJ2362" t="s">
        <v>69</v>
      </c>
      <c r="AY2362" t="s">
        <v>150</v>
      </c>
      <c r="AZ2362">
        <v>2155</v>
      </c>
      <c r="BA2362" t="s">
        <v>151</v>
      </c>
      <c r="BB2362" t="s">
        <v>152</v>
      </c>
      <c r="BC2362">
        <v>1958</v>
      </c>
      <c r="BD2362" t="s">
        <v>90</v>
      </c>
    </row>
    <row r="2363" spans="1:56" x14ac:dyDescent="0.35">
      <c r="A2363">
        <v>2104645</v>
      </c>
      <c r="B2363" t="s">
        <v>1780</v>
      </c>
      <c r="D2363" t="s">
        <v>57</v>
      </c>
      <c r="E2363">
        <v>97</v>
      </c>
      <c r="F2363" t="s">
        <v>58</v>
      </c>
      <c r="G2363" t="s">
        <v>59</v>
      </c>
      <c r="H2363" t="s">
        <v>60</v>
      </c>
      <c r="J2363" t="s">
        <v>86</v>
      </c>
      <c r="K2363" t="s">
        <v>61</v>
      </c>
      <c r="L2363" t="s">
        <v>74</v>
      </c>
      <c r="M2363" t="s">
        <v>63</v>
      </c>
      <c r="N2363" t="s">
        <v>64</v>
      </c>
      <c r="O2363">
        <v>6</v>
      </c>
      <c r="P2363" t="s">
        <v>65</v>
      </c>
      <c r="R2363">
        <v>7.9000000000000001E-2</v>
      </c>
      <c r="T2363">
        <v>6.5000000000000002E-2</v>
      </c>
      <c r="V2363">
        <v>9.5000000000000001E-2</v>
      </c>
      <c r="W2363" t="s">
        <v>66</v>
      </c>
      <c r="X2363" t="s">
        <v>67</v>
      </c>
      <c r="Y2363" t="s">
        <v>67</v>
      </c>
      <c r="Z2363" t="s">
        <v>68</v>
      </c>
      <c r="AB2363">
        <v>4</v>
      </c>
      <c r="AC2363" t="s">
        <v>61</v>
      </c>
      <c r="AJ2363" t="s">
        <v>69</v>
      </c>
      <c r="AY2363" t="s">
        <v>120</v>
      </c>
      <c r="AZ2363">
        <v>14097</v>
      </c>
      <c r="BA2363" t="s">
        <v>121</v>
      </c>
      <c r="BB2363" t="s">
        <v>122</v>
      </c>
      <c r="BC2363">
        <v>1989</v>
      </c>
      <c r="BD2363" t="s">
        <v>123</v>
      </c>
    </row>
    <row r="2364" spans="1:56" x14ac:dyDescent="0.35">
      <c r="A2364">
        <v>2104645</v>
      </c>
      <c r="B2364" t="s">
        <v>1780</v>
      </c>
      <c r="C2364" t="s">
        <v>91</v>
      </c>
      <c r="D2364" t="s">
        <v>85</v>
      </c>
      <c r="E2364">
        <v>100</v>
      </c>
      <c r="F2364" t="s">
        <v>58</v>
      </c>
      <c r="G2364" t="s">
        <v>59</v>
      </c>
      <c r="H2364" t="s">
        <v>60</v>
      </c>
      <c r="J2364" t="s">
        <v>86</v>
      </c>
      <c r="L2364" t="s">
        <v>62</v>
      </c>
      <c r="M2364" t="s">
        <v>63</v>
      </c>
      <c r="N2364" t="s">
        <v>64</v>
      </c>
      <c r="P2364" t="s">
        <v>65</v>
      </c>
      <c r="R2364">
        <v>0.25</v>
      </c>
      <c r="W2364" t="s">
        <v>66</v>
      </c>
      <c r="X2364" t="s">
        <v>67</v>
      </c>
      <c r="Y2364" t="s">
        <v>67</v>
      </c>
      <c r="Z2364" t="s">
        <v>68</v>
      </c>
      <c r="AB2364">
        <v>4</v>
      </c>
      <c r="AC2364" t="s">
        <v>61</v>
      </c>
      <c r="AJ2364" t="s">
        <v>69</v>
      </c>
      <c r="AY2364" t="s">
        <v>157</v>
      </c>
      <c r="AZ2364">
        <v>2893</v>
      </c>
      <c r="BA2364" t="s">
        <v>158</v>
      </c>
      <c r="BB2364" t="s">
        <v>159</v>
      </c>
      <c r="BC2364">
        <v>1962</v>
      </c>
      <c r="BD2364" t="s">
        <v>90</v>
      </c>
    </row>
    <row r="2365" spans="1:56" x14ac:dyDescent="0.35">
      <c r="A2365">
        <v>2104645</v>
      </c>
      <c r="B2365" t="s">
        <v>1780</v>
      </c>
      <c r="D2365" t="s">
        <v>57</v>
      </c>
      <c r="E2365">
        <v>99.5</v>
      </c>
      <c r="F2365" t="s">
        <v>58</v>
      </c>
      <c r="G2365" t="s">
        <v>59</v>
      </c>
      <c r="H2365" t="s">
        <v>60</v>
      </c>
      <c r="J2365" t="s">
        <v>86</v>
      </c>
      <c r="L2365" t="s">
        <v>74</v>
      </c>
      <c r="M2365" t="s">
        <v>63</v>
      </c>
      <c r="N2365" t="s">
        <v>64</v>
      </c>
      <c r="P2365" t="s">
        <v>65</v>
      </c>
      <c r="R2365">
        <v>0.11</v>
      </c>
      <c r="W2365" t="s">
        <v>66</v>
      </c>
      <c r="X2365" t="s">
        <v>67</v>
      </c>
      <c r="Y2365" t="s">
        <v>67</v>
      </c>
      <c r="Z2365" t="s">
        <v>68</v>
      </c>
      <c r="AB2365">
        <v>4</v>
      </c>
      <c r="AC2365" t="s">
        <v>61</v>
      </c>
      <c r="AJ2365" t="s">
        <v>69</v>
      </c>
      <c r="AY2365" t="s">
        <v>208</v>
      </c>
      <c r="AZ2365">
        <v>605</v>
      </c>
      <c r="BA2365" t="s">
        <v>209</v>
      </c>
      <c r="BB2365" t="s">
        <v>210</v>
      </c>
      <c r="BC2365">
        <v>1970</v>
      </c>
      <c r="BD2365" t="s">
        <v>90</v>
      </c>
    </row>
    <row r="2366" spans="1:56" x14ac:dyDescent="0.35">
      <c r="A2366">
        <v>2104645</v>
      </c>
      <c r="B2366" t="s">
        <v>1780</v>
      </c>
      <c r="D2366" t="s">
        <v>85</v>
      </c>
      <c r="E2366">
        <v>25</v>
      </c>
      <c r="F2366" t="s">
        <v>58</v>
      </c>
      <c r="G2366" t="s">
        <v>59</v>
      </c>
      <c r="H2366" t="s">
        <v>60</v>
      </c>
      <c r="J2366" t="s">
        <v>86</v>
      </c>
      <c r="L2366" t="s">
        <v>62</v>
      </c>
      <c r="M2366" t="s">
        <v>63</v>
      </c>
      <c r="N2366" t="s">
        <v>64</v>
      </c>
      <c r="P2366" t="s">
        <v>100</v>
      </c>
      <c r="R2366">
        <v>1.1000000000000001</v>
      </c>
      <c r="W2366" t="s">
        <v>66</v>
      </c>
      <c r="X2366" t="s">
        <v>67</v>
      </c>
      <c r="Y2366" t="s">
        <v>67</v>
      </c>
      <c r="Z2366" t="s">
        <v>68</v>
      </c>
      <c r="AB2366">
        <v>4</v>
      </c>
      <c r="AC2366" t="s">
        <v>61</v>
      </c>
      <c r="AJ2366" t="s">
        <v>69</v>
      </c>
      <c r="AY2366" t="s">
        <v>157</v>
      </c>
      <c r="AZ2366">
        <v>2893</v>
      </c>
      <c r="BA2366" t="s">
        <v>158</v>
      </c>
      <c r="BB2366" t="s">
        <v>159</v>
      </c>
      <c r="BC2366">
        <v>1962</v>
      </c>
      <c r="BD2366" t="s">
        <v>90</v>
      </c>
    </row>
    <row r="2367" spans="1:56" x14ac:dyDescent="0.35">
      <c r="A2367">
        <v>2104645</v>
      </c>
      <c r="B2367" t="s">
        <v>1780</v>
      </c>
      <c r="D2367" t="s">
        <v>57</v>
      </c>
      <c r="E2367">
        <v>97</v>
      </c>
      <c r="F2367" t="s">
        <v>58</v>
      </c>
      <c r="G2367" t="s">
        <v>59</v>
      </c>
      <c r="H2367" t="s">
        <v>60</v>
      </c>
      <c r="J2367">
        <v>30</v>
      </c>
      <c r="K2367" t="s">
        <v>61</v>
      </c>
      <c r="L2367" t="s">
        <v>74</v>
      </c>
      <c r="M2367" t="s">
        <v>63</v>
      </c>
      <c r="N2367" t="s">
        <v>64</v>
      </c>
      <c r="P2367" t="s">
        <v>65</v>
      </c>
      <c r="R2367">
        <v>7.8600000000000003E-2</v>
      </c>
      <c r="T2367">
        <v>6.4799999999999996E-2</v>
      </c>
      <c r="V2367">
        <v>9.5299999999999996E-2</v>
      </c>
      <c r="W2367" t="s">
        <v>66</v>
      </c>
      <c r="X2367" t="s">
        <v>67</v>
      </c>
      <c r="Y2367" t="s">
        <v>67</v>
      </c>
      <c r="Z2367" t="s">
        <v>68</v>
      </c>
      <c r="AB2367">
        <v>4</v>
      </c>
      <c r="AC2367" t="s">
        <v>61</v>
      </c>
      <c r="AJ2367" t="s">
        <v>69</v>
      </c>
      <c r="AY2367" t="s">
        <v>75</v>
      </c>
      <c r="AZ2367">
        <v>3217</v>
      </c>
      <c r="BA2367" t="s">
        <v>76</v>
      </c>
      <c r="BB2367" t="s">
        <v>77</v>
      </c>
      <c r="BC2367">
        <v>1990</v>
      </c>
      <c r="BD2367" t="s">
        <v>73</v>
      </c>
    </row>
    <row r="2368" spans="1:56" x14ac:dyDescent="0.35">
      <c r="A2368">
        <v>2117115</v>
      </c>
      <c r="B2368" t="s">
        <v>1781</v>
      </c>
      <c r="D2368" t="s">
        <v>57</v>
      </c>
      <c r="E2368" t="s">
        <v>128</v>
      </c>
      <c r="F2368" t="s">
        <v>58</v>
      </c>
      <c r="G2368" t="s">
        <v>59</v>
      </c>
      <c r="H2368" t="s">
        <v>60</v>
      </c>
      <c r="I2368" t="s">
        <v>129</v>
      </c>
      <c r="J2368" t="s">
        <v>86</v>
      </c>
      <c r="K2368" t="s">
        <v>61</v>
      </c>
      <c r="L2368" t="s">
        <v>74</v>
      </c>
      <c r="M2368" t="s">
        <v>63</v>
      </c>
      <c r="N2368" t="s">
        <v>64</v>
      </c>
      <c r="P2368" t="s">
        <v>65</v>
      </c>
      <c r="R2368">
        <v>35.1</v>
      </c>
      <c r="W2368" t="s">
        <v>66</v>
      </c>
      <c r="X2368" t="s">
        <v>67</v>
      </c>
      <c r="Y2368" t="s">
        <v>67</v>
      </c>
      <c r="Z2368" t="s">
        <v>68</v>
      </c>
      <c r="AB2368">
        <v>4</v>
      </c>
      <c r="AC2368" t="s">
        <v>61</v>
      </c>
      <c r="AJ2368" t="s">
        <v>69</v>
      </c>
      <c r="AY2368" t="s">
        <v>134</v>
      </c>
      <c r="AZ2368">
        <v>15031</v>
      </c>
      <c r="BA2368" t="s">
        <v>135</v>
      </c>
      <c r="BB2368" t="s">
        <v>136</v>
      </c>
      <c r="BC2368">
        <v>1995</v>
      </c>
      <c r="BD2368" t="s">
        <v>133</v>
      </c>
    </row>
    <row r="2369" spans="1:56" x14ac:dyDescent="0.35">
      <c r="A2369">
        <v>2117115</v>
      </c>
      <c r="B2369" t="s">
        <v>1781</v>
      </c>
      <c r="D2369" t="s">
        <v>57</v>
      </c>
      <c r="E2369" t="s">
        <v>128</v>
      </c>
      <c r="F2369" t="s">
        <v>58</v>
      </c>
      <c r="G2369" t="s">
        <v>59</v>
      </c>
      <c r="H2369" t="s">
        <v>60</v>
      </c>
      <c r="I2369" t="s">
        <v>129</v>
      </c>
      <c r="J2369" t="s">
        <v>86</v>
      </c>
      <c r="K2369" t="s">
        <v>61</v>
      </c>
      <c r="L2369" t="s">
        <v>74</v>
      </c>
      <c r="M2369" t="s">
        <v>63</v>
      </c>
      <c r="N2369" t="s">
        <v>64</v>
      </c>
      <c r="P2369" t="s">
        <v>65</v>
      </c>
      <c r="R2369">
        <v>35.1</v>
      </c>
      <c r="T2369">
        <v>32.200000000000003</v>
      </c>
      <c r="V2369">
        <v>38.200000000000003</v>
      </c>
      <c r="W2369" t="s">
        <v>66</v>
      </c>
      <c r="X2369" t="s">
        <v>67</v>
      </c>
      <c r="Y2369" t="s">
        <v>67</v>
      </c>
      <c r="Z2369" t="s">
        <v>68</v>
      </c>
      <c r="AB2369">
        <v>4</v>
      </c>
      <c r="AC2369" t="s">
        <v>61</v>
      </c>
      <c r="AJ2369" t="s">
        <v>69</v>
      </c>
      <c r="AY2369" t="s">
        <v>541</v>
      </c>
      <c r="AZ2369">
        <v>2721</v>
      </c>
      <c r="BA2369" t="s">
        <v>542</v>
      </c>
      <c r="BB2369" t="s">
        <v>543</v>
      </c>
      <c r="BC2369">
        <v>1989</v>
      </c>
      <c r="BD2369" t="s">
        <v>544</v>
      </c>
    </row>
    <row r="2370" spans="1:56" x14ac:dyDescent="0.35">
      <c r="A2370">
        <v>2117115</v>
      </c>
      <c r="B2370" t="s">
        <v>1781</v>
      </c>
      <c r="D2370" t="s">
        <v>57</v>
      </c>
      <c r="E2370">
        <v>99</v>
      </c>
      <c r="F2370" t="s">
        <v>58</v>
      </c>
      <c r="G2370" t="s">
        <v>59</v>
      </c>
      <c r="H2370" t="s">
        <v>60</v>
      </c>
      <c r="J2370">
        <v>30</v>
      </c>
      <c r="K2370" t="s">
        <v>61</v>
      </c>
      <c r="L2370" t="s">
        <v>74</v>
      </c>
      <c r="M2370" t="s">
        <v>63</v>
      </c>
      <c r="N2370" t="s">
        <v>64</v>
      </c>
      <c r="P2370" t="s">
        <v>65</v>
      </c>
      <c r="R2370">
        <v>35.1</v>
      </c>
      <c r="T2370">
        <v>32.200000000000003</v>
      </c>
      <c r="V2370">
        <v>38.200000000000003</v>
      </c>
      <c r="W2370" t="s">
        <v>66</v>
      </c>
      <c r="X2370" t="s">
        <v>67</v>
      </c>
      <c r="Y2370" t="s">
        <v>67</v>
      </c>
      <c r="Z2370" t="s">
        <v>68</v>
      </c>
      <c r="AB2370">
        <v>4</v>
      </c>
      <c r="AC2370" t="s">
        <v>61</v>
      </c>
      <c r="AJ2370" t="s">
        <v>69</v>
      </c>
      <c r="AY2370" t="s">
        <v>80</v>
      </c>
      <c r="AZ2370">
        <v>12859</v>
      </c>
      <c r="BA2370" t="s">
        <v>81</v>
      </c>
      <c r="BB2370" t="s">
        <v>82</v>
      </c>
      <c r="BC2370">
        <v>1988</v>
      </c>
      <c r="BD2370" t="s">
        <v>73</v>
      </c>
    </row>
    <row r="2371" spans="1:56" x14ac:dyDescent="0.35">
      <c r="A2371">
        <v>2138229</v>
      </c>
      <c r="B2371" t="s">
        <v>1782</v>
      </c>
      <c r="D2371" t="s">
        <v>57</v>
      </c>
      <c r="E2371" t="s">
        <v>86</v>
      </c>
      <c r="F2371" t="s">
        <v>58</v>
      </c>
      <c r="G2371" t="s">
        <v>59</v>
      </c>
      <c r="H2371" t="s">
        <v>60</v>
      </c>
      <c r="J2371">
        <v>31</v>
      </c>
      <c r="K2371" t="s">
        <v>61</v>
      </c>
      <c r="L2371" t="s">
        <v>74</v>
      </c>
      <c r="M2371" t="s">
        <v>63</v>
      </c>
      <c r="N2371" t="s">
        <v>64</v>
      </c>
      <c r="P2371" t="s">
        <v>65</v>
      </c>
      <c r="R2371">
        <v>1.58</v>
      </c>
      <c r="T2371">
        <v>1.42</v>
      </c>
      <c r="V2371">
        <v>1.75</v>
      </c>
      <c r="W2371" t="s">
        <v>66</v>
      </c>
      <c r="X2371" t="s">
        <v>67</v>
      </c>
      <c r="Y2371" t="s">
        <v>67</v>
      </c>
      <c r="Z2371" t="s">
        <v>68</v>
      </c>
      <c r="AB2371">
        <v>4</v>
      </c>
      <c r="AC2371" t="s">
        <v>61</v>
      </c>
      <c r="AJ2371" t="s">
        <v>69</v>
      </c>
      <c r="AY2371" t="s">
        <v>141</v>
      </c>
      <c r="AZ2371">
        <v>12447</v>
      </c>
      <c r="BA2371" t="s">
        <v>142</v>
      </c>
      <c r="BB2371" t="s">
        <v>143</v>
      </c>
      <c r="BC2371">
        <v>1985</v>
      </c>
      <c r="BD2371" t="s">
        <v>1783</v>
      </c>
    </row>
    <row r="2372" spans="1:56" x14ac:dyDescent="0.35">
      <c r="A2372">
        <v>2150472</v>
      </c>
      <c r="B2372" t="s">
        <v>1784</v>
      </c>
      <c r="D2372" t="s">
        <v>57</v>
      </c>
      <c r="E2372">
        <v>97</v>
      </c>
      <c r="F2372" t="s">
        <v>58</v>
      </c>
      <c r="G2372" t="s">
        <v>59</v>
      </c>
      <c r="H2372" t="s">
        <v>60</v>
      </c>
      <c r="J2372">
        <v>33</v>
      </c>
      <c r="K2372" t="s">
        <v>61</v>
      </c>
      <c r="L2372" t="s">
        <v>74</v>
      </c>
      <c r="M2372" t="s">
        <v>63</v>
      </c>
      <c r="N2372" t="s">
        <v>64</v>
      </c>
      <c r="P2372" t="s">
        <v>65</v>
      </c>
      <c r="R2372">
        <v>45.8</v>
      </c>
      <c r="W2372" t="s">
        <v>66</v>
      </c>
      <c r="X2372" t="s">
        <v>67</v>
      </c>
      <c r="Y2372" t="s">
        <v>67</v>
      </c>
      <c r="Z2372" t="s">
        <v>68</v>
      </c>
      <c r="AB2372">
        <v>4</v>
      </c>
      <c r="AC2372" t="s">
        <v>61</v>
      </c>
      <c r="AJ2372" t="s">
        <v>69</v>
      </c>
      <c r="AY2372" t="s">
        <v>141</v>
      </c>
      <c r="AZ2372">
        <v>12447</v>
      </c>
      <c r="BA2372" t="s">
        <v>142</v>
      </c>
      <c r="BB2372" t="s">
        <v>143</v>
      </c>
      <c r="BC2372">
        <v>1985</v>
      </c>
      <c r="BD2372" t="s">
        <v>73</v>
      </c>
    </row>
    <row r="2373" spans="1:56" x14ac:dyDescent="0.35">
      <c r="A2373">
        <v>2150472</v>
      </c>
      <c r="B2373" t="s">
        <v>1784</v>
      </c>
      <c r="D2373" t="s">
        <v>57</v>
      </c>
      <c r="E2373">
        <v>97</v>
      </c>
      <c r="F2373" t="s">
        <v>58</v>
      </c>
      <c r="G2373" t="s">
        <v>59</v>
      </c>
      <c r="H2373" t="s">
        <v>60</v>
      </c>
      <c r="J2373" t="s">
        <v>86</v>
      </c>
      <c r="K2373" t="s">
        <v>61</v>
      </c>
      <c r="L2373" t="s">
        <v>74</v>
      </c>
      <c r="M2373" t="s">
        <v>63</v>
      </c>
      <c r="N2373" t="s">
        <v>64</v>
      </c>
      <c r="P2373" t="s">
        <v>65</v>
      </c>
      <c r="R2373">
        <v>38.5</v>
      </c>
      <c r="T2373">
        <v>37.299999999999997</v>
      </c>
      <c r="V2373">
        <v>39.9</v>
      </c>
      <c r="W2373" t="s">
        <v>66</v>
      </c>
      <c r="X2373" t="s">
        <v>67</v>
      </c>
      <c r="Y2373" t="s">
        <v>67</v>
      </c>
      <c r="Z2373" t="s">
        <v>68</v>
      </c>
      <c r="AB2373">
        <v>4</v>
      </c>
      <c r="AC2373" t="s">
        <v>61</v>
      </c>
      <c r="AJ2373" t="s">
        <v>69</v>
      </c>
      <c r="AY2373" t="s">
        <v>258</v>
      </c>
      <c r="AZ2373">
        <v>10954</v>
      </c>
      <c r="BA2373" t="s">
        <v>259</v>
      </c>
      <c r="BB2373" t="s">
        <v>260</v>
      </c>
      <c r="BC2373">
        <v>1984</v>
      </c>
      <c r="BD2373" t="s">
        <v>261</v>
      </c>
    </row>
    <row r="2374" spans="1:56" x14ac:dyDescent="0.35">
      <c r="A2374">
        <v>2163793</v>
      </c>
      <c r="B2374" t="s">
        <v>1785</v>
      </c>
      <c r="E2374">
        <v>100</v>
      </c>
      <c r="F2374" t="s">
        <v>58</v>
      </c>
      <c r="G2374" t="s">
        <v>59</v>
      </c>
      <c r="H2374" t="s">
        <v>60</v>
      </c>
      <c r="J2374" t="s">
        <v>86</v>
      </c>
      <c r="L2374" t="s">
        <v>62</v>
      </c>
      <c r="M2374" t="s">
        <v>63</v>
      </c>
      <c r="N2374" t="s">
        <v>64</v>
      </c>
      <c r="P2374" t="s">
        <v>65</v>
      </c>
      <c r="R2374">
        <v>32</v>
      </c>
      <c r="T2374">
        <v>23</v>
      </c>
      <c r="V2374">
        <v>44</v>
      </c>
      <c r="W2374" t="s">
        <v>66</v>
      </c>
      <c r="X2374" t="s">
        <v>67</v>
      </c>
      <c r="Y2374" t="s">
        <v>67</v>
      </c>
      <c r="Z2374" t="s">
        <v>68</v>
      </c>
      <c r="AB2374">
        <v>4</v>
      </c>
      <c r="AC2374" t="s">
        <v>61</v>
      </c>
      <c r="AJ2374" t="s">
        <v>69</v>
      </c>
      <c r="AY2374" t="s">
        <v>96</v>
      </c>
      <c r="AZ2374">
        <v>6797</v>
      </c>
      <c r="BA2374" t="s">
        <v>97</v>
      </c>
      <c r="BB2374" t="s">
        <v>98</v>
      </c>
      <c r="BC2374">
        <v>1986</v>
      </c>
      <c r="BD2374" t="s">
        <v>90</v>
      </c>
    </row>
    <row r="2375" spans="1:56" x14ac:dyDescent="0.35">
      <c r="A2375">
        <v>2163806</v>
      </c>
      <c r="B2375" t="s">
        <v>1786</v>
      </c>
      <c r="C2375" t="s">
        <v>91</v>
      </c>
      <c r="D2375" t="s">
        <v>85</v>
      </c>
      <c r="E2375">
        <v>51</v>
      </c>
      <c r="F2375" t="s">
        <v>58</v>
      </c>
      <c r="G2375" t="s">
        <v>59</v>
      </c>
      <c r="H2375" t="s">
        <v>60</v>
      </c>
      <c r="J2375">
        <v>1</v>
      </c>
      <c r="K2375" t="s">
        <v>506</v>
      </c>
      <c r="L2375" t="s">
        <v>62</v>
      </c>
      <c r="M2375" t="s">
        <v>63</v>
      </c>
      <c r="N2375" t="s">
        <v>64</v>
      </c>
      <c r="P2375" t="s">
        <v>65</v>
      </c>
      <c r="R2375">
        <v>1210</v>
      </c>
      <c r="T2375">
        <v>977</v>
      </c>
      <c r="V2375">
        <v>1499</v>
      </c>
      <c r="W2375" t="s">
        <v>66</v>
      </c>
      <c r="X2375" t="s">
        <v>67</v>
      </c>
      <c r="Y2375" t="s">
        <v>67</v>
      </c>
      <c r="Z2375" t="s">
        <v>68</v>
      </c>
      <c r="AB2375">
        <v>4</v>
      </c>
      <c r="AC2375" t="s">
        <v>61</v>
      </c>
      <c r="AJ2375" t="s">
        <v>69</v>
      </c>
      <c r="AY2375" t="s">
        <v>727</v>
      </c>
      <c r="AZ2375">
        <v>759</v>
      </c>
      <c r="BA2375" t="s">
        <v>728</v>
      </c>
      <c r="BB2375" t="s">
        <v>729</v>
      </c>
      <c r="BC2375">
        <v>1989</v>
      </c>
      <c r="BD2375" t="s">
        <v>510</v>
      </c>
    </row>
    <row r="2376" spans="1:56" x14ac:dyDescent="0.35">
      <c r="A2376">
        <v>2163806</v>
      </c>
      <c r="B2376" t="s">
        <v>1786</v>
      </c>
      <c r="E2376">
        <v>34.799999999999997</v>
      </c>
      <c r="F2376" t="s">
        <v>58</v>
      </c>
      <c r="G2376" t="s">
        <v>59</v>
      </c>
      <c r="H2376" t="s">
        <v>60</v>
      </c>
      <c r="J2376" t="s">
        <v>86</v>
      </c>
      <c r="L2376" t="s">
        <v>62</v>
      </c>
      <c r="M2376" t="s">
        <v>63</v>
      </c>
      <c r="N2376" t="s">
        <v>64</v>
      </c>
      <c r="P2376" t="s">
        <v>201</v>
      </c>
      <c r="R2376">
        <v>13.3</v>
      </c>
      <c r="T2376">
        <v>5.0999999999999996</v>
      </c>
      <c r="V2376">
        <v>35.799999999999997</v>
      </c>
      <c r="W2376" t="s">
        <v>66</v>
      </c>
      <c r="X2376" t="s">
        <v>67</v>
      </c>
      <c r="Y2376" t="s">
        <v>67</v>
      </c>
      <c r="Z2376" t="s">
        <v>68</v>
      </c>
      <c r="AB2376">
        <v>4</v>
      </c>
      <c r="AC2376" t="s">
        <v>61</v>
      </c>
      <c r="AJ2376" t="s">
        <v>69</v>
      </c>
      <c r="AY2376" t="s">
        <v>96</v>
      </c>
      <c r="AZ2376">
        <v>6797</v>
      </c>
      <c r="BA2376" t="s">
        <v>97</v>
      </c>
      <c r="BB2376" t="s">
        <v>98</v>
      </c>
      <c r="BC2376">
        <v>1986</v>
      </c>
      <c r="BD2376" t="s">
        <v>90</v>
      </c>
    </row>
    <row r="2377" spans="1:56" x14ac:dyDescent="0.35">
      <c r="A2377">
        <v>2163806</v>
      </c>
      <c r="B2377" t="s">
        <v>1786</v>
      </c>
      <c r="D2377" t="s">
        <v>85</v>
      </c>
      <c r="E2377">
        <v>48.3</v>
      </c>
      <c r="F2377" t="s">
        <v>58</v>
      </c>
      <c r="G2377" t="s">
        <v>59</v>
      </c>
      <c r="H2377" t="s">
        <v>60</v>
      </c>
      <c r="J2377">
        <v>1</v>
      </c>
      <c r="K2377" t="s">
        <v>506</v>
      </c>
      <c r="L2377" t="s">
        <v>62</v>
      </c>
      <c r="M2377" t="s">
        <v>63</v>
      </c>
      <c r="N2377" t="s">
        <v>64</v>
      </c>
      <c r="P2377" t="s">
        <v>65</v>
      </c>
      <c r="R2377">
        <v>1290</v>
      </c>
      <c r="T2377">
        <v>902</v>
      </c>
      <c r="V2377">
        <v>1845</v>
      </c>
      <c r="W2377" t="s">
        <v>66</v>
      </c>
      <c r="X2377" t="s">
        <v>67</v>
      </c>
      <c r="Y2377" t="s">
        <v>67</v>
      </c>
      <c r="Z2377" t="s">
        <v>68</v>
      </c>
      <c r="AB2377">
        <v>4</v>
      </c>
      <c r="AC2377" t="s">
        <v>61</v>
      </c>
      <c r="AJ2377" t="s">
        <v>69</v>
      </c>
      <c r="AY2377" t="s">
        <v>727</v>
      </c>
      <c r="AZ2377">
        <v>759</v>
      </c>
      <c r="BA2377" t="s">
        <v>728</v>
      </c>
      <c r="BB2377" t="s">
        <v>729</v>
      </c>
      <c r="BC2377">
        <v>1989</v>
      </c>
      <c r="BD2377" t="s">
        <v>510</v>
      </c>
    </row>
    <row r="2378" spans="1:56" x14ac:dyDescent="0.35">
      <c r="A2378">
        <v>2163806</v>
      </c>
      <c r="B2378" t="s">
        <v>1786</v>
      </c>
      <c r="D2378" t="s">
        <v>85</v>
      </c>
      <c r="E2378">
        <v>48.3</v>
      </c>
      <c r="F2378" t="s">
        <v>58</v>
      </c>
      <c r="G2378" t="s">
        <v>59</v>
      </c>
      <c r="H2378" t="s">
        <v>60</v>
      </c>
      <c r="J2378">
        <v>1</v>
      </c>
      <c r="K2378" t="s">
        <v>506</v>
      </c>
      <c r="L2378" t="s">
        <v>62</v>
      </c>
      <c r="M2378" t="s">
        <v>63</v>
      </c>
      <c r="N2378" t="s">
        <v>64</v>
      </c>
      <c r="P2378" t="s">
        <v>65</v>
      </c>
      <c r="R2378">
        <v>550</v>
      </c>
      <c r="T2378">
        <v>488</v>
      </c>
      <c r="V2378">
        <v>620</v>
      </c>
      <c r="W2378" t="s">
        <v>66</v>
      </c>
      <c r="X2378" t="s">
        <v>67</v>
      </c>
      <c r="Y2378" t="s">
        <v>67</v>
      </c>
      <c r="Z2378" t="s">
        <v>68</v>
      </c>
      <c r="AB2378">
        <v>4</v>
      </c>
      <c r="AC2378" t="s">
        <v>61</v>
      </c>
      <c r="AJ2378" t="s">
        <v>69</v>
      </c>
      <c r="AY2378" t="s">
        <v>727</v>
      </c>
      <c r="AZ2378">
        <v>759</v>
      </c>
      <c r="BA2378" t="s">
        <v>728</v>
      </c>
      <c r="BB2378" t="s">
        <v>729</v>
      </c>
      <c r="BC2378">
        <v>1989</v>
      </c>
      <c r="BD2378" t="s">
        <v>510</v>
      </c>
    </row>
    <row r="2379" spans="1:56" x14ac:dyDescent="0.35">
      <c r="A2379">
        <v>2163806</v>
      </c>
      <c r="B2379" t="s">
        <v>1786</v>
      </c>
      <c r="D2379" t="s">
        <v>85</v>
      </c>
      <c r="E2379">
        <v>35.19</v>
      </c>
      <c r="F2379" t="s">
        <v>58</v>
      </c>
      <c r="G2379" t="s">
        <v>59</v>
      </c>
      <c r="H2379" t="s">
        <v>60</v>
      </c>
      <c r="J2379">
        <v>1</v>
      </c>
      <c r="K2379" t="s">
        <v>506</v>
      </c>
      <c r="L2379" t="s">
        <v>62</v>
      </c>
      <c r="M2379" t="s">
        <v>63</v>
      </c>
      <c r="N2379" t="s">
        <v>64</v>
      </c>
      <c r="P2379" t="s">
        <v>65</v>
      </c>
      <c r="R2379">
        <v>448</v>
      </c>
      <c r="T2379">
        <v>377</v>
      </c>
      <c r="V2379">
        <v>532</v>
      </c>
      <c r="W2379" t="s">
        <v>66</v>
      </c>
      <c r="X2379" t="s">
        <v>67</v>
      </c>
      <c r="Y2379" t="s">
        <v>67</v>
      </c>
      <c r="Z2379" t="s">
        <v>68</v>
      </c>
      <c r="AB2379">
        <v>4</v>
      </c>
      <c r="AC2379" t="s">
        <v>61</v>
      </c>
      <c r="AJ2379" t="s">
        <v>69</v>
      </c>
      <c r="AY2379" t="s">
        <v>727</v>
      </c>
      <c r="AZ2379">
        <v>759</v>
      </c>
      <c r="BA2379" t="s">
        <v>728</v>
      </c>
      <c r="BB2379" t="s">
        <v>729</v>
      </c>
      <c r="BC2379">
        <v>1989</v>
      </c>
      <c r="BD2379" t="s">
        <v>510</v>
      </c>
    </row>
    <row r="2380" spans="1:56" x14ac:dyDescent="0.35">
      <c r="A2380">
        <v>2164172</v>
      </c>
      <c r="B2380" t="s">
        <v>1787</v>
      </c>
      <c r="E2380">
        <v>97.8</v>
      </c>
      <c r="F2380" t="s">
        <v>58</v>
      </c>
      <c r="G2380" t="s">
        <v>59</v>
      </c>
      <c r="H2380" t="s">
        <v>60</v>
      </c>
      <c r="J2380" t="s">
        <v>86</v>
      </c>
      <c r="L2380" t="s">
        <v>62</v>
      </c>
      <c r="M2380" t="s">
        <v>63</v>
      </c>
      <c r="N2380" t="s">
        <v>64</v>
      </c>
      <c r="P2380" t="s">
        <v>65</v>
      </c>
      <c r="R2380">
        <v>65</v>
      </c>
      <c r="T2380">
        <v>49</v>
      </c>
      <c r="V2380">
        <v>95</v>
      </c>
      <c r="W2380" t="s">
        <v>66</v>
      </c>
      <c r="X2380" t="s">
        <v>67</v>
      </c>
      <c r="Y2380" t="s">
        <v>67</v>
      </c>
      <c r="Z2380" t="s">
        <v>68</v>
      </c>
      <c r="AB2380">
        <v>4</v>
      </c>
      <c r="AC2380" t="s">
        <v>61</v>
      </c>
      <c r="AJ2380" t="s">
        <v>69</v>
      </c>
      <c r="AY2380" t="s">
        <v>116</v>
      </c>
      <c r="AZ2380">
        <v>344</v>
      </c>
      <c r="BA2380" t="s">
        <v>117</v>
      </c>
      <c r="BB2380" t="s">
        <v>118</v>
      </c>
      <c r="BC2380">
        <v>1992</v>
      </c>
      <c r="BD2380" t="s">
        <v>90</v>
      </c>
    </row>
    <row r="2381" spans="1:56" x14ac:dyDescent="0.35">
      <c r="A2381">
        <v>2176627</v>
      </c>
      <c r="B2381" t="s">
        <v>1788</v>
      </c>
      <c r="D2381" t="s">
        <v>57</v>
      </c>
      <c r="E2381" t="s">
        <v>128</v>
      </c>
      <c r="F2381" t="s">
        <v>58</v>
      </c>
      <c r="G2381" t="s">
        <v>59</v>
      </c>
      <c r="H2381" t="s">
        <v>60</v>
      </c>
      <c r="I2381" t="s">
        <v>129</v>
      </c>
      <c r="J2381" t="s">
        <v>86</v>
      </c>
      <c r="K2381" t="s">
        <v>61</v>
      </c>
      <c r="L2381" t="s">
        <v>74</v>
      </c>
      <c r="M2381" t="s">
        <v>63</v>
      </c>
      <c r="N2381" t="s">
        <v>64</v>
      </c>
      <c r="P2381" t="s">
        <v>65</v>
      </c>
      <c r="R2381">
        <v>0.46600000000000003</v>
      </c>
      <c r="W2381" t="s">
        <v>66</v>
      </c>
      <c r="X2381" t="s">
        <v>67</v>
      </c>
      <c r="Y2381" t="s">
        <v>67</v>
      </c>
      <c r="Z2381" t="s">
        <v>68</v>
      </c>
      <c r="AB2381">
        <v>4</v>
      </c>
      <c r="AC2381" t="s">
        <v>61</v>
      </c>
      <c r="AJ2381" t="s">
        <v>69</v>
      </c>
      <c r="AY2381" t="s">
        <v>134</v>
      </c>
      <c r="AZ2381">
        <v>15031</v>
      </c>
      <c r="BA2381" t="s">
        <v>135</v>
      </c>
      <c r="BB2381" t="s">
        <v>136</v>
      </c>
      <c r="BC2381">
        <v>1995</v>
      </c>
      <c r="BD2381" t="s">
        <v>133</v>
      </c>
    </row>
    <row r="2382" spans="1:56" x14ac:dyDescent="0.35">
      <c r="A2382">
        <v>2176627</v>
      </c>
      <c r="B2382" t="s">
        <v>1788</v>
      </c>
      <c r="D2382" t="s">
        <v>57</v>
      </c>
      <c r="E2382">
        <v>98</v>
      </c>
      <c r="F2382" t="s">
        <v>58</v>
      </c>
      <c r="G2382" t="s">
        <v>59</v>
      </c>
      <c r="H2382" t="s">
        <v>60</v>
      </c>
      <c r="J2382">
        <v>29</v>
      </c>
      <c r="K2382" t="s">
        <v>61</v>
      </c>
      <c r="L2382" t="s">
        <v>74</v>
      </c>
      <c r="M2382" t="s">
        <v>63</v>
      </c>
      <c r="N2382" t="s">
        <v>64</v>
      </c>
      <c r="P2382" t="s">
        <v>65</v>
      </c>
      <c r="R2382">
        <v>0.47</v>
      </c>
      <c r="T2382">
        <v>0.44</v>
      </c>
      <c r="V2382">
        <v>0.5</v>
      </c>
      <c r="W2382" t="s">
        <v>66</v>
      </c>
      <c r="X2382" t="s">
        <v>67</v>
      </c>
      <c r="Y2382" t="s">
        <v>67</v>
      </c>
      <c r="Z2382" t="s">
        <v>68</v>
      </c>
      <c r="AB2382">
        <v>4</v>
      </c>
      <c r="AC2382" t="s">
        <v>61</v>
      </c>
      <c r="AJ2382" t="s">
        <v>69</v>
      </c>
      <c r="AY2382" t="s">
        <v>263</v>
      </c>
      <c r="AZ2382">
        <v>12858</v>
      </c>
      <c r="BA2382" t="s">
        <v>264</v>
      </c>
      <c r="BB2382" t="s">
        <v>265</v>
      </c>
      <c r="BC2382">
        <v>1986</v>
      </c>
      <c r="BD2382" t="s">
        <v>73</v>
      </c>
    </row>
    <row r="2383" spans="1:56" x14ac:dyDescent="0.35">
      <c r="A2383">
        <v>2198585</v>
      </c>
      <c r="B2383" t="s">
        <v>1789</v>
      </c>
      <c r="D2383" t="s">
        <v>85</v>
      </c>
      <c r="E2383" t="s">
        <v>86</v>
      </c>
      <c r="F2383" t="s">
        <v>58</v>
      </c>
      <c r="G2383" t="s">
        <v>59</v>
      </c>
      <c r="H2383" t="s">
        <v>60</v>
      </c>
      <c r="J2383" t="s">
        <v>86</v>
      </c>
      <c r="L2383" t="s">
        <v>62</v>
      </c>
      <c r="M2383" t="s">
        <v>63</v>
      </c>
      <c r="N2383" t="s">
        <v>64</v>
      </c>
      <c r="O2383">
        <v>6</v>
      </c>
      <c r="P2383" t="s">
        <v>100</v>
      </c>
      <c r="T2383">
        <v>3.6</v>
      </c>
      <c r="V2383">
        <v>6.4</v>
      </c>
      <c r="W2383" t="s">
        <v>66</v>
      </c>
      <c r="X2383" t="s">
        <v>67</v>
      </c>
      <c r="Y2383" t="s">
        <v>67</v>
      </c>
      <c r="Z2383" t="s">
        <v>68</v>
      </c>
      <c r="AB2383">
        <v>4</v>
      </c>
      <c r="AC2383" t="s">
        <v>61</v>
      </c>
      <c r="AJ2383" t="s">
        <v>69</v>
      </c>
      <c r="AY2383" t="s">
        <v>173</v>
      </c>
      <c r="AZ2383">
        <v>167113</v>
      </c>
      <c r="BA2383" t="s">
        <v>174</v>
      </c>
      <c r="BB2383" t="s">
        <v>175</v>
      </c>
      <c r="BC2383">
        <v>1974</v>
      </c>
      <c r="BD2383" t="s">
        <v>90</v>
      </c>
    </row>
    <row r="2384" spans="1:56" x14ac:dyDescent="0.35">
      <c r="A2384">
        <v>2212671</v>
      </c>
      <c r="B2384" t="s">
        <v>1790</v>
      </c>
      <c r="E2384">
        <v>99</v>
      </c>
      <c r="F2384" t="s">
        <v>58</v>
      </c>
      <c r="G2384" t="s">
        <v>59</v>
      </c>
      <c r="H2384" t="s">
        <v>60</v>
      </c>
      <c r="J2384" t="s">
        <v>86</v>
      </c>
      <c r="L2384" t="s">
        <v>62</v>
      </c>
      <c r="M2384" t="s">
        <v>63</v>
      </c>
      <c r="N2384" t="s">
        <v>64</v>
      </c>
      <c r="P2384" t="s">
        <v>65</v>
      </c>
      <c r="R2384">
        <v>27</v>
      </c>
      <c r="T2384">
        <v>21</v>
      </c>
      <c r="V2384">
        <v>32</v>
      </c>
      <c r="W2384" t="s">
        <v>66</v>
      </c>
      <c r="X2384" t="s">
        <v>67</v>
      </c>
      <c r="Y2384" t="s">
        <v>67</v>
      </c>
      <c r="Z2384" t="s">
        <v>68</v>
      </c>
      <c r="AB2384">
        <v>4</v>
      </c>
      <c r="AC2384" t="s">
        <v>61</v>
      </c>
      <c r="AJ2384" t="s">
        <v>69</v>
      </c>
      <c r="AY2384" t="s">
        <v>116</v>
      </c>
      <c r="AZ2384">
        <v>344</v>
      </c>
      <c r="BA2384" t="s">
        <v>117</v>
      </c>
      <c r="BB2384" t="s">
        <v>118</v>
      </c>
      <c r="BC2384">
        <v>1992</v>
      </c>
      <c r="BD2384" t="s">
        <v>90</v>
      </c>
    </row>
    <row r="2385" spans="1:56" x14ac:dyDescent="0.35">
      <c r="A2385">
        <v>2216515</v>
      </c>
      <c r="B2385" t="s">
        <v>1791</v>
      </c>
      <c r="D2385" t="s">
        <v>57</v>
      </c>
      <c r="E2385">
        <v>99</v>
      </c>
      <c r="F2385" t="s">
        <v>58</v>
      </c>
      <c r="G2385" t="s">
        <v>59</v>
      </c>
      <c r="H2385" t="s">
        <v>60</v>
      </c>
      <c r="J2385">
        <v>30</v>
      </c>
      <c r="K2385" t="s">
        <v>61</v>
      </c>
      <c r="L2385" t="s">
        <v>74</v>
      </c>
      <c r="M2385" t="s">
        <v>63</v>
      </c>
      <c r="N2385" t="s">
        <v>64</v>
      </c>
      <c r="P2385" t="s">
        <v>65</v>
      </c>
      <c r="R2385">
        <v>18.899999999999999</v>
      </c>
      <c r="W2385" t="s">
        <v>66</v>
      </c>
      <c r="X2385" t="s">
        <v>67</v>
      </c>
      <c r="Y2385" t="s">
        <v>67</v>
      </c>
      <c r="Z2385" t="s">
        <v>68</v>
      </c>
      <c r="AB2385">
        <v>4</v>
      </c>
      <c r="AC2385" t="s">
        <v>61</v>
      </c>
      <c r="AJ2385" t="s">
        <v>69</v>
      </c>
      <c r="AY2385" t="s">
        <v>80</v>
      </c>
      <c r="AZ2385">
        <v>12859</v>
      </c>
      <c r="BA2385" t="s">
        <v>81</v>
      </c>
      <c r="BB2385" t="s">
        <v>82</v>
      </c>
      <c r="BC2385">
        <v>1988</v>
      </c>
      <c r="BD2385" t="s">
        <v>73</v>
      </c>
    </row>
    <row r="2386" spans="1:56" x14ac:dyDescent="0.35">
      <c r="A2386">
        <v>2232088</v>
      </c>
      <c r="B2386" t="s">
        <v>1792</v>
      </c>
      <c r="D2386" t="s">
        <v>57</v>
      </c>
      <c r="E2386">
        <v>99</v>
      </c>
      <c r="F2386" t="s">
        <v>58</v>
      </c>
      <c r="G2386" t="s">
        <v>59</v>
      </c>
      <c r="H2386" t="s">
        <v>60</v>
      </c>
      <c r="J2386">
        <v>33</v>
      </c>
      <c r="K2386" t="s">
        <v>61</v>
      </c>
      <c r="L2386" t="s">
        <v>74</v>
      </c>
      <c r="M2386" t="s">
        <v>63</v>
      </c>
      <c r="N2386" t="s">
        <v>64</v>
      </c>
      <c r="P2386" t="s">
        <v>65</v>
      </c>
      <c r="R2386">
        <v>41.8</v>
      </c>
      <c r="T2386">
        <v>38.4</v>
      </c>
      <c r="V2386">
        <v>45.6</v>
      </c>
      <c r="W2386" t="s">
        <v>66</v>
      </c>
      <c r="X2386" t="s">
        <v>67</v>
      </c>
      <c r="Y2386" t="s">
        <v>67</v>
      </c>
      <c r="Z2386" t="s">
        <v>68</v>
      </c>
      <c r="AB2386">
        <v>4</v>
      </c>
      <c r="AC2386" t="s">
        <v>61</v>
      </c>
      <c r="AJ2386" t="s">
        <v>69</v>
      </c>
      <c r="AY2386" t="s">
        <v>286</v>
      </c>
      <c r="AZ2386">
        <v>12448</v>
      </c>
      <c r="BA2386" t="s">
        <v>287</v>
      </c>
      <c r="BB2386" t="s">
        <v>288</v>
      </c>
      <c r="BC2386">
        <v>1984</v>
      </c>
      <c r="BD2386" t="s">
        <v>73</v>
      </c>
    </row>
    <row r="2387" spans="1:56" x14ac:dyDescent="0.35">
      <c r="A2387">
        <v>2234164</v>
      </c>
      <c r="B2387" t="s">
        <v>1793</v>
      </c>
      <c r="D2387" t="s">
        <v>57</v>
      </c>
      <c r="E2387" t="s">
        <v>79</v>
      </c>
      <c r="F2387" t="s">
        <v>58</v>
      </c>
      <c r="G2387" t="s">
        <v>59</v>
      </c>
      <c r="H2387" t="s">
        <v>60</v>
      </c>
      <c r="J2387">
        <v>32</v>
      </c>
      <c r="K2387" t="s">
        <v>61</v>
      </c>
      <c r="L2387" t="s">
        <v>74</v>
      </c>
      <c r="M2387" t="s">
        <v>63</v>
      </c>
      <c r="N2387" t="s">
        <v>64</v>
      </c>
      <c r="P2387" t="s">
        <v>65</v>
      </c>
      <c r="R2387">
        <v>11.7</v>
      </c>
      <c r="W2387" t="s">
        <v>66</v>
      </c>
      <c r="X2387" t="s">
        <v>67</v>
      </c>
      <c r="Y2387" t="s">
        <v>67</v>
      </c>
      <c r="Z2387" t="s">
        <v>68</v>
      </c>
      <c r="AB2387">
        <v>4</v>
      </c>
      <c r="AC2387" t="s">
        <v>61</v>
      </c>
      <c r="AJ2387" t="s">
        <v>69</v>
      </c>
      <c r="AY2387" t="s">
        <v>286</v>
      </c>
      <c r="AZ2387">
        <v>12448</v>
      </c>
      <c r="BA2387" t="s">
        <v>287</v>
      </c>
      <c r="BB2387" t="s">
        <v>288</v>
      </c>
      <c r="BC2387">
        <v>1984</v>
      </c>
      <c r="BD2387" t="s">
        <v>73</v>
      </c>
    </row>
    <row r="2388" spans="1:56" x14ac:dyDescent="0.35">
      <c r="A2388">
        <v>2235258</v>
      </c>
      <c r="B2388" t="s">
        <v>1794</v>
      </c>
      <c r="E2388">
        <v>98.1</v>
      </c>
      <c r="F2388" t="s">
        <v>58</v>
      </c>
      <c r="G2388" t="s">
        <v>59</v>
      </c>
      <c r="H2388" t="s">
        <v>60</v>
      </c>
      <c r="J2388" t="s">
        <v>86</v>
      </c>
      <c r="L2388" t="s">
        <v>62</v>
      </c>
      <c r="M2388" t="s">
        <v>63</v>
      </c>
      <c r="N2388" t="s">
        <v>64</v>
      </c>
      <c r="P2388" t="s">
        <v>201</v>
      </c>
      <c r="Q2388" t="s">
        <v>153</v>
      </c>
      <c r="R2388">
        <v>10</v>
      </c>
      <c r="W2388" t="s">
        <v>66</v>
      </c>
      <c r="X2388" t="s">
        <v>67</v>
      </c>
      <c r="Y2388" t="s">
        <v>67</v>
      </c>
      <c r="Z2388" t="s">
        <v>68</v>
      </c>
      <c r="AB2388">
        <v>4</v>
      </c>
      <c r="AC2388" t="s">
        <v>61</v>
      </c>
      <c r="AJ2388" t="s">
        <v>69</v>
      </c>
      <c r="AY2388" t="s">
        <v>96</v>
      </c>
      <c r="AZ2388">
        <v>6797</v>
      </c>
      <c r="BA2388" t="s">
        <v>97</v>
      </c>
      <c r="BB2388" t="s">
        <v>98</v>
      </c>
      <c r="BC2388">
        <v>1986</v>
      </c>
      <c r="BD2388" t="s">
        <v>90</v>
      </c>
    </row>
    <row r="2389" spans="1:56" x14ac:dyDescent="0.35">
      <c r="A2389">
        <v>2243278</v>
      </c>
      <c r="B2389" t="s">
        <v>1795</v>
      </c>
      <c r="D2389" t="s">
        <v>57</v>
      </c>
      <c r="E2389" t="s">
        <v>1796</v>
      </c>
      <c r="F2389" t="s">
        <v>58</v>
      </c>
      <c r="G2389" t="s">
        <v>59</v>
      </c>
      <c r="H2389" t="s">
        <v>60</v>
      </c>
      <c r="J2389">
        <v>26</v>
      </c>
      <c r="K2389" t="s">
        <v>61</v>
      </c>
      <c r="L2389" t="s">
        <v>74</v>
      </c>
      <c r="M2389" t="s">
        <v>63</v>
      </c>
      <c r="N2389" t="s">
        <v>64</v>
      </c>
      <c r="O2389">
        <v>6</v>
      </c>
      <c r="P2389" t="s">
        <v>65</v>
      </c>
      <c r="R2389">
        <v>4.91</v>
      </c>
      <c r="T2389">
        <v>4.54</v>
      </c>
      <c r="V2389">
        <v>5.31</v>
      </c>
      <c r="W2389" t="s">
        <v>66</v>
      </c>
      <c r="X2389" t="s">
        <v>67</v>
      </c>
      <c r="Y2389" t="s">
        <v>67</v>
      </c>
      <c r="Z2389" t="s">
        <v>68</v>
      </c>
      <c r="AB2389">
        <v>4</v>
      </c>
      <c r="AC2389" t="s">
        <v>61</v>
      </c>
      <c r="AJ2389" t="s">
        <v>69</v>
      </c>
      <c r="AY2389" t="s">
        <v>286</v>
      </c>
      <c r="AZ2389">
        <v>12448</v>
      </c>
      <c r="BA2389" t="s">
        <v>287</v>
      </c>
      <c r="BB2389" t="s">
        <v>288</v>
      </c>
      <c r="BC2389">
        <v>1984</v>
      </c>
      <c r="BD2389" t="s">
        <v>73</v>
      </c>
    </row>
    <row r="2390" spans="1:56" x14ac:dyDescent="0.35">
      <c r="A2390">
        <v>2243278</v>
      </c>
      <c r="B2390" t="s">
        <v>1795</v>
      </c>
      <c r="D2390" t="s">
        <v>57</v>
      </c>
      <c r="E2390" t="s">
        <v>1796</v>
      </c>
      <c r="F2390" t="s">
        <v>58</v>
      </c>
      <c r="G2390" t="s">
        <v>59</v>
      </c>
      <c r="H2390" t="s">
        <v>60</v>
      </c>
      <c r="J2390">
        <v>32</v>
      </c>
      <c r="K2390" t="s">
        <v>61</v>
      </c>
      <c r="L2390" t="s">
        <v>74</v>
      </c>
      <c r="M2390" t="s">
        <v>63</v>
      </c>
      <c r="N2390" t="s">
        <v>64</v>
      </c>
      <c r="O2390">
        <v>6</v>
      </c>
      <c r="P2390" t="s">
        <v>65</v>
      </c>
      <c r="R2390">
        <v>5.61</v>
      </c>
      <c r="T2390">
        <v>5.45</v>
      </c>
      <c r="V2390">
        <v>5.77</v>
      </c>
      <c r="W2390" t="s">
        <v>66</v>
      </c>
      <c r="X2390" t="s">
        <v>67</v>
      </c>
      <c r="Y2390" t="s">
        <v>67</v>
      </c>
      <c r="Z2390" t="s">
        <v>68</v>
      </c>
      <c r="AB2390">
        <v>4</v>
      </c>
      <c r="AC2390" t="s">
        <v>61</v>
      </c>
      <c r="AJ2390" t="s">
        <v>69</v>
      </c>
      <c r="AY2390" t="s">
        <v>286</v>
      </c>
      <c r="AZ2390">
        <v>12448</v>
      </c>
      <c r="BA2390" t="s">
        <v>287</v>
      </c>
      <c r="BB2390" t="s">
        <v>288</v>
      </c>
      <c r="BC2390">
        <v>1984</v>
      </c>
      <c r="BD2390" t="s">
        <v>73</v>
      </c>
    </row>
    <row r="2391" spans="1:56" x14ac:dyDescent="0.35">
      <c r="A2391">
        <v>2243278</v>
      </c>
      <c r="B2391" t="s">
        <v>1795</v>
      </c>
      <c r="E2391" t="s">
        <v>86</v>
      </c>
      <c r="F2391" t="s">
        <v>58</v>
      </c>
      <c r="G2391" t="s">
        <v>59</v>
      </c>
      <c r="H2391" t="s">
        <v>60</v>
      </c>
      <c r="I2391" t="s">
        <v>129</v>
      </c>
      <c r="J2391" t="s">
        <v>86</v>
      </c>
      <c r="K2391" t="s">
        <v>61</v>
      </c>
      <c r="L2391" t="s">
        <v>74</v>
      </c>
      <c r="M2391" t="s">
        <v>63</v>
      </c>
      <c r="N2391" t="s">
        <v>64</v>
      </c>
      <c r="P2391" t="s">
        <v>100</v>
      </c>
      <c r="R2391">
        <v>6.9</v>
      </c>
      <c r="T2391">
        <v>6.66</v>
      </c>
      <c r="V2391">
        <v>7.14</v>
      </c>
      <c r="W2391" t="s">
        <v>66</v>
      </c>
      <c r="X2391" t="s">
        <v>67</v>
      </c>
      <c r="Y2391" t="s">
        <v>67</v>
      </c>
      <c r="Z2391" t="s">
        <v>68</v>
      </c>
      <c r="AB2391">
        <v>4</v>
      </c>
      <c r="AC2391" t="s">
        <v>61</v>
      </c>
      <c r="AJ2391" t="s">
        <v>69</v>
      </c>
      <c r="AY2391" t="s">
        <v>422</v>
      </c>
      <c r="AZ2391">
        <v>14128</v>
      </c>
      <c r="BA2391" t="s">
        <v>423</v>
      </c>
      <c r="BB2391" t="s">
        <v>424</v>
      </c>
      <c r="BC2391">
        <v>1985</v>
      </c>
      <c r="BD2391" t="s">
        <v>833</v>
      </c>
    </row>
    <row r="2392" spans="1:56" x14ac:dyDescent="0.35">
      <c r="A2392">
        <v>2245387</v>
      </c>
      <c r="B2392" t="s">
        <v>1797</v>
      </c>
      <c r="E2392">
        <v>100</v>
      </c>
      <c r="F2392" t="s">
        <v>58</v>
      </c>
      <c r="G2392" t="s">
        <v>59</v>
      </c>
      <c r="H2392" t="s">
        <v>60</v>
      </c>
      <c r="J2392" t="s">
        <v>86</v>
      </c>
      <c r="L2392" t="s">
        <v>62</v>
      </c>
      <c r="M2392" t="s">
        <v>63</v>
      </c>
      <c r="N2392" t="s">
        <v>64</v>
      </c>
      <c r="P2392" t="s">
        <v>65</v>
      </c>
      <c r="R2392">
        <v>6.4</v>
      </c>
      <c r="T2392">
        <v>4.8899999999999997</v>
      </c>
      <c r="V2392">
        <v>8.3800000000000008</v>
      </c>
      <c r="W2392" t="s">
        <v>66</v>
      </c>
      <c r="X2392" t="s">
        <v>67</v>
      </c>
      <c r="Y2392" t="s">
        <v>67</v>
      </c>
      <c r="Z2392" t="s">
        <v>68</v>
      </c>
      <c r="AB2392">
        <v>4</v>
      </c>
      <c r="AC2392" t="s">
        <v>61</v>
      </c>
      <c r="AJ2392" t="s">
        <v>69</v>
      </c>
      <c r="AY2392" t="s">
        <v>96</v>
      </c>
      <c r="AZ2392">
        <v>6797</v>
      </c>
      <c r="BA2392" t="s">
        <v>97</v>
      </c>
      <c r="BB2392" t="s">
        <v>98</v>
      </c>
      <c r="BC2392">
        <v>1986</v>
      </c>
      <c r="BD2392" t="s">
        <v>90</v>
      </c>
    </row>
    <row r="2393" spans="1:56" x14ac:dyDescent="0.35">
      <c r="A2393">
        <v>2310170</v>
      </c>
      <c r="B2393" t="s">
        <v>1798</v>
      </c>
      <c r="E2393">
        <v>25</v>
      </c>
      <c r="F2393" t="s">
        <v>58</v>
      </c>
      <c r="G2393" t="s">
        <v>59</v>
      </c>
      <c r="H2393" t="s">
        <v>60</v>
      </c>
      <c r="J2393" t="s">
        <v>86</v>
      </c>
      <c r="L2393" t="s">
        <v>62</v>
      </c>
      <c r="M2393" t="s">
        <v>63</v>
      </c>
      <c r="N2393" t="s">
        <v>64</v>
      </c>
      <c r="P2393" t="s">
        <v>65</v>
      </c>
      <c r="R2393">
        <v>0.32</v>
      </c>
      <c r="T2393">
        <v>0.19</v>
      </c>
      <c r="V2393">
        <v>0.54</v>
      </c>
      <c r="W2393" t="s">
        <v>66</v>
      </c>
      <c r="X2393" t="s">
        <v>67</v>
      </c>
      <c r="Y2393" t="s">
        <v>67</v>
      </c>
      <c r="Z2393" t="s">
        <v>68</v>
      </c>
      <c r="AB2393">
        <v>4</v>
      </c>
      <c r="AC2393" t="s">
        <v>61</v>
      </c>
      <c r="AJ2393" t="s">
        <v>69</v>
      </c>
      <c r="AY2393" t="s">
        <v>96</v>
      </c>
      <c r="AZ2393">
        <v>6797</v>
      </c>
      <c r="BA2393" t="s">
        <v>97</v>
      </c>
      <c r="BB2393" t="s">
        <v>98</v>
      </c>
      <c r="BC2393">
        <v>1986</v>
      </c>
      <c r="BD2393" t="s">
        <v>90</v>
      </c>
    </row>
    <row r="2394" spans="1:56" x14ac:dyDescent="0.35">
      <c r="A2394">
        <v>2310170</v>
      </c>
      <c r="B2394" t="s">
        <v>1798</v>
      </c>
      <c r="D2394" t="s">
        <v>85</v>
      </c>
      <c r="E2394">
        <v>25</v>
      </c>
      <c r="F2394" t="s">
        <v>58</v>
      </c>
      <c r="G2394" t="s">
        <v>59</v>
      </c>
      <c r="H2394" t="s">
        <v>60</v>
      </c>
      <c r="J2394" t="s">
        <v>86</v>
      </c>
      <c r="L2394" t="s">
        <v>62</v>
      </c>
      <c r="M2394" t="s">
        <v>63</v>
      </c>
      <c r="N2394" t="s">
        <v>64</v>
      </c>
      <c r="P2394" t="s">
        <v>100</v>
      </c>
      <c r="R2394">
        <v>0.14099999999999999</v>
      </c>
      <c r="T2394">
        <v>6.9000000000000006E-2</v>
      </c>
      <c r="V2394">
        <v>0.29099999999999998</v>
      </c>
      <c r="W2394" t="s">
        <v>66</v>
      </c>
      <c r="X2394" t="s">
        <v>67</v>
      </c>
      <c r="Y2394" t="s">
        <v>67</v>
      </c>
      <c r="Z2394" t="s">
        <v>68</v>
      </c>
      <c r="AB2394">
        <v>4</v>
      </c>
      <c r="AC2394" t="s">
        <v>61</v>
      </c>
      <c r="AJ2394" t="s">
        <v>69</v>
      </c>
      <c r="AY2394" t="s">
        <v>795</v>
      </c>
      <c r="AZ2394">
        <v>6615</v>
      </c>
      <c r="BA2394" t="s">
        <v>796</v>
      </c>
      <c r="BB2394" t="s">
        <v>797</v>
      </c>
      <c r="BC2394">
        <v>1970</v>
      </c>
      <c r="BD2394" t="s">
        <v>90</v>
      </c>
    </row>
    <row r="2395" spans="1:56" x14ac:dyDescent="0.35">
      <c r="A2395">
        <v>2317240</v>
      </c>
      <c r="B2395" t="s">
        <v>1799</v>
      </c>
      <c r="D2395" t="s">
        <v>85</v>
      </c>
      <c r="E2395">
        <v>64.5</v>
      </c>
      <c r="F2395" t="s">
        <v>58</v>
      </c>
      <c r="G2395" t="s">
        <v>59</v>
      </c>
      <c r="H2395" t="s">
        <v>60</v>
      </c>
      <c r="J2395" t="s">
        <v>86</v>
      </c>
      <c r="L2395" t="s">
        <v>62</v>
      </c>
      <c r="M2395" t="s">
        <v>63</v>
      </c>
      <c r="N2395" t="s">
        <v>64</v>
      </c>
      <c r="P2395" t="s">
        <v>65</v>
      </c>
      <c r="R2395">
        <v>8.1</v>
      </c>
      <c r="W2395" t="s">
        <v>66</v>
      </c>
      <c r="X2395" t="s">
        <v>67</v>
      </c>
      <c r="Y2395" t="s">
        <v>67</v>
      </c>
      <c r="Z2395" t="s">
        <v>68</v>
      </c>
      <c r="AB2395">
        <v>4</v>
      </c>
      <c r="AC2395" t="s">
        <v>61</v>
      </c>
      <c r="AJ2395" t="s">
        <v>69</v>
      </c>
      <c r="AY2395" t="s">
        <v>648</v>
      </c>
      <c r="AZ2395">
        <v>892</v>
      </c>
      <c r="BA2395" t="s">
        <v>649</v>
      </c>
      <c r="BB2395" t="s">
        <v>650</v>
      </c>
      <c r="BC2395">
        <v>1962</v>
      </c>
      <c r="BD2395" t="s">
        <v>90</v>
      </c>
    </row>
    <row r="2396" spans="1:56" x14ac:dyDescent="0.35">
      <c r="A2396">
        <v>2317240</v>
      </c>
      <c r="B2396" t="s">
        <v>1799</v>
      </c>
      <c r="D2396" t="s">
        <v>85</v>
      </c>
      <c r="E2396">
        <v>64.5</v>
      </c>
      <c r="F2396" t="s">
        <v>58</v>
      </c>
      <c r="G2396" t="s">
        <v>59</v>
      </c>
      <c r="H2396" t="s">
        <v>60</v>
      </c>
      <c r="J2396" t="s">
        <v>86</v>
      </c>
      <c r="L2396" t="s">
        <v>62</v>
      </c>
      <c r="M2396" t="s">
        <v>63</v>
      </c>
      <c r="N2396" t="s">
        <v>64</v>
      </c>
      <c r="P2396" t="s">
        <v>65</v>
      </c>
      <c r="R2396">
        <v>7.2</v>
      </c>
      <c r="W2396" t="s">
        <v>66</v>
      </c>
      <c r="X2396" t="s">
        <v>67</v>
      </c>
      <c r="Y2396" t="s">
        <v>67</v>
      </c>
      <c r="Z2396" t="s">
        <v>68</v>
      </c>
      <c r="AB2396">
        <v>4</v>
      </c>
      <c r="AC2396" t="s">
        <v>61</v>
      </c>
      <c r="AJ2396" t="s">
        <v>69</v>
      </c>
      <c r="AY2396" t="s">
        <v>648</v>
      </c>
      <c r="AZ2396">
        <v>892</v>
      </c>
      <c r="BA2396" t="s">
        <v>649</v>
      </c>
      <c r="BB2396" t="s">
        <v>650</v>
      </c>
      <c r="BC2396">
        <v>1962</v>
      </c>
      <c r="BD2396" t="s">
        <v>90</v>
      </c>
    </row>
    <row r="2397" spans="1:56" x14ac:dyDescent="0.35">
      <c r="A2397">
        <v>2357473</v>
      </c>
      <c r="B2397" t="s">
        <v>1800</v>
      </c>
      <c r="D2397" t="s">
        <v>57</v>
      </c>
      <c r="E2397">
        <v>99</v>
      </c>
      <c r="F2397" t="s">
        <v>58</v>
      </c>
      <c r="G2397" t="s">
        <v>59</v>
      </c>
      <c r="H2397" t="s">
        <v>60</v>
      </c>
      <c r="J2397">
        <v>34</v>
      </c>
      <c r="K2397" t="s">
        <v>61</v>
      </c>
      <c r="L2397" t="s">
        <v>74</v>
      </c>
      <c r="M2397" t="s">
        <v>63</v>
      </c>
      <c r="N2397" t="s">
        <v>64</v>
      </c>
      <c r="P2397" t="s">
        <v>65</v>
      </c>
      <c r="R2397">
        <v>30.1</v>
      </c>
      <c r="T2397">
        <v>25</v>
      </c>
      <c r="V2397">
        <v>36.299999999999997</v>
      </c>
      <c r="W2397" t="s">
        <v>66</v>
      </c>
      <c r="X2397" t="s">
        <v>67</v>
      </c>
      <c r="Y2397" t="s">
        <v>67</v>
      </c>
      <c r="Z2397" t="s">
        <v>68</v>
      </c>
      <c r="AB2397">
        <v>4</v>
      </c>
      <c r="AC2397" t="s">
        <v>61</v>
      </c>
      <c r="AJ2397" t="s">
        <v>69</v>
      </c>
      <c r="AY2397" t="s">
        <v>286</v>
      </c>
      <c r="AZ2397">
        <v>12448</v>
      </c>
      <c r="BA2397" t="s">
        <v>287</v>
      </c>
      <c r="BB2397" t="s">
        <v>288</v>
      </c>
      <c r="BC2397">
        <v>1984</v>
      </c>
      <c r="BD2397" t="s">
        <v>73</v>
      </c>
    </row>
    <row r="2398" spans="1:56" x14ac:dyDescent="0.35">
      <c r="A2398">
        <v>2362610</v>
      </c>
      <c r="B2398" t="s">
        <v>1801</v>
      </c>
      <c r="D2398" t="s">
        <v>57</v>
      </c>
      <c r="E2398">
        <v>99</v>
      </c>
      <c r="F2398" t="s">
        <v>58</v>
      </c>
      <c r="G2398" t="s">
        <v>59</v>
      </c>
      <c r="H2398" t="s">
        <v>60</v>
      </c>
      <c r="J2398">
        <v>35</v>
      </c>
      <c r="K2398" t="s">
        <v>61</v>
      </c>
      <c r="L2398" t="s">
        <v>74</v>
      </c>
      <c r="M2398" t="s">
        <v>63</v>
      </c>
      <c r="N2398" t="s">
        <v>64</v>
      </c>
      <c r="P2398" t="s">
        <v>65</v>
      </c>
      <c r="R2398">
        <v>44.4</v>
      </c>
      <c r="W2398" t="s">
        <v>66</v>
      </c>
      <c r="X2398" t="s">
        <v>67</v>
      </c>
      <c r="Y2398" t="s">
        <v>67</v>
      </c>
      <c r="Z2398" t="s">
        <v>68</v>
      </c>
      <c r="AB2398">
        <v>4</v>
      </c>
      <c r="AC2398" t="s">
        <v>61</v>
      </c>
      <c r="AJ2398" t="s">
        <v>69</v>
      </c>
      <c r="AY2398" t="s">
        <v>141</v>
      </c>
      <c r="AZ2398">
        <v>12447</v>
      </c>
      <c r="BA2398" t="s">
        <v>142</v>
      </c>
      <c r="BB2398" t="s">
        <v>143</v>
      </c>
      <c r="BC2398">
        <v>1985</v>
      </c>
      <c r="BD2398" t="s">
        <v>73</v>
      </c>
    </row>
    <row r="2399" spans="1:56" x14ac:dyDescent="0.35">
      <c r="A2399">
        <v>2370630</v>
      </c>
      <c r="B2399" t="s">
        <v>1802</v>
      </c>
      <c r="D2399" t="s">
        <v>57</v>
      </c>
      <c r="E2399" t="s">
        <v>810</v>
      </c>
      <c r="F2399" t="s">
        <v>58</v>
      </c>
      <c r="G2399" t="s">
        <v>59</v>
      </c>
      <c r="H2399" t="s">
        <v>60</v>
      </c>
      <c r="J2399">
        <v>30</v>
      </c>
      <c r="K2399" t="s">
        <v>61</v>
      </c>
      <c r="L2399" t="s">
        <v>74</v>
      </c>
      <c r="M2399" t="s">
        <v>63</v>
      </c>
      <c r="N2399" t="s">
        <v>64</v>
      </c>
      <c r="P2399" t="s">
        <v>65</v>
      </c>
      <c r="R2399">
        <v>27.7</v>
      </c>
      <c r="W2399" t="s">
        <v>66</v>
      </c>
      <c r="X2399" t="s">
        <v>67</v>
      </c>
      <c r="Y2399" t="s">
        <v>67</v>
      </c>
      <c r="Z2399" t="s">
        <v>68</v>
      </c>
      <c r="AB2399">
        <v>4</v>
      </c>
      <c r="AC2399" t="s">
        <v>61</v>
      </c>
      <c r="AJ2399" t="s">
        <v>69</v>
      </c>
      <c r="AY2399" t="s">
        <v>263</v>
      </c>
      <c r="AZ2399">
        <v>12858</v>
      </c>
      <c r="BA2399" t="s">
        <v>264</v>
      </c>
      <c r="BB2399" t="s">
        <v>265</v>
      </c>
      <c r="BC2399">
        <v>1986</v>
      </c>
      <c r="BD2399" t="s">
        <v>73</v>
      </c>
    </row>
    <row r="2400" spans="1:56" x14ac:dyDescent="0.35">
      <c r="A2400">
        <v>2370630</v>
      </c>
      <c r="B2400" t="s">
        <v>1802</v>
      </c>
      <c r="D2400" t="s">
        <v>57</v>
      </c>
      <c r="E2400" t="s">
        <v>810</v>
      </c>
      <c r="F2400" t="s">
        <v>58</v>
      </c>
      <c r="G2400" t="s">
        <v>59</v>
      </c>
      <c r="H2400" t="s">
        <v>60</v>
      </c>
      <c r="I2400" t="s">
        <v>129</v>
      </c>
      <c r="J2400" t="s">
        <v>86</v>
      </c>
      <c r="K2400" t="s">
        <v>61</v>
      </c>
      <c r="L2400" t="s">
        <v>74</v>
      </c>
      <c r="M2400" t="s">
        <v>63</v>
      </c>
      <c r="N2400" t="s">
        <v>64</v>
      </c>
      <c r="P2400" t="s">
        <v>65</v>
      </c>
      <c r="R2400">
        <v>27.7</v>
      </c>
      <c r="W2400" t="s">
        <v>66</v>
      </c>
      <c r="X2400" t="s">
        <v>67</v>
      </c>
      <c r="Y2400" t="s">
        <v>67</v>
      </c>
      <c r="Z2400" t="s">
        <v>68</v>
      </c>
      <c r="AB2400">
        <v>4</v>
      </c>
      <c r="AC2400" t="s">
        <v>61</v>
      </c>
      <c r="AJ2400" t="s">
        <v>69</v>
      </c>
      <c r="AY2400" t="s">
        <v>847</v>
      </c>
      <c r="AZ2400">
        <v>13120</v>
      </c>
      <c r="BA2400" t="s">
        <v>848</v>
      </c>
      <c r="BB2400" t="s">
        <v>849</v>
      </c>
      <c r="BC2400">
        <v>1988</v>
      </c>
      <c r="BD2400" t="s">
        <v>833</v>
      </c>
    </row>
    <row r="2401" spans="1:56" x14ac:dyDescent="0.35">
      <c r="A2401">
        <v>2385855</v>
      </c>
      <c r="B2401" t="s">
        <v>1803</v>
      </c>
      <c r="D2401" t="s">
        <v>85</v>
      </c>
      <c r="E2401" t="s">
        <v>86</v>
      </c>
      <c r="F2401" t="s">
        <v>58</v>
      </c>
      <c r="G2401" t="s">
        <v>59</v>
      </c>
      <c r="H2401" t="s">
        <v>60</v>
      </c>
      <c r="J2401" t="s">
        <v>86</v>
      </c>
      <c r="M2401" t="s">
        <v>63</v>
      </c>
      <c r="N2401" t="s">
        <v>64</v>
      </c>
      <c r="P2401" t="s">
        <v>100</v>
      </c>
      <c r="R2401">
        <v>130</v>
      </c>
      <c r="W2401" t="s">
        <v>66</v>
      </c>
      <c r="X2401" t="s">
        <v>67</v>
      </c>
      <c r="Y2401" t="s">
        <v>67</v>
      </c>
      <c r="Z2401" t="s">
        <v>68</v>
      </c>
      <c r="AB2401">
        <v>4</v>
      </c>
      <c r="AC2401" t="s">
        <v>61</v>
      </c>
      <c r="AJ2401" t="s">
        <v>69</v>
      </c>
      <c r="AY2401" t="s">
        <v>101</v>
      </c>
      <c r="AZ2401">
        <v>70421</v>
      </c>
      <c r="BA2401" t="s">
        <v>102</v>
      </c>
      <c r="BB2401" t="s">
        <v>103</v>
      </c>
      <c r="BC2401">
        <v>1974</v>
      </c>
      <c r="BD2401" t="s">
        <v>90</v>
      </c>
    </row>
    <row r="2402" spans="1:56" x14ac:dyDescent="0.35">
      <c r="A2402">
        <v>2385855</v>
      </c>
      <c r="B2402" t="s">
        <v>1803</v>
      </c>
      <c r="E2402">
        <v>50</v>
      </c>
      <c r="F2402" t="s">
        <v>58</v>
      </c>
      <c r="G2402" t="s">
        <v>59</v>
      </c>
      <c r="H2402" t="s">
        <v>60</v>
      </c>
      <c r="J2402" t="s">
        <v>86</v>
      </c>
      <c r="L2402" t="s">
        <v>62</v>
      </c>
      <c r="M2402" t="s">
        <v>63</v>
      </c>
      <c r="N2402" t="s">
        <v>64</v>
      </c>
      <c r="P2402" t="s">
        <v>65</v>
      </c>
      <c r="Q2402" t="s">
        <v>153</v>
      </c>
      <c r="R2402">
        <v>100</v>
      </c>
      <c r="W2402" t="s">
        <v>66</v>
      </c>
      <c r="X2402" t="s">
        <v>67</v>
      </c>
      <c r="Y2402" t="s">
        <v>67</v>
      </c>
      <c r="Z2402" t="s">
        <v>68</v>
      </c>
      <c r="AB2402">
        <v>4</v>
      </c>
      <c r="AC2402" t="s">
        <v>61</v>
      </c>
      <c r="AJ2402" t="s">
        <v>69</v>
      </c>
      <c r="AY2402" t="s">
        <v>96</v>
      </c>
      <c r="AZ2402">
        <v>6797</v>
      </c>
      <c r="BA2402" t="s">
        <v>97</v>
      </c>
      <c r="BB2402" t="s">
        <v>98</v>
      </c>
      <c r="BC2402">
        <v>1986</v>
      </c>
      <c r="BD2402" t="s">
        <v>90</v>
      </c>
    </row>
    <row r="2403" spans="1:56" x14ac:dyDescent="0.35">
      <c r="A2403">
        <v>2416946</v>
      </c>
      <c r="B2403" t="s">
        <v>1804</v>
      </c>
      <c r="D2403" t="s">
        <v>57</v>
      </c>
      <c r="E2403" t="s">
        <v>86</v>
      </c>
      <c r="F2403" t="s">
        <v>58</v>
      </c>
      <c r="G2403" t="s">
        <v>59</v>
      </c>
      <c r="H2403" t="s">
        <v>60</v>
      </c>
      <c r="J2403">
        <v>31</v>
      </c>
      <c r="K2403" t="s">
        <v>61</v>
      </c>
      <c r="L2403" t="s">
        <v>74</v>
      </c>
      <c r="M2403" t="s">
        <v>63</v>
      </c>
      <c r="N2403" t="s">
        <v>64</v>
      </c>
      <c r="P2403" t="s">
        <v>65</v>
      </c>
      <c r="R2403">
        <v>8.1999999999999993</v>
      </c>
      <c r="T2403">
        <v>7.25</v>
      </c>
      <c r="V2403">
        <v>9.2799999999999994</v>
      </c>
      <c r="W2403" t="s">
        <v>66</v>
      </c>
      <c r="X2403" t="s">
        <v>67</v>
      </c>
      <c r="Y2403" t="s">
        <v>67</v>
      </c>
      <c r="Z2403" t="s">
        <v>68</v>
      </c>
      <c r="AB2403">
        <v>4</v>
      </c>
      <c r="AC2403" t="s">
        <v>61</v>
      </c>
      <c r="AJ2403" t="s">
        <v>69</v>
      </c>
      <c r="AY2403" t="s">
        <v>75</v>
      </c>
      <c r="AZ2403">
        <v>3217</v>
      </c>
      <c r="BA2403" t="s">
        <v>76</v>
      </c>
      <c r="BB2403" t="s">
        <v>77</v>
      </c>
      <c r="BC2403">
        <v>1990</v>
      </c>
      <c r="BD2403" t="s">
        <v>73</v>
      </c>
    </row>
    <row r="2404" spans="1:56" x14ac:dyDescent="0.35">
      <c r="A2404">
        <v>2437254</v>
      </c>
      <c r="B2404" t="s">
        <v>1805</v>
      </c>
      <c r="D2404" t="s">
        <v>57</v>
      </c>
      <c r="E2404">
        <v>99</v>
      </c>
      <c r="F2404" t="s">
        <v>58</v>
      </c>
      <c r="G2404" t="s">
        <v>59</v>
      </c>
      <c r="H2404" t="s">
        <v>60</v>
      </c>
      <c r="J2404">
        <v>30</v>
      </c>
      <c r="K2404" t="s">
        <v>61</v>
      </c>
      <c r="L2404" t="s">
        <v>74</v>
      </c>
      <c r="M2404" t="s">
        <v>63</v>
      </c>
      <c r="N2404" t="s">
        <v>64</v>
      </c>
      <c r="O2404">
        <v>6</v>
      </c>
      <c r="P2404" t="s">
        <v>65</v>
      </c>
      <c r="R2404">
        <v>0.43</v>
      </c>
      <c r="T2404">
        <v>0.4</v>
      </c>
      <c r="V2404">
        <v>0.47</v>
      </c>
      <c r="W2404" t="s">
        <v>66</v>
      </c>
      <c r="X2404" t="s">
        <v>67</v>
      </c>
      <c r="Y2404" t="s">
        <v>67</v>
      </c>
      <c r="Z2404" t="s">
        <v>68</v>
      </c>
      <c r="AB2404">
        <v>4</v>
      </c>
      <c r="AC2404" t="s">
        <v>61</v>
      </c>
      <c r="AJ2404" t="s">
        <v>69</v>
      </c>
      <c r="AY2404" t="s">
        <v>286</v>
      </c>
      <c r="AZ2404">
        <v>12448</v>
      </c>
      <c r="BA2404" t="s">
        <v>287</v>
      </c>
      <c r="BB2404" t="s">
        <v>288</v>
      </c>
      <c r="BC2404">
        <v>1984</v>
      </c>
      <c r="BD2404" t="s">
        <v>73</v>
      </c>
    </row>
    <row r="2405" spans="1:56" x14ac:dyDescent="0.35">
      <c r="A2405">
        <v>2439772</v>
      </c>
      <c r="B2405" t="s">
        <v>1806</v>
      </c>
      <c r="D2405" t="s">
        <v>57</v>
      </c>
      <c r="E2405" t="s">
        <v>79</v>
      </c>
      <c r="F2405" t="s">
        <v>58</v>
      </c>
      <c r="G2405" t="s">
        <v>59</v>
      </c>
      <c r="H2405" t="s">
        <v>60</v>
      </c>
      <c r="J2405" t="s">
        <v>86</v>
      </c>
      <c r="K2405" t="s">
        <v>61</v>
      </c>
      <c r="L2405" t="s">
        <v>74</v>
      </c>
      <c r="M2405" t="s">
        <v>63</v>
      </c>
      <c r="N2405" t="s">
        <v>64</v>
      </c>
      <c r="O2405">
        <v>6</v>
      </c>
      <c r="P2405" t="s">
        <v>65</v>
      </c>
      <c r="R2405">
        <v>120</v>
      </c>
      <c r="T2405">
        <v>110</v>
      </c>
      <c r="V2405">
        <v>131</v>
      </c>
      <c r="W2405" t="s">
        <v>66</v>
      </c>
      <c r="X2405" t="s">
        <v>67</v>
      </c>
      <c r="Y2405" t="s">
        <v>67</v>
      </c>
      <c r="Z2405" t="s">
        <v>68</v>
      </c>
      <c r="AB2405">
        <v>4</v>
      </c>
      <c r="AC2405" t="s">
        <v>61</v>
      </c>
      <c r="AJ2405" t="s">
        <v>69</v>
      </c>
      <c r="AY2405" t="s">
        <v>141</v>
      </c>
      <c r="AZ2405">
        <v>12447</v>
      </c>
      <c r="BA2405" t="s">
        <v>142</v>
      </c>
      <c r="BB2405" t="s">
        <v>143</v>
      </c>
      <c r="BC2405">
        <v>1985</v>
      </c>
      <c r="BD2405" t="s">
        <v>614</v>
      </c>
    </row>
    <row r="2406" spans="1:56" x14ac:dyDescent="0.35">
      <c r="A2406">
        <v>2447792</v>
      </c>
      <c r="B2406" t="s">
        <v>1807</v>
      </c>
      <c r="D2406" t="s">
        <v>57</v>
      </c>
      <c r="E2406" t="s">
        <v>128</v>
      </c>
      <c r="F2406" t="s">
        <v>58</v>
      </c>
      <c r="G2406" t="s">
        <v>59</v>
      </c>
      <c r="H2406" t="s">
        <v>60</v>
      </c>
      <c r="I2406" t="s">
        <v>129</v>
      </c>
      <c r="J2406" t="s">
        <v>86</v>
      </c>
      <c r="K2406" t="s">
        <v>61</v>
      </c>
      <c r="L2406" t="s">
        <v>74</v>
      </c>
      <c r="M2406" t="s">
        <v>63</v>
      </c>
      <c r="N2406" t="s">
        <v>64</v>
      </c>
      <c r="P2406" t="s">
        <v>65</v>
      </c>
      <c r="R2406">
        <v>95.6</v>
      </c>
      <c r="W2406" t="s">
        <v>66</v>
      </c>
      <c r="X2406" t="s">
        <v>67</v>
      </c>
      <c r="Y2406" t="s">
        <v>67</v>
      </c>
      <c r="Z2406" t="s">
        <v>68</v>
      </c>
      <c r="AB2406">
        <v>4</v>
      </c>
      <c r="AC2406" t="s">
        <v>61</v>
      </c>
      <c r="AJ2406" t="s">
        <v>69</v>
      </c>
      <c r="AY2406" t="s">
        <v>134</v>
      </c>
      <c r="AZ2406">
        <v>15031</v>
      </c>
      <c r="BA2406" t="s">
        <v>135</v>
      </c>
      <c r="BB2406" t="s">
        <v>136</v>
      </c>
      <c r="BC2406">
        <v>1995</v>
      </c>
      <c r="BD2406" t="s">
        <v>133</v>
      </c>
    </row>
    <row r="2407" spans="1:56" x14ac:dyDescent="0.35">
      <c r="A2407">
        <v>2447792</v>
      </c>
      <c r="B2407" t="s">
        <v>1807</v>
      </c>
      <c r="D2407" t="s">
        <v>57</v>
      </c>
      <c r="E2407">
        <v>98</v>
      </c>
      <c r="F2407" t="s">
        <v>58</v>
      </c>
      <c r="G2407" t="s">
        <v>59</v>
      </c>
      <c r="H2407" t="s">
        <v>60</v>
      </c>
      <c r="J2407">
        <v>31</v>
      </c>
      <c r="K2407" t="s">
        <v>61</v>
      </c>
      <c r="L2407" t="s">
        <v>74</v>
      </c>
      <c r="M2407" t="s">
        <v>63</v>
      </c>
      <c r="N2407" t="s">
        <v>64</v>
      </c>
      <c r="P2407" t="s">
        <v>65</v>
      </c>
      <c r="R2407">
        <v>95.6</v>
      </c>
      <c r="T2407">
        <v>73.3</v>
      </c>
      <c r="V2407">
        <v>125</v>
      </c>
      <c r="W2407" t="s">
        <v>66</v>
      </c>
      <c r="X2407" t="s">
        <v>67</v>
      </c>
      <c r="Y2407" t="s">
        <v>67</v>
      </c>
      <c r="Z2407" t="s">
        <v>68</v>
      </c>
      <c r="AB2407">
        <v>4</v>
      </c>
      <c r="AC2407" t="s">
        <v>61</v>
      </c>
      <c r="AJ2407" t="s">
        <v>69</v>
      </c>
      <c r="AY2407" t="s">
        <v>141</v>
      </c>
      <c r="AZ2407">
        <v>12447</v>
      </c>
      <c r="BA2407" t="s">
        <v>142</v>
      </c>
      <c r="BB2407" t="s">
        <v>143</v>
      </c>
      <c r="BC2407">
        <v>1985</v>
      </c>
      <c r="BD2407" t="s">
        <v>73</v>
      </c>
    </row>
    <row r="2408" spans="1:56" x14ac:dyDescent="0.35">
      <c r="A2408">
        <v>2455245</v>
      </c>
      <c r="B2408" t="s">
        <v>1808</v>
      </c>
      <c r="D2408" t="s">
        <v>57</v>
      </c>
      <c r="E2408" t="s">
        <v>810</v>
      </c>
      <c r="F2408" t="s">
        <v>58</v>
      </c>
      <c r="G2408" t="s">
        <v>59</v>
      </c>
      <c r="H2408" t="s">
        <v>60</v>
      </c>
      <c r="I2408" t="s">
        <v>129</v>
      </c>
      <c r="J2408" t="s">
        <v>86</v>
      </c>
      <c r="K2408" t="s">
        <v>61</v>
      </c>
      <c r="L2408" t="s">
        <v>74</v>
      </c>
      <c r="M2408" t="s">
        <v>63</v>
      </c>
      <c r="N2408" t="s">
        <v>64</v>
      </c>
      <c r="P2408" t="s">
        <v>65</v>
      </c>
      <c r="R2408">
        <v>34.700000000000003</v>
      </c>
      <c r="W2408" t="s">
        <v>66</v>
      </c>
      <c r="X2408" t="s">
        <v>67</v>
      </c>
      <c r="Y2408" t="s">
        <v>67</v>
      </c>
      <c r="Z2408" t="s">
        <v>68</v>
      </c>
      <c r="AB2408">
        <v>4</v>
      </c>
      <c r="AC2408" t="s">
        <v>61</v>
      </c>
      <c r="AJ2408" t="s">
        <v>69</v>
      </c>
      <c r="AY2408" t="s">
        <v>847</v>
      </c>
      <c r="AZ2408">
        <v>13120</v>
      </c>
      <c r="BA2408" t="s">
        <v>848</v>
      </c>
      <c r="BB2408" t="s">
        <v>849</v>
      </c>
      <c r="BC2408">
        <v>1988</v>
      </c>
      <c r="BD2408" t="s">
        <v>833</v>
      </c>
    </row>
    <row r="2409" spans="1:56" x14ac:dyDescent="0.35">
      <c r="A2409">
        <v>2455245</v>
      </c>
      <c r="B2409" t="s">
        <v>1808</v>
      </c>
      <c r="D2409" t="s">
        <v>57</v>
      </c>
      <c r="E2409" t="s">
        <v>810</v>
      </c>
      <c r="F2409" t="s">
        <v>58</v>
      </c>
      <c r="G2409" t="s">
        <v>59</v>
      </c>
      <c r="H2409" t="s">
        <v>60</v>
      </c>
      <c r="J2409">
        <v>29</v>
      </c>
      <c r="K2409" t="s">
        <v>61</v>
      </c>
      <c r="L2409" t="s">
        <v>74</v>
      </c>
      <c r="M2409" t="s">
        <v>63</v>
      </c>
      <c r="N2409" t="s">
        <v>64</v>
      </c>
      <c r="P2409" t="s">
        <v>65</v>
      </c>
      <c r="R2409">
        <v>34.700000000000003</v>
      </c>
      <c r="T2409">
        <v>31.1</v>
      </c>
      <c r="V2409">
        <v>38.799999999999997</v>
      </c>
      <c r="W2409" t="s">
        <v>66</v>
      </c>
      <c r="X2409" t="s">
        <v>67</v>
      </c>
      <c r="Y2409" t="s">
        <v>67</v>
      </c>
      <c r="Z2409" t="s">
        <v>68</v>
      </c>
      <c r="AB2409">
        <v>4</v>
      </c>
      <c r="AC2409" t="s">
        <v>61</v>
      </c>
      <c r="AJ2409" t="s">
        <v>69</v>
      </c>
      <c r="AY2409" t="s">
        <v>263</v>
      </c>
      <c r="AZ2409">
        <v>12858</v>
      </c>
      <c r="BA2409" t="s">
        <v>264</v>
      </c>
      <c r="BB2409" t="s">
        <v>265</v>
      </c>
      <c r="BC2409">
        <v>1986</v>
      </c>
      <c r="BD2409" t="s">
        <v>73</v>
      </c>
    </row>
    <row r="2410" spans="1:56" x14ac:dyDescent="0.35">
      <c r="A2410">
        <v>2460493</v>
      </c>
      <c r="B2410" t="s">
        <v>1809</v>
      </c>
      <c r="D2410" t="s">
        <v>57</v>
      </c>
      <c r="E2410" t="s">
        <v>79</v>
      </c>
      <c r="F2410" t="s">
        <v>58</v>
      </c>
      <c r="G2410" t="s">
        <v>59</v>
      </c>
      <c r="H2410" t="s">
        <v>60</v>
      </c>
      <c r="J2410">
        <v>30</v>
      </c>
      <c r="K2410" t="s">
        <v>61</v>
      </c>
      <c r="L2410" t="s">
        <v>74</v>
      </c>
      <c r="M2410" t="s">
        <v>63</v>
      </c>
      <c r="N2410" t="s">
        <v>64</v>
      </c>
      <c r="P2410" t="s">
        <v>65</v>
      </c>
      <c r="R2410">
        <v>4.47</v>
      </c>
      <c r="T2410">
        <v>4.08</v>
      </c>
      <c r="V2410">
        <v>4.8899999999999997</v>
      </c>
      <c r="W2410" t="s">
        <v>66</v>
      </c>
      <c r="X2410" t="s">
        <v>67</v>
      </c>
      <c r="Y2410" t="s">
        <v>67</v>
      </c>
      <c r="Z2410" t="s">
        <v>68</v>
      </c>
      <c r="AB2410">
        <v>4</v>
      </c>
      <c r="AC2410" t="s">
        <v>61</v>
      </c>
      <c r="AJ2410" t="s">
        <v>69</v>
      </c>
      <c r="AY2410" t="s">
        <v>141</v>
      </c>
      <c r="AZ2410">
        <v>12447</v>
      </c>
      <c r="BA2410" t="s">
        <v>142</v>
      </c>
      <c r="BB2410" t="s">
        <v>143</v>
      </c>
      <c r="BC2410">
        <v>1985</v>
      </c>
      <c r="BD2410" t="s">
        <v>73</v>
      </c>
    </row>
    <row r="2411" spans="1:56" x14ac:dyDescent="0.35">
      <c r="A2411">
        <v>2475469</v>
      </c>
      <c r="B2411" t="s">
        <v>1810</v>
      </c>
      <c r="D2411" t="s">
        <v>85</v>
      </c>
      <c r="E2411" t="s">
        <v>86</v>
      </c>
      <c r="F2411" t="s">
        <v>58</v>
      </c>
      <c r="G2411" t="s">
        <v>59</v>
      </c>
      <c r="H2411" t="s">
        <v>60</v>
      </c>
      <c r="J2411" t="s">
        <v>86</v>
      </c>
      <c r="L2411" t="s">
        <v>62</v>
      </c>
      <c r="M2411" t="s">
        <v>63</v>
      </c>
      <c r="N2411" t="s">
        <v>64</v>
      </c>
      <c r="P2411" t="s">
        <v>100</v>
      </c>
      <c r="R2411">
        <v>1</v>
      </c>
      <c r="W2411" t="s">
        <v>66</v>
      </c>
      <c r="X2411" t="s">
        <v>67</v>
      </c>
      <c r="Y2411" t="s">
        <v>67</v>
      </c>
      <c r="Z2411" t="s">
        <v>68</v>
      </c>
      <c r="AB2411">
        <v>4</v>
      </c>
      <c r="AC2411" t="s">
        <v>61</v>
      </c>
      <c r="AJ2411" t="s">
        <v>69</v>
      </c>
      <c r="AY2411" t="s">
        <v>1243</v>
      </c>
      <c r="AZ2411">
        <v>5789</v>
      </c>
      <c r="BA2411" t="s">
        <v>1244</v>
      </c>
      <c r="BB2411" t="s">
        <v>1245</v>
      </c>
      <c r="BC2411">
        <v>1974</v>
      </c>
      <c r="BD2411" t="s">
        <v>90</v>
      </c>
    </row>
    <row r="2412" spans="1:56" x14ac:dyDescent="0.35">
      <c r="A2412">
        <v>2475469</v>
      </c>
      <c r="B2412" t="s">
        <v>1810</v>
      </c>
      <c r="D2412" t="s">
        <v>85</v>
      </c>
      <c r="E2412">
        <v>15</v>
      </c>
      <c r="F2412" t="s">
        <v>58</v>
      </c>
      <c r="G2412" t="s">
        <v>59</v>
      </c>
      <c r="H2412" t="s">
        <v>60</v>
      </c>
      <c r="J2412" t="s">
        <v>86</v>
      </c>
      <c r="L2412" t="s">
        <v>62</v>
      </c>
      <c r="M2412" t="s">
        <v>63</v>
      </c>
      <c r="N2412" t="s">
        <v>64</v>
      </c>
      <c r="P2412" t="s">
        <v>100</v>
      </c>
      <c r="R2412">
        <v>1</v>
      </c>
      <c r="W2412" t="s">
        <v>66</v>
      </c>
      <c r="X2412" t="s">
        <v>67</v>
      </c>
      <c r="Y2412" t="s">
        <v>67</v>
      </c>
      <c r="Z2412" t="s">
        <v>68</v>
      </c>
      <c r="AB2412">
        <v>4</v>
      </c>
      <c r="AC2412" t="s">
        <v>61</v>
      </c>
      <c r="AJ2412" t="s">
        <v>69</v>
      </c>
      <c r="AY2412" t="s">
        <v>1246</v>
      </c>
      <c r="AZ2412">
        <v>6969</v>
      </c>
      <c r="BA2412" t="s">
        <v>1247</v>
      </c>
      <c r="BB2412" t="s">
        <v>1248</v>
      </c>
      <c r="BC2412">
        <v>1973</v>
      </c>
      <c r="BD2412" t="s">
        <v>90</v>
      </c>
    </row>
    <row r="2413" spans="1:56" x14ac:dyDescent="0.35">
      <c r="A2413">
        <v>2487903</v>
      </c>
      <c r="B2413" t="s">
        <v>1811</v>
      </c>
      <c r="D2413" t="s">
        <v>57</v>
      </c>
      <c r="E2413">
        <v>95</v>
      </c>
      <c r="F2413" t="s">
        <v>58</v>
      </c>
      <c r="G2413" t="s">
        <v>59</v>
      </c>
      <c r="H2413" t="s">
        <v>60</v>
      </c>
      <c r="I2413" t="s">
        <v>129</v>
      </c>
      <c r="J2413">
        <v>31</v>
      </c>
      <c r="K2413" t="s">
        <v>61</v>
      </c>
      <c r="L2413" t="s">
        <v>190</v>
      </c>
      <c r="M2413" t="s">
        <v>63</v>
      </c>
      <c r="N2413" t="s">
        <v>64</v>
      </c>
      <c r="O2413">
        <v>5</v>
      </c>
      <c r="P2413" t="s">
        <v>65</v>
      </c>
      <c r="R2413">
        <v>112.13</v>
      </c>
      <c r="W2413" t="s">
        <v>66</v>
      </c>
      <c r="X2413" t="s">
        <v>67</v>
      </c>
      <c r="Y2413" t="s">
        <v>67</v>
      </c>
      <c r="Z2413" t="s">
        <v>68</v>
      </c>
      <c r="AB2413">
        <v>4</v>
      </c>
      <c r="AC2413" t="s">
        <v>61</v>
      </c>
      <c r="AJ2413" t="s">
        <v>69</v>
      </c>
      <c r="AY2413" t="s">
        <v>223</v>
      </c>
      <c r="AZ2413">
        <v>164628</v>
      </c>
      <c r="BA2413" t="s">
        <v>224</v>
      </c>
      <c r="BB2413" t="s">
        <v>225</v>
      </c>
      <c r="BC2413">
        <v>1990</v>
      </c>
      <c r="BD2413" t="s">
        <v>73</v>
      </c>
    </row>
    <row r="2414" spans="1:56" x14ac:dyDescent="0.35">
      <c r="A2414">
        <v>2495376</v>
      </c>
      <c r="B2414" t="s">
        <v>1812</v>
      </c>
      <c r="D2414" t="s">
        <v>57</v>
      </c>
      <c r="E2414" t="s">
        <v>810</v>
      </c>
      <c r="F2414" t="s">
        <v>58</v>
      </c>
      <c r="G2414" t="s">
        <v>59</v>
      </c>
      <c r="H2414" t="s">
        <v>60</v>
      </c>
      <c r="J2414">
        <v>29</v>
      </c>
      <c r="K2414" t="s">
        <v>61</v>
      </c>
      <c r="L2414" t="s">
        <v>74</v>
      </c>
      <c r="M2414" t="s">
        <v>63</v>
      </c>
      <c r="N2414" t="s">
        <v>64</v>
      </c>
      <c r="P2414" t="s">
        <v>65</v>
      </c>
      <c r="R2414">
        <v>4.67</v>
      </c>
      <c r="T2414">
        <v>4.25</v>
      </c>
      <c r="V2414">
        <v>5.13</v>
      </c>
      <c r="W2414" t="s">
        <v>66</v>
      </c>
      <c r="X2414" t="s">
        <v>67</v>
      </c>
      <c r="Y2414" t="s">
        <v>67</v>
      </c>
      <c r="Z2414" t="s">
        <v>68</v>
      </c>
      <c r="AB2414">
        <v>4</v>
      </c>
      <c r="AC2414" t="s">
        <v>61</v>
      </c>
      <c r="AJ2414" t="s">
        <v>69</v>
      </c>
      <c r="AY2414" t="s">
        <v>263</v>
      </c>
      <c r="AZ2414">
        <v>12858</v>
      </c>
      <c r="BA2414" t="s">
        <v>264</v>
      </c>
      <c r="BB2414" t="s">
        <v>265</v>
      </c>
      <c r="BC2414">
        <v>1986</v>
      </c>
      <c r="BD2414" t="s">
        <v>73</v>
      </c>
    </row>
    <row r="2415" spans="1:56" x14ac:dyDescent="0.35">
      <c r="A2415">
        <v>2495376</v>
      </c>
      <c r="B2415" t="s">
        <v>1812</v>
      </c>
      <c r="D2415" t="s">
        <v>57</v>
      </c>
      <c r="E2415" t="s">
        <v>810</v>
      </c>
      <c r="F2415" t="s">
        <v>58</v>
      </c>
      <c r="G2415" t="s">
        <v>59</v>
      </c>
      <c r="H2415" t="s">
        <v>60</v>
      </c>
      <c r="I2415" t="s">
        <v>129</v>
      </c>
      <c r="J2415" t="s">
        <v>86</v>
      </c>
      <c r="K2415" t="s">
        <v>61</v>
      </c>
      <c r="L2415" t="s">
        <v>74</v>
      </c>
      <c r="M2415" t="s">
        <v>63</v>
      </c>
      <c r="N2415" t="s">
        <v>64</v>
      </c>
      <c r="P2415" t="s">
        <v>65</v>
      </c>
      <c r="R2415">
        <v>4.67</v>
      </c>
      <c r="W2415" t="s">
        <v>66</v>
      </c>
      <c r="X2415" t="s">
        <v>67</v>
      </c>
      <c r="Y2415" t="s">
        <v>67</v>
      </c>
      <c r="Z2415" t="s">
        <v>68</v>
      </c>
      <c r="AB2415">
        <v>4</v>
      </c>
      <c r="AC2415" t="s">
        <v>61</v>
      </c>
      <c r="AJ2415" t="s">
        <v>69</v>
      </c>
      <c r="AY2415" t="s">
        <v>847</v>
      </c>
      <c r="AZ2415">
        <v>13120</v>
      </c>
      <c r="BA2415" t="s">
        <v>848</v>
      </c>
      <c r="BB2415" t="s">
        <v>849</v>
      </c>
      <c r="BC2415">
        <v>1988</v>
      </c>
      <c r="BD2415" t="s">
        <v>833</v>
      </c>
    </row>
    <row r="2416" spans="1:56" x14ac:dyDescent="0.35">
      <c r="A2416">
        <v>2499958</v>
      </c>
      <c r="B2416" t="s">
        <v>1813</v>
      </c>
      <c r="D2416" t="s">
        <v>57</v>
      </c>
      <c r="E2416" t="s">
        <v>810</v>
      </c>
      <c r="F2416" t="s">
        <v>58</v>
      </c>
      <c r="G2416" t="s">
        <v>59</v>
      </c>
      <c r="H2416" t="s">
        <v>60</v>
      </c>
      <c r="J2416">
        <v>29</v>
      </c>
      <c r="K2416" t="s">
        <v>61</v>
      </c>
      <c r="L2416" t="s">
        <v>74</v>
      </c>
      <c r="M2416" t="s">
        <v>63</v>
      </c>
      <c r="N2416" t="s">
        <v>64</v>
      </c>
      <c r="P2416" t="s">
        <v>65</v>
      </c>
      <c r="R2416">
        <v>1.1399999999999999</v>
      </c>
      <c r="T2416">
        <v>1.05</v>
      </c>
      <c r="V2416">
        <v>1.24</v>
      </c>
      <c r="W2416" t="s">
        <v>66</v>
      </c>
      <c r="X2416" t="s">
        <v>67</v>
      </c>
      <c r="Y2416" t="s">
        <v>67</v>
      </c>
      <c r="Z2416" t="s">
        <v>68</v>
      </c>
      <c r="AB2416">
        <v>4</v>
      </c>
      <c r="AC2416" t="s">
        <v>61</v>
      </c>
      <c r="AJ2416" t="s">
        <v>69</v>
      </c>
      <c r="AY2416" t="s">
        <v>80</v>
      </c>
      <c r="AZ2416">
        <v>12859</v>
      </c>
      <c r="BA2416" t="s">
        <v>81</v>
      </c>
      <c r="BB2416" t="s">
        <v>82</v>
      </c>
      <c r="BC2416">
        <v>1988</v>
      </c>
      <c r="BD2416" t="s">
        <v>73</v>
      </c>
    </row>
    <row r="2417" spans="1:56" x14ac:dyDescent="0.35">
      <c r="A2417">
        <v>2499958</v>
      </c>
      <c r="B2417" t="s">
        <v>1813</v>
      </c>
      <c r="D2417" t="s">
        <v>57</v>
      </c>
      <c r="E2417" t="s">
        <v>810</v>
      </c>
      <c r="F2417" t="s">
        <v>58</v>
      </c>
      <c r="G2417" t="s">
        <v>59</v>
      </c>
      <c r="H2417" t="s">
        <v>60</v>
      </c>
      <c r="I2417" t="s">
        <v>129</v>
      </c>
      <c r="J2417" t="s">
        <v>86</v>
      </c>
      <c r="K2417" t="s">
        <v>61</v>
      </c>
      <c r="L2417" t="s">
        <v>74</v>
      </c>
      <c r="M2417" t="s">
        <v>63</v>
      </c>
      <c r="N2417" t="s">
        <v>64</v>
      </c>
      <c r="P2417" t="s">
        <v>65</v>
      </c>
      <c r="R2417">
        <v>1.0900000000000001</v>
      </c>
      <c r="W2417" t="s">
        <v>66</v>
      </c>
      <c r="X2417" t="s">
        <v>67</v>
      </c>
      <c r="Y2417" t="s">
        <v>67</v>
      </c>
      <c r="Z2417" t="s">
        <v>68</v>
      </c>
      <c r="AB2417">
        <v>4</v>
      </c>
      <c r="AC2417" t="s">
        <v>61</v>
      </c>
      <c r="AJ2417" t="s">
        <v>69</v>
      </c>
      <c r="AY2417" t="s">
        <v>847</v>
      </c>
      <c r="AZ2417">
        <v>13120</v>
      </c>
      <c r="BA2417" t="s">
        <v>848</v>
      </c>
      <c r="BB2417" t="s">
        <v>849</v>
      </c>
      <c r="BC2417">
        <v>1988</v>
      </c>
      <c r="BD2417" t="s">
        <v>833</v>
      </c>
    </row>
    <row r="2418" spans="1:56" x14ac:dyDescent="0.35">
      <c r="A2418">
        <v>2499958</v>
      </c>
      <c r="B2418" t="s">
        <v>1813</v>
      </c>
      <c r="D2418" t="s">
        <v>57</v>
      </c>
      <c r="E2418" t="s">
        <v>810</v>
      </c>
      <c r="F2418" t="s">
        <v>58</v>
      </c>
      <c r="G2418" t="s">
        <v>59</v>
      </c>
      <c r="H2418" t="s">
        <v>60</v>
      </c>
      <c r="I2418" t="s">
        <v>129</v>
      </c>
      <c r="J2418" t="s">
        <v>86</v>
      </c>
      <c r="K2418" t="s">
        <v>61</v>
      </c>
      <c r="L2418" t="s">
        <v>74</v>
      </c>
      <c r="M2418" t="s">
        <v>63</v>
      </c>
      <c r="N2418" t="s">
        <v>64</v>
      </c>
      <c r="P2418" t="s">
        <v>65</v>
      </c>
      <c r="R2418">
        <v>1.1399999999999999</v>
      </c>
      <c r="W2418" t="s">
        <v>66</v>
      </c>
      <c r="X2418" t="s">
        <v>67</v>
      </c>
      <c r="Y2418" t="s">
        <v>67</v>
      </c>
      <c r="Z2418" t="s">
        <v>68</v>
      </c>
      <c r="AB2418">
        <v>4</v>
      </c>
      <c r="AC2418" t="s">
        <v>61</v>
      </c>
      <c r="AJ2418" t="s">
        <v>69</v>
      </c>
      <c r="AY2418" t="s">
        <v>847</v>
      </c>
      <c r="AZ2418">
        <v>13120</v>
      </c>
      <c r="BA2418" t="s">
        <v>848</v>
      </c>
      <c r="BB2418" t="s">
        <v>849</v>
      </c>
      <c r="BC2418">
        <v>1988</v>
      </c>
      <c r="BD2418" t="s">
        <v>833</v>
      </c>
    </row>
    <row r="2419" spans="1:56" x14ac:dyDescent="0.35">
      <c r="A2419">
        <v>2499958</v>
      </c>
      <c r="B2419" t="s">
        <v>1813</v>
      </c>
      <c r="D2419" t="s">
        <v>57</v>
      </c>
      <c r="E2419" t="s">
        <v>810</v>
      </c>
      <c r="F2419" t="s">
        <v>58</v>
      </c>
      <c r="G2419" t="s">
        <v>59</v>
      </c>
      <c r="H2419" t="s">
        <v>60</v>
      </c>
      <c r="J2419">
        <v>34</v>
      </c>
      <c r="K2419" t="s">
        <v>61</v>
      </c>
      <c r="L2419" t="s">
        <v>74</v>
      </c>
      <c r="M2419" t="s">
        <v>63</v>
      </c>
      <c r="N2419" t="s">
        <v>64</v>
      </c>
      <c r="P2419" t="s">
        <v>65</v>
      </c>
      <c r="R2419">
        <v>1.0900000000000001</v>
      </c>
      <c r="T2419">
        <v>1.01</v>
      </c>
      <c r="V2419">
        <v>1.18</v>
      </c>
      <c r="W2419" t="s">
        <v>66</v>
      </c>
      <c r="X2419" t="s">
        <v>67</v>
      </c>
      <c r="Y2419" t="s">
        <v>67</v>
      </c>
      <c r="Z2419" t="s">
        <v>68</v>
      </c>
      <c r="AB2419">
        <v>4</v>
      </c>
      <c r="AC2419" t="s">
        <v>61</v>
      </c>
      <c r="AJ2419" t="s">
        <v>69</v>
      </c>
      <c r="AY2419" t="s">
        <v>263</v>
      </c>
      <c r="AZ2419">
        <v>12858</v>
      </c>
      <c r="BA2419" t="s">
        <v>264</v>
      </c>
      <c r="BB2419" t="s">
        <v>265</v>
      </c>
      <c r="BC2419">
        <v>1986</v>
      </c>
      <c r="BD2419" t="s">
        <v>73</v>
      </c>
    </row>
    <row r="2420" spans="1:56" x14ac:dyDescent="0.35">
      <c r="A2420">
        <v>2536314</v>
      </c>
      <c r="B2420" t="s">
        <v>1814</v>
      </c>
      <c r="E2420">
        <v>12.5</v>
      </c>
      <c r="F2420" t="s">
        <v>58</v>
      </c>
      <c r="G2420" t="s">
        <v>59</v>
      </c>
      <c r="H2420" t="s">
        <v>60</v>
      </c>
      <c r="I2420" t="s">
        <v>211</v>
      </c>
      <c r="J2420" t="s">
        <v>86</v>
      </c>
      <c r="L2420" t="s">
        <v>62</v>
      </c>
      <c r="M2420" t="s">
        <v>63</v>
      </c>
      <c r="N2420" t="s">
        <v>64</v>
      </c>
      <c r="P2420" t="s">
        <v>100</v>
      </c>
      <c r="R2420">
        <v>1.45</v>
      </c>
      <c r="W2420" t="s">
        <v>66</v>
      </c>
      <c r="X2420" t="s">
        <v>67</v>
      </c>
      <c r="Y2420" t="s">
        <v>67</v>
      </c>
      <c r="Z2420" t="s">
        <v>68</v>
      </c>
      <c r="AB2420">
        <v>4</v>
      </c>
      <c r="AC2420" t="s">
        <v>61</v>
      </c>
      <c r="AJ2420" t="s">
        <v>69</v>
      </c>
      <c r="AY2420" t="s">
        <v>116</v>
      </c>
      <c r="AZ2420">
        <v>344</v>
      </c>
      <c r="BA2420" t="s">
        <v>117</v>
      </c>
      <c r="BB2420" t="s">
        <v>118</v>
      </c>
      <c r="BC2420">
        <v>1992</v>
      </c>
      <c r="BD2420" t="s">
        <v>90</v>
      </c>
    </row>
    <row r="2421" spans="1:56" x14ac:dyDescent="0.35">
      <c r="A2421">
        <v>2545600</v>
      </c>
      <c r="B2421" t="s">
        <v>1815</v>
      </c>
      <c r="D2421" t="s">
        <v>85</v>
      </c>
      <c r="E2421">
        <v>43.5</v>
      </c>
      <c r="F2421" t="s">
        <v>58</v>
      </c>
      <c r="G2421" t="s">
        <v>59</v>
      </c>
      <c r="H2421" t="s">
        <v>60</v>
      </c>
      <c r="J2421" t="s">
        <v>86</v>
      </c>
      <c r="L2421" t="s">
        <v>62</v>
      </c>
      <c r="M2421" t="s">
        <v>63</v>
      </c>
      <c r="N2421" t="s">
        <v>64</v>
      </c>
      <c r="P2421" t="s">
        <v>100</v>
      </c>
      <c r="R2421">
        <v>201</v>
      </c>
      <c r="T2421">
        <v>161</v>
      </c>
      <c r="V2421">
        <v>288</v>
      </c>
      <c r="W2421" t="s">
        <v>66</v>
      </c>
      <c r="X2421" t="s">
        <v>67</v>
      </c>
      <c r="Y2421" t="s">
        <v>67</v>
      </c>
      <c r="Z2421" t="s">
        <v>68</v>
      </c>
      <c r="AB2421">
        <v>4</v>
      </c>
      <c r="AC2421" t="s">
        <v>61</v>
      </c>
      <c r="AJ2421" t="s">
        <v>69</v>
      </c>
      <c r="AY2421" t="s">
        <v>1755</v>
      </c>
      <c r="AZ2421">
        <v>10698</v>
      </c>
      <c r="BA2421" t="s">
        <v>1756</v>
      </c>
      <c r="BB2421" t="s">
        <v>1757</v>
      </c>
      <c r="BC2421">
        <v>1984</v>
      </c>
      <c r="BD2421" t="s">
        <v>90</v>
      </c>
    </row>
    <row r="2422" spans="1:56" x14ac:dyDescent="0.35">
      <c r="A2422">
        <v>2602462</v>
      </c>
      <c r="B2422" t="s">
        <v>1816</v>
      </c>
      <c r="D2422" t="s">
        <v>85</v>
      </c>
      <c r="E2422">
        <v>15</v>
      </c>
      <c r="F2422" t="s">
        <v>58</v>
      </c>
      <c r="G2422" t="s">
        <v>59</v>
      </c>
      <c r="H2422" t="s">
        <v>60</v>
      </c>
      <c r="J2422" t="s">
        <v>86</v>
      </c>
      <c r="L2422" t="s">
        <v>62</v>
      </c>
      <c r="M2422" t="s">
        <v>63</v>
      </c>
      <c r="N2422" t="s">
        <v>64</v>
      </c>
      <c r="P2422" t="s">
        <v>100</v>
      </c>
      <c r="Q2422" t="s">
        <v>153</v>
      </c>
      <c r="R2422">
        <v>180</v>
      </c>
      <c r="W2422" t="s">
        <v>66</v>
      </c>
      <c r="X2422" t="s">
        <v>67</v>
      </c>
      <c r="Y2422" t="s">
        <v>67</v>
      </c>
      <c r="Z2422" t="s">
        <v>68</v>
      </c>
      <c r="AB2422">
        <v>4</v>
      </c>
      <c r="AC2422" t="s">
        <v>61</v>
      </c>
      <c r="AJ2422" t="s">
        <v>69</v>
      </c>
      <c r="AY2422" t="s">
        <v>1246</v>
      </c>
      <c r="AZ2422">
        <v>6969</v>
      </c>
      <c r="BA2422" t="s">
        <v>1247</v>
      </c>
      <c r="BB2422" t="s">
        <v>1248</v>
      </c>
      <c r="BC2422">
        <v>1973</v>
      </c>
      <c r="BD2422" t="s">
        <v>90</v>
      </c>
    </row>
    <row r="2423" spans="1:56" x14ac:dyDescent="0.35">
      <c r="A2423">
        <v>2602462</v>
      </c>
      <c r="B2423" t="s">
        <v>1816</v>
      </c>
      <c r="D2423" t="s">
        <v>85</v>
      </c>
      <c r="E2423" t="s">
        <v>86</v>
      </c>
      <c r="F2423" t="s">
        <v>58</v>
      </c>
      <c r="G2423" t="s">
        <v>59</v>
      </c>
      <c r="H2423" t="s">
        <v>60</v>
      </c>
      <c r="J2423" t="s">
        <v>86</v>
      </c>
      <c r="L2423" t="s">
        <v>62</v>
      </c>
      <c r="M2423" t="s">
        <v>63</v>
      </c>
      <c r="N2423" t="s">
        <v>64</v>
      </c>
      <c r="P2423" t="s">
        <v>100</v>
      </c>
      <c r="Q2423" t="s">
        <v>153</v>
      </c>
      <c r="R2423">
        <v>180</v>
      </c>
      <c r="W2423" t="s">
        <v>66</v>
      </c>
      <c r="X2423" t="s">
        <v>67</v>
      </c>
      <c r="Y2423" t="s">
        <v>67</v>
      </c>
      <c r="Z2423" t="s">
        <v>68</v>
      </c>
      <c r="AB2423">
        <v>4</v>
      </c>
      <c r="AC2423" t="s">
        <v>61</v>
      </c>
      <c r="AJ2423" t="s">
        <v>69</v>
      </c>
      <c r="AY2423" t="s">
        <v>1243</v>
      </c>
      <c r="AZ2423">
        <v>5789</v>
      </c>
      <c r="BA2423" t="s">
        <v>1244</v>
      </c>
      <c r="BB2423" t="s">
        <v>1245</v>
      </c>
      <c r="BC2423">
        <v>1974</v>
      </c>
      <c r="BD2423" t="s">
        <v>90</v>
      </c>
    </row>
    <row r="2424" spans="1:56" x14ac:dyDescent="0.35">
      <c r="A2424">
        <v>2610119</v>
      </c>
      <c r="B2424" t="s">
        <v>1817</v>
      </c>
      <c r="D2424" t="s">
        <v>85</v>
      </c>
      <c r="E2424" t="s">
        <v>86</v>
      </c>
      <c r="F2424" t="s">
        <v>58</v>
      </c>
      <c r="G2424" t="s">
        <v>59</v>
      </c>
      <c r="H2424" t="s">
        <v>60</v>
      </c>
      <c r="J2424" t="s">
        <v>86</v>
      </c>
      <c r="L2424" t="s">
        <v>62</v>
      </c>
      <c r="M2424" t="s">
        <v>63</v>
      </c>
      <c r="N2424" t="s">
        <v>64</v>
      </c>
      <c r="P2424" t="s">
        <v>100</v>
      </c>
      <c r="Q2424" t="s">
        <v>153</v>
      </c>
      <c r="R2424">
        <v>180</v>
      </c>
      <c r="W2424" t="s">
        <v>66</v>
      </c>
      <c r="X2424" t="s">
        <v>67</v>
      </c>
      <c r="Y2424" t="s">
        <v>67</v>
      </c>
      <c r="Z2424" t="s">
        <v>68</v>
      </c>
      <c r="AB2424">
        <v>4</v>
      </c>
      <c r="AC2424" t="s">
        <v>61</v>
      </c>
      <c r="AJ2424" t="s">
        <v>69</v>
      </c>
      <c r="AY2424" t="s">
        <v>1243</v>
      </c>
      <c r="AZ2424">
        <v>5789</v>
      </c>
      <c r="BA2424" t="s">
        <v>1244</v>
      </c>
      <c r="BB2424" t="s">
        <v>1245</v>
      </c>
      <c r="BC2424">
        <v>1974</v>
      </c>
      <c r="BD2424" t="s">
        <v>90</v>
      </c>
    </row>
    <row r="2425" spans="1:56" x14ac:dyDescent="0.35">
      <c r="A2425">
        <v>2610119</v>
      </c>
      <c r="B2425" t="s">
        <v>1817</v>
      </c>
      <c r="D2425" t="s">
        <v>85</v>
      </c>
      <c r="E2425">
        <v>15</v>
      </c>
      <c r="F2425" t="s">
        <v>58</v>
      </c>
      <c r="G2425" t="s">
        <v>59</v>
      </c>
      <c r="H2425" t="s">
        <v>60</v>
      </c>
      <c r="J2425" t="s">
        <v>86</v>
      </c>
      <c r="L2425" t="s">
        <v>62</v>
      </c>
      <c r="M2425" t="s">
        <v>63</v>
      </c>
      <c r="N2425" t="s">
        <v>64</v>
      </c>
      <c r="P2425" t="s">
        <v>100</v>
      </c>
      <c r="Q2425" t="s">
        <v>153</v>
      </c>
      <c r="R2425">
        <v>180</v>
      </c>
      <c r="W2425" t="s">
        <v>66</v>
      </c>
      <c r="X2425" t="s">
        <v>67</v>
      </c>
      <c r="Y2425" t="s">
        <v>67</v>
      </c>
      <c r="Z2425" t="s">
        <v>68</v>
      </c>
      <c r="AB2425">
        <v>4</v>
      </c>
      <c r="AC2425" t="s">
        <v>61</v>
      </c>
      <c r="AJ2425" t="s">
        <v>69</v>
      </c>
      <c r="AY2425" t="s">
        <v>1246</v>
      </c>
      <c r="AZ2425">
        <v>6969</v>
      </c>
      <c r="BA2425" t="s">
        <v>1247</v>
      </c>
      <c r="BB2425" t="s">
        <v>1248</v>
      </c>
      <c r="BC2425">
        <v>1973</v>
      </c>
      <c r="BD2425" t="s">
        <v>90</v>
      </c>
    </row>
    <row r="2426" spans="1:56" x14ac:dyDescent="0.35">
      <c r="A2426">
        <v>2626837</v>
      </c>
      <c r="B2426" t="s">
        <v>1818</v>
      </c>
      <c r="D2426" t="s">
        <v>57</v>
      </c>
      <c r="E2426" t="s">
        <v>638</v>
      </c>
      <c r="F2426" t="s">
        <v>58</v>
      </c>
      <c r="G2426" t="s">
        <v>59</v>
      </c>
      <c r="H2426" t="s">
        <v>60</v>
      </c>
      <c r="J2426">
        <v>32</v>
      </c>
      <c r="K2426" t="s">
        <v>61</v>
      </c>
      <c r="L2426" t="s">
        <v>74</v>
      </c>
      <c r="M2426" t="s">
        <v>63</v>
      </c>
      <c r="N2426" t="s">
        <v>64</v>
      </c>
      <c r="O2426">
        <v>6</v>
      </c>
      <c r="P2426" t="s">
        <v>65</v>
      </c>
      <c r="R2426">
        <v>10</v>
      </c>
      <c r="T2426">
        <v>9.3800000000000008</v>
      </c>
      <c r="V2426">
        <v>10.7</v>
      </c>
      <c r="W2426" t="s">
        <v>66</v>
      </c>
      <c r="X2426" t="s">
        <v>67</v>
      </c>
      <c r="Y2426" t="s">
        <v>67</v>
      </c>
      <c r="Z2426" t="s">
        <v>68</v>
      </c>
      <c r="AB2426">
        <v>4</v>
      </c>
      <c r="AC2426" t="s">
        <v>61</v>
      </c>
      <c r="AJ2426" t="s">
        <v>69</v>
      </c>
      <c r="AY2426" t="s">
        <v>286</v>
      </c>
      <c r="AZ2426">
        <v>12448</v>
      </c>
      <c r="BA2426" t="s">
        <v>287</v>
      </c>
      <c r="BB2426" t="s">
        <v>288</v>
      </c>
      <c r="BC2426">
        <v>1984</v>
      </c>
      <c r="BD2426" t="s">
        <v>73</v>
      </c>
    </row>
    <row r="2427" spans="1:56" x14ac:dyDescent="0.35">
      <c r="A2427">
        <v>2691410</v>
      </c>
      <c r="B2427" t="s">
        <v>1819</v>
      </c>
      <c r="D2427" t="s">
        <v>85</v>
      </c>
      <c r="E2427" t="s">
        <v>86</v>
      </c>
      <c r="F2427" t="s">
        <v>58</v>
      </c>
      <c r="G2427" t="s">
        <v>59</v>
      </c>
      <c r="H2427" t="s">
        <v>60</v>
      </c>
      <c r="I2427" t="s">
        <v>177</v>
      </c>
      <c r="J2427">
        <v>60</v>
      </c>
      <c r="K2427" t="s">
        <v>61</v>
      </c>
      <c r="L2427" t="s">
        <v>62</v>
      </c>
      <c r="M2427" t="s">
        <v>63</v>
      </c>
      <c r="N2427" t="s">
        <v>64</v>
      </c>
      <c r="P2427" t="s">
        <v>100</v>
      </c>
      <c r="Q2427" t="s">
        <v>153</v>
      </c>
      <c r="R2427">
        <v>32</v>
      </c>
      <c r="W2427" t="s">
        <v>66</v>
      </c>
      <c r="X2427" t="s">
        <v>67</v>
      </c>
      <c r="Y2427" t="s">
        <v>67</v>
      </c>
      <c r="Z2427" t="s">
        <v>68</v>
      </c>
      <c r="AB2427">
        <v>4</v>
      </c>
      <c r="AC2427" t="s">
        <v>61</v>
      </c>
      <c r="AJ2427" t="s">
        <v>69</v>
      </c>
      <c r="AY2427" t="s">
        <v>536</v>
      </c>
      <c r="AZ2427">
        <v>5966</v>
      </c>
      <c r="BA2427" t="s">
        <v>1820</v>
      </c>
      <c r="BB2427" t="s">
        <v>1821</v>
      </c>
      <c r="BC2427">
        <v>1977</v>
      </c>
      <c r="BD2427" t="s">
        <v>73</v>
      </c>
    </row>
    <row r="2428" spans="1:56" x14ac:dyDescent="0.35">
      <c r="A2428">
        <v>2691410</v>
      </c>
      <c r="B2428" t="s">
        <v>1819</v>
      </c>
      <c r="D2428" t="s">
        <v>85</v>
      </c>
      <c r="E2428" t="s">
        <v>86</v>
      </c>
      <c r="F2428" t="s">
        <v>58</v>
      </c>
      <c r="G2428" t="s">
        <v>59</v>
      </c>
      <c r="H2428" t="s">
        <v>60</v>
      </c>
      <c r="I2428" t="s">
        <v>177</v>
      </c>
      <c r="J2428">
        <v>30</v>
      </c>
      <c r="K2428" t="s">
        <v>61</v>
      </c>
      <c r="L2428" t="s">
        <v>62</v>
      </c>
      <c r="M2428" t="s">
        <v>63</v>
      </c>
      <c r="N2428" t="s">
        <v>64</v>
      </c>
      <c r="P2428" t="s">
        <v>100</v>
      </c>
      <c r="Q2428" t="s">
        <v>153</v>
      </c>
      <c r="R2428">
        <v>32</v>
      </c>
      <c r="W2428" t="s">
        <v>66</v>
      </c>
      <c r="X2428" t="s">
        <v>67</v>
      </c>
      <c r="Y2428" t="s">
        <v>67</v>
      </c>
      <c r="Z2428" t="s">
        <v>68</v>
      </c>
      <c r="AB2428">
        <v>4</v>
      </c>
      <c r="AC2428" t="s">
        <v>61</v>
      </c>
      <c r="AJ2428" t="s">
        <v>69</v>
      </c>
      <c r="AY2428" t="s">
        <v>536</v>
      </c>
      <c r="AZ2428">
        <v>5966</v>
      </c>
      <c r="BA2428" t="s">
        <v>1820</v>
      </c>
      <c r="BB2428" t="s">
        <v>1821</v>
      </c>
      <c r="BC2428">
        <v>1977</v>
      </c>
      <c r="BD2428" t="s">
        <v>73</v>
      </c>
    </row>
    <row r="2429" spans="1:56" x14ac:dyDescent="0.35">
      <c r="A2429">
        <v>2691410</v>
      </c>
      <c r="B2429" t="s">
        <v>1819</v>
      </c>
      <c r="D2429" t="s">
        <v>85</v>
      </c>
      <c r="E2429" t="s">
        <v>86</v>
      </c>
      <c r="F2429" t="s">
        <v>58</v>
      </c>
      <c r="G2429" t="s">
        <v>59</v>
      </c>
      <c r="H2429" t="s">
        <v>60</v>
      </c>
      <c r="I2429" t="s">
        <v>177</v>
      </c>
      <c r="J2429">
        <v>7</v>
      </c>
      <c r="K2429" t="s">
        <v>61</v>
      </c>
      <c r="L2429" t="s">
        <v>62</v>
      </c>
      <c r="M2429" t="s">
        <v>63</v>
      </c>
      <c r="N2429" t="s">
        <v>64</v>
      </c>
      <c r="P2429" t="s">
        <v>100</v>
      </c>
      <c r="R2429">
        <v>15</v>
      </c>
      <c r="T2429">
        <v>8.8000000000000007</v>
      </c>
      <c r="V2429">
        <v>26</v>
      </c>
      <c r="W2429" t="s">
        <v>66</v>
      </c>
      <c r="X2429" t="s">
        <v>67</v>
      </c>
      <c r="Y2429" t="s">
        <v>67</v>
      </c>
      <c r="Z2429" t="s">
        <v>68</v>
      </c>
      <c r="AB2429">
        <v>4</v>
      </c>
      <c r="AC2429" t="s">
        <v>61</v>
      </c>
      <c r="AJ2429" t="s">
        <v>69</v>
      </c>
      <c r="AY2429" t="s">
        <v>536</v>
      </c>
      <c r="AZ2429">
        <v>5966</v>
      </c>
      <c r="BA2429" t="s">
        <v>1820</v>
      </c>
      <c r="BB2429" t="s">
        <v>1821</v>
      </c>
      <c r="BC2429">
        <v>1977</v>
      </c>
      <c r="BD2429" t="s">
        <v>73</v>
      </c>
    </row>
    <row r="2430" spans="1:56" x14ac:dyDescent="0.35">
      <c r="A2430">
        <v>2691410</v>
      </c>
      <c r="B2430" t="s">
        <v>1819</v>
      </c>
      <c r="D2430" t="s">
        <v>85</v>
      </c>
      <c r="E2430" t="s">
        <v>86</v>
      </c>
      <c r="F2430" t="s">
        <v>58</v>
      </c>
      <c r="G2430" t="s">
        <v>59</v>
      </c>
      <c r="H2430" t="s">
        <v>60</v>
      </c>
      <c r="I2430" t="s">
        <v>177</v>
      </c>
      <c r="J2430">
        <v>1</v>
      </c>
      <c r="K2430" t="s">
        <v>184</v>
      </c>
      <c r="L2430" t="s">
        <v>62</v>
      </c>
      <c r="M2430" t="s">
        <v>63</v>
      </c>
      <c r="N2430" t="s">
        <v>64</v>
      </c>
      <c r="P2430" t="s">
        <v>100</v>
      </c>
      <c r="Q2430" t="s">
        <v>153</v>
      </c>
      <c r="R2430">
        <v>32</v>
      </c>
      <c r="W2430" t="s">
        <v>66</v>
      </c>
      <c r="X2430" t="s">
        <v>67</v>
      </c>
      <c r="Y2430" t="s">
        <v>67</v>
      </c>
      <c r="Z2430" t="s">
        <v>68</v>
      </c>
      <c r="AB2430">
        <v>4</v>
      </c>
      <c r="AC2430" t="s">
        <v>61</v>
      </c>
      <c r="AJ2430" t="s">
        <v>69</v>
      </c>
      <c r="AY2430" t="s">
        <v>536</v>
      </c>
      <c r="AZ2430">
        <v>5966</v>
      </c>
      <c r="BA2430" t="s">
        <v>1820</v>
      </c>
      <c r="BB2430" t="s">
        <v>1821</v>
      </c>
      <c r="BC2430">
        <v>1977</v>
      </c>
      <c r="BD2430" t="s">
        <v>185</v>
      </c>
    </row>
    <row r="2431" spans="1:56" x14ac:dyDescent="0.35">
      <c r="A2431">
        <v>2691410</v>
      </c>
      <c r="B2431" t="s">
        <v>1819</v>
      </c>
      <c r="D2431" t="s">
        <v>85</v>
      </c>
      <c r="E2431" t="s">
        <v>86</v>
      </c>
      <c r="F2431" t="s">
        <v>58</v>
      </c>
      <c r="G2431" t="s">
        <v>59</v>
      </c>
      <c r="H2431" t="s">
        <v>60</v>
      </c>
      <c r="J2431" t="s">
        <v>86</v>
      </c>
      <c r="L2431" t="s">
        <v>62</v>
      </c>
      <c r="M2431" t="s">
        <v>63</v>
      </c>
      <c r="N2431" t="s">
        <v>64</v>
      </c>
      <c r="P2431" t="s">
        <v>100</v>
      </c>
      <c r="Q2431" t="s">
        <v>153</v>
      </c>
      <c r="R2431">
        <v>32</v>
      </c>
      <c r="W2431" t="s">
        <v>66</v>
      </c>
      <c r="X2431" t="s">
        <v>67</v>
      </c>
      <c r="Y2431" t="s">
        <v>67</v>
      </c>
      <c r="Z2431" t="s">
        <v>68</v>
      </c>
      <c r="AB2431">
        <v>4</v>
      </c>
      <c r="AC2431" t="s">
        <v>61</v>
      </c>
      <c r="AJ2431" t="s">
        <v>69</v>
      </c>
      <c r="AY2431" t="s">
        <v>536</v>
      </c>
      <c r="AZ2431">
        <v>5966</v>
      </c>
      <c r="BA2431" t="s">
        <v>1820</v>
      </c>
      <c r="BB2431" t="s">
        <v>1821</v>
      </c>
      <c r="BC2431">
        <v>1977</v>
      </c>
      <c r="BD2431" t="s">
        <v>90</v>
      </c>
    </row>
    <row r="2432" spans="1:56" x14ac:dyDescent="0.35">
      <c r="A2432">
        <v>2691410</v>
      </c>
      <c r="B2432" t="s">
        <v>1819</v>
      </c>
      <c r="D2432" t="s">
        <v>85</v>
      </c>
      <c r="E2432" t="s">
        <v>86</v>
      </c>
      <c r="F2432" t="s">
        <v>58</v>
      </c>
      <c r="G2432" t="s">
        <v>59</v>
      </c>
      <c r="H2432" t="s">
        <v>60</v>
      </c>
      <c r="I2432" t="s">
        <v>186</v>
      </c>
      <c r="J2432" t="s">
        <v>86</v>
      </c>
      <c r="L2432" t="s">
        <v>62</v>
      </c>
      <c r="M2432" t="s">
        <v>63</v>
      </c>
      <c r="N2432" t="s">
        <v>64</v>
      </c>
      <c r="P2432" t="s">
        <v>100</v>
      </c>
      <c r="Q2432" t="s">
        <v>153</v>
      </c>
      <c r="R2432">
        <v>32</v>
      </c>
      <c r="W2432" t="s">
        <v>66</v>
      </c>
      <c r="X2432" t="s">
        <v>67</v>
      </c>
      <c r="Y2432" t="s">
        <v>67</v>
      </c>
      <c r="Z2432" t="s">
        <v>68</v>
      </c>
      <c r="AB2432">
        <v>4</v>
      </c>
      <c r="AC2432" t="s">
        <v>61</v>
      </c>
      <c r="AJ2432" t="s">
        <v>69</v>
      </c>
      <c r="AY2432" t="s">
        <v>536</v>
      </c>
      <c r="AZ2432">
        <v>5966</v>
      </c>
      <c r="BA2432" t="s">
        <v>1820</v>
      </c>
      <c r="BB2432" t="s">
        <v>1821</v>
      </c>
      <c r="BC2432">
        <v>1977</v>
      </c>
      <c r="BD2432" t="s">
        <v>90</v>
      </c>
    </row>
    <row r="2433" spans="1:56" x14ac:dyDescent="0.35">
      <c r="A2433">
        <v>2706903</v>
      </c>
      <c r="B2433" t="s">
        <v>1822</v>
      </c>
      <c r="D2433" t="s">
        <v>57</v>
      </c>
      <c r="E2433">
        <v>97</v>
      </c>
      <c r="F2433" t="s">
        <v>58</v>
      </c>
      <c r="G2433" t="s">
        <v>59</v>
      </c>
      <c r="H2433" t="s">
        <v>60</v>
      </c>
      <c r="J2433">
        <v>68</v>
      </c>
      <c r="K2433" t="s">
        <v>61</v>
      </c>
      <c r="L2433" t="s">
        <v>62</v>
      </c>
      <c r="M2433" t="s">
        <v>63</v>
      </c>
      <c r="N2433" t="s">
        <v>64</v>
      </c>
      <c r="O2433">
        <v>5</v>
      </c>
      <c r="P2433" t="s">
        <v>65</v>
      </c>
      <c r="R2433">
        <v>32</v>
      </c>
      <c r="W2433" t="s">
        <v>66</v>
      </c>
      <c r="X2433" t="s">
        <v>67</v>
      </c>
      <c r="Y2433" t="s">
        <v>67</v>
      </c>
      <c r="Z2433" t="s">
        <v>68</v>
      </c>
      <c r="AB2433">
        <v>4</v>
      </c>
      <c r="AC2433" t="s">
        <v>61</v>
      </c>
      <c r="AJ2433" t="s">
        <v>69</v>
      </c>
      <c r="AY2433" t="s">
        <v>1823</v>
      </c>
      <c r="AZ2433">
        <v>161077</v>
      </c>
      <c r="BA2433" t="s">
        <v>1824</v>
      </c>
      <c r="BB2433" t="s">
        <v>1825</v>
      </c>
      <c r="BC2433">
        <v>2012</v>
      </c>
      <c r="BD2433" t="s">
        <v>73</v>
      </c>
    </row>
    <row r="2434" spans="1:56" x14ac:dyDescent="0.35">
      <c r="A2434">
        <v>2759286</v>
      </c>
      <c r="B2434" t="s">
        <v>1826</v>
      </c>
      <c r="D2434" t="s">
        <v>57</v>
      </c>
      <c r="E2434">
        <v>95</v>
      </c>
      <c r="F2434" t="s">
        <v>58</v>
      </c>
      <c r="G2434" t="s">
        <v>59</v>
      </c>
      <c r="H2434" t="s">
        <v>60</v>
      </c>
      <c r="J2434" t="s">
        <v>86</v>
      </c>
      <c r="K2434" t="s">
        <v>61</v>
      </c>
      <c r="L2434" t="s">
        <v>74</v>
      </c>
      <c r="M2434" t="s">
        <v>63</v>
      </c>
      <c r="N2434" t="s">
        <v>64</v>
      </c>
      <c r="P2434" t="s">
        <v>65</v>
      </c>
      <c r="R2434">
        <v>47.4</v>
      </c>
      <c r="T2434">
        <v>44.6</v>
      </c>
      <c r="V2434">
        <v>50.5</v>
      </c>
      <c r="W2434" t="s">
        <v>66</v>
      </c>
      <c r="X2434" t="s">
        <v>67</v>
      </c>
      <c r="Y2434" t="s">
        <v>67</v>
      </c>
      <c r="Z2434" t="s">
        <v>68</v>
      </c>
      <c r="AB2434">
        <v>4</v>
      </c>
      <c r="AC2434" t="s">
        <v>61</v>
      </c>
      <c r="AJ2434" t="s">
        <v>69</v>
      </c>
      <c r="AY2434" t="s">
        <v>263</v>
      </c>
      <c r="AZ2434">
        <v>12858</v>
      </c>
      <c r="BA2434" t="s">
        <v>264</v>
      </c>
      <c r="BB2434" t="s">
        <v>265</v>
      </c>
      <c r="BC2434">
        <v>1986</v>
      </c>
      <c r="BD2434" t="s">
        <v>148</v>
      </c>
    </row>
    <row r="2435" spans="1:56" x14ac:dyDescent="0.35">
      <c r="A2435">
        <v>2764729</v>
      </c>
      <c r="B2435" t="s">
        <v>1827</v>
      </c>
      <c r="D2435" t="s">
        <v>85</v>
      </c>
      <c r="E2435" t="s">
        <v>86</v>
      </c>
      <c r="F2435" t="s">
        <v>58</v>
      </c>
      <c r="G2435" t="s">
        <v>59</v>
      </c>
      <c r="H2435" t="s">
        <v>60</v>
      </c>
      <c r="J2435" t="s">
        <v>86</v>
      </c>
      <c r="M2435" t="s">
        <v>63</v>
      </c>
      <c r="N2435" t="s">
        <v>64</v>
      </c>
      <c r="P2435" t="s">
        <v>100</v>
      </c>
      <c r="R2435">
        <v>14</v>
      </c>
      <c r="W2435" t="s">
        <v>66</v>
      </c>
      <c r="X2435" t="s">
        <v>67</v>
      </c>
      <c r="Y2435" t="s">
        <v>67</v>
      </c>
      <c r="Z2435" t="s">
        <v>68</v>
      </c>
      <c r="AB2435">
        <v>4</v>
      </c>
      <c r="AC2435" t="s">
        <v>61</v>
      </c>
      <c r="AJ2435" t="s">
        <v>69</v>
      </c>
      <c r="AY2435" t="s">
        <v>101</v>
      </c>
      <c r="AZ2435">
        <v>70421</v>
      </c>
      <c r="BA2435" t="s">
        <v>102</v>
      </c>
      <c r="BB2435" t="s">
        <v>103</v>
      </c>
      <c r="BC2435">
        <v>1974</v>
      </c>
      <c r="BD2435" t="s">
        <v>90</v>
      </c>
    </row>
    <row r="2436" spans="1:56" x14ac:dyDescent="0.35">
      <c r="A2436">
        <v>2787919</v>
      </c>
      <c r="B2436" t="s">
        <v>1828</v>
      </c>
      <c r="D2436" t="s">
        <v>85</v>
      </c>
      <c r="E2436" t="s">
        <v>86</v>
      </c>
      <c r="F2436" t="s">
        <v>58</v>
      </c>
      <c r="G2436" t="s">
        <v>59</v>
      </c>
      <c r="H2436" t="s">
        <v>60</v>
      </c>
      <c r="J2436" t="s">
        <v>86</v>
      </c>
      <c r="L2436" t="s">
        <v>62</v>
      </c>
      <c r="M2436" t="s">
        <v>63</v>
      </c>
      <c r="N2436" t="s">
        <v>64</v>
      </c>
      <c r="P2436" t="s">
        <v>100</v>
      </c>
      <c r="R2436">
        <v>4</v>
      </c>
      <c r="W2436" t="s">
        <v>66</v>
      </c>
      <c r="X2436" t="s">
        <v>67</v>
      </c>
      <c r="Y2436" t="s">
        <v>67</v>
      </c>
      <c r="Z2436" t="s">
        <v>68</v>
      </c>
      <c r="AB2436">
        <v>4</v>
      </c>
      <c r="AC2436" t="s">
        <v>61</v>
      </c>
      <c r="AJ2436" t="s">
        <v>69</v>
      </c>
      <c r="AY2436" t="s">
        <v>1243</v>
      </c>
      <c r="AZ2436">
        <v>5789</v>
      </c>
      <c r="BA2436" t="s">
        <v>1244</v>
      </c>
      <c r="BB2436" t="s">
        <v>1245</v>
      </c>
      <c r="BC2436">
        <v>1974</v>
      </c>
      <c r="BD2436" t="s">
        <v>90</v>
      </c>
    </row>
    <row r="2437" spans="1:56" x14ac:dyDescent="0.35">
      <c r="A2437">
        <v>2787919</v>
      </c>
      <c r="B2437" t="s">
        <v>1828</v>
      </c>
      <c r="D2437" t="s">
        <v>85</v>
      </c>
      <c r="E2437">
        <v>15</v>
      </c>
      <c r="F2437" t="s">
        <v>58</v>
      </c>
      <c r="G2437" t="s">
        <v>59</v>
      </c>
      <c r="H2437" t="s">
        <v>60</v>
      </c>
      <c r="J2437" t="s">
        <v>86</v>
      </c>
      <c r="L2437" t="s">
        <v>62</v>
      </c>
      <c r="M2437" t="s">
        <v>63</v>
      </c>
      <c r="N2437" t="s">
        <v>64</v>
      </c>
      <c r="P2437" t="s">
        <v>100</v>
      </c>
      <c r="R2437">
        <v>4</v>
      </c>
      <c r="W2437" t="s">
        <v>66</v>
      </c>
      <c r="X2437" t="s">
        <v>67</v>
      </c>
      <c r="Y2437" t="s">
        <v>67</v>
      </c>
      <c r="Z2437" t="s">
        <v>68</v>
      </c>
      <c r="AB2437">
        <v>4</v>
      </c>
      <c r="AC2437" t="s">
        <v>61</v>
      </c>
      <c r="AJ2437" t="s">
        <v>69</v>
      </c>
      <c r="AY2437" t="s">
        <v>1246</v>
      </c>
      <c r="AZ2437">
        <v>6969</v>
      </c>
      <c r="BA2437" t="s">
        <v>1247</v>
      </c>
      <c r="BB2437" t="s">
        <v>1248</v>
      </c>
      <c r="BC2437">
        <v>1973</v>
      </c>
      <c r="BD2437" t="s">
        <v>90</v>
      </c>
    </row>
    <row r="2438" spans="1:56" x14ac:dyDescent="0.35">
      <c r="A2438">
        <v>2795393</v>
      </c>
      <c r="B2438" t="s">
        <v>1829</v>
      </c>
      <c r="D2438" t="s">
        <v>57</v>
      </c>
      <c r="E2438">
        <v>90.49</v>
      </c>
      <c r="F2438" t="s">
        <v>58</v>
      </c>
      <c r="G2438" t="s">
        <v>59</v>
      </c>
      <c r="H2438" t="s">
        <v>60</v>
      </c>
      <c r="I2438" t="s">
        <v>129</v>
      </c>
      <c r="J2438" t="s">
        <v>1830</v>
      </c>
      <c r="K2438" t="s">
        <v>61</v>
      </c>
      <c r="L2438" t="s">
        <v>62</v>
      </c>
      <c r="M2438" t="s">
        <v>63</v>
      </c>
      <c r="N2438" t="s">
        <v>64</v>
      </c>
      <c r="O2438">
        <v>6</v>
      </c>
      <c r="P2438" t="s">
        <v>65</v>
      </c>
      <c r="R2438">
        <v>9.5</v>
      </c>
      <c r="T2438">
        <v>8</v>
      </c>
      <c r="V2438">
        <v>11</v>
      </c>
      <c r="W2438" t="s">
        <v>66</v>
      </c>
      <c r="X2438" t="s">
        <v>67</v>
      </c>
      <c r="Y2438" t="s">
        <v>67</v>
      </c>
      <c r="Z2438" t="s">
        <v>68</v>
      </c>
      <c r="AB2438">
        <v>4</v>
      </c>
      <c r="AC2438" t="s">
        <v>61</v>
      </c>
      <c r="AJ2438" t="s">
        <v>69</v>
      </c>
      <c r="AY2438" t="s">
        <v>1831</v>
      </c>
      <c r="AZ2438">
        <v>180423</v>
      </c>
      <c r="BA2438" t="s">
        <v>1832</v>
      </c>
      <c r="BB2438" t="s">
        <v>1833</v>
      </c>
      <c r="BC2438">
        <v>2000</v>
      </c>
      <c r="BD2438" t="s">
        <v>73</v>
      </c>
    </row>
    <row r="2439" spans="1:56" x14ac:dyDescent="0.35">
      <c r="A2439">
        <v>2832408</v>
      </c>
      <c r="B2439" t="s">
        <v>1834</v>
      </c>
      <c r="D2439" t="s">
        <v>85</v>
      </c>
      <c r="E2439">
        <v>15</v>
      </c>
      <c r="F2439" t="s">
        <v>58</v>
      </c>
      <c r="G2439" t="s">
        <v>59</v>
      </c>
      <c r="H2439" t="s">
        <v>60</v>
      </c>
      <c r="J2439" t="s">
        <v>86</v>
      </c>
      <c r="L2439" t="s">
        <v>62</v>
      </c>
      <c r="M2439" t="s">
        <v>63</v>
      </c>
      <c r="N2439" t="s">
        <v>64</v>
      </c>
      <c r="P2439" t="s">
        <v>100</v>
      </c>
      <c r="Q2439" t="s">
        <v>153</v>
      </c>
      <c r="R2439">
        <v>180</v>
      </c>
      <c r="W2439" t="s">
        <v>66</v>
      </c>
      <c r="X2439" t="s">
        <v>67</v>
      </c>
      <c r="Y2439" t="s">
        <v>67</v>
      </c>
      <c r="Z2439" t="s">
        <v>68</v>
      </c>
      <c r="AB2439">
        <v>4</v>
      </c>
      <c r="AC2439" t="s">
        <v>61</v>
      </c>
      <c r="AJ2439" t="s">
        <v>69</v>
      </c>
      <c r="AY2439" t="s">
        <v>1246</v>
      </c>
      <c r="AZ2439">
        <v>6969</v>
      </c>
      <c r="BA2439" t="s">
        <v>1247</v>
      </c>
      <c r="BB2439" t="s">
        <v>1248</v>
      </c>
      <c r="BC2439">
        <v>1973</v>
      </c>
      <c r="BD2439" t="s">
        <v>90</v>
      </c>
    </row>
    <row r="2440" spans="1:56" x14ac:dyDescent="0.35">
      <c r="A2440">
        <v>2832408</v>
      </c>
      <c r="B2440" t="s">
        <v>1834</v>
      </c>
      <c r="D2440" t="s">
        <v>85</v>
      </c>
      <c r="E2440" t="s">
        <v>86</v>
      </c>
      <c r="F2440" t="s">
        <v>58</v>
      </c>
      <c r="G2440" t="s">
        <v>59</v>
      </c>
      <c r="H2440" t="s">
        <v>60</v>
      </c>
      <c r="J2440" t="s">
        <v>86</v>
      </c>
      <c r="L2440" t="s">
        <v>62</v>
      </c>
      <c r="M2440" t="s">
        <v>63</v>
      </c>
      <c r="N2440" t="s">
        <v>64</v>
      </c>
      <c r="P2440" t="s">
        <v>100</v>
      </c>
      <c r="Q2440" t="s">
        <v>153</v>
      </c>
      <c r="R2440">
        <v>180</v>
      </c>
      <c r="W2440" t="s">
        <v>66</v>
      </c>
      <c r="X2440" t="s">
        <v>67</v>
      </c>
      <c r="Y2440" t="s">
        <v>67</v>
      </c>
      <c r="Z2440" t="s">
        <v>68</v>
      </c>
      <c r="AB2440">
        <v>4</v>
      </c>
      <c r="AC2440" t="s">
        <v>61</v>
      </c>
      <c r="AJ2440" t="s">
        <v>69</v>
      </c>
      <c r="AY2440" t="s">
        <v>1243</v>
      </c>
      <c r="AZ2440">
        <v>5789</v>
      </c>
      <c r="BA2440" t="s">
        <v>1244</v>
      </c>
      <c r="BB2440" t="s">
        <v>1245</v>
      </c>
      <c r="BC2440">
        <v>1974</v>
      </c>
      <c r="BD2440" t="s">
        <v>90</v>
      </c>
    </row>
    <row r="2441" spans="1:56" x14ac:dyDescent="0.35">
      <c r="A2441">
        <v>2859678</v>
      </c>
      <c r="B2441" t="s">
        <v>1835</v>
      </c>
      <c r="D2441" t="s">
        <v>57</v>
      </c>
      <c r="E2441">
        <v>99</v>
      </c>
      <c r="F2441" t="s">
        <v>58</v>
      </c>
      <c r="G2441" t="s">
        <v>59</v>
      </c>
      <c r="H2441" t="s">
        <v>60</v>
      </c>
      <c r="J2441">
        <v>31</v>
      </c>
      <c r="K2441" t="s">
        <v>61</v>
      </c>
      <c r="L2441" t="s">
        <v>74</v>
      </c>
      <c r="M2441" t="s">
        <v>63</v>
      </c>
      <c r="N2441" t="s">
        <v>64</v>
      </c>
      <c r="P2441" t="s">
        <v>65</v>
      </c>
      <c r="R2441">
        <v>150</v>
      </c>
      <c r="T2441">
        <v>130</v>
      </c>
      <c r="V2441">
        <v>160</v>
      </c>
      <c r="W2441" t="s">
        <v>66</v>
      </c>
      <c r="X2441" t="s">
        <v>67</v>
      </c>
      <c r="Y2441" t="s">
        <v>67</v>
      </c>
      <c r="Z2441" t="s">
        <v>68</v>
      </c>
      <c r="AB2441">
        <v>4</v>
      </c>
      <c r="AC2441" t="s">
        <v>61</v>
      </c>
      <c r="AJ2441" t="s">
        <v>69</v>
      </c>
      <c r="AY2441" t="s">
        <v>286</v>
      </c>
      <c r="AZ2441">
        <v>12448</v>
      </c>
      <c r="BA2441" t="s">
        <v>287</v>
      </c>
      <c r="BB2441" t="s">
        <v>288</v>
      </c>
      <c r="BC2441">
        <v>1984</v>
      </c>
      <c r="BD2441" t="s">
        <v>73</v>
      </c>
    </row>
    <row r="2442" spans="1:56" x14ac:dyDescent="0.35">
      <c r="A2442">
        <v>2861021</v>
      </c>
      <c r="B2442" t="s">
        <v>1836</v>
      </c>
      <c r="D2442" t="s">
        <v>85</v>
      </c>
      <c r="E2442" t="s">
        <v>86</v>
      </c>
      <c r="F2442" t="s">
        <v>58</v>
      </c>
      <c r="G2442" t="s">
        <v>59</v>
      </c>
      <c r="H2442" t="s">
        <v>60</v>
      </c>
      <c r="J2442" t="s">
        <v>86</v>
      </c>
      <c r="L2442" t="s">
        <v>62</v>
      </c>
      <c r="M2442" t="s">
        <v>63</v>
      </c>
      <c r="N2442" t="s">
        <v>64</v>
      </c>
      <c r="P2442" t="s">
        <v>100</v>
      </c>
      <c r="Q2442" t="s">
        <v>153</v>
      </c>
      <c r="R2442">
        <v>180</v>
      </c>
      <c r="W2442" t="s">
        <v>66</v>
      </c>
      <c r="X2442" t="s">
        <v>67</v>
      </c>
      <c r="Y2442" t="s">
        <v>67</v>
      </c>
      <c r="Z2442" t="s">
        <v>68</v>
      </c>
      <c r="AB2442">
        <v>4</v>
      </c>
      <c r="AC2442" t="s">
        <v>61</v>
      </c>
      <c r="AJ2442" t="s">
        <v>69</v>
      </c>
      <c r="AY2442" t="s">
        <v>1243</v>
      </c>
      <c r="AZ2442">
        <v>5789</v>
      </c>
      <c r="BA2442" t="s">
        <v>1244</v>
      </c>
      <c r="BB2442" t="s">
        <v>1245</v>
      </c>
      <c r="BC2442">
        <v>1974</v>
      </c>
      <c r="BD2442" t="s">
        <v>90</v>
      </c>
    </row>
    <row r="2443" spans="1:56" x14ac:dyDescent="0.35">
      <c r="A2443">
        <v>2861021</v>
      </c>
      <c r="B2443" t="s">
        <v>1836</v>
      </c>
      <c r="D2443" t="s">
        <v>85</v>
      </c>
      <c r="E2443">
        <v>15</v>
      </c>
      <c r="F2443" t="s">
        <v>58</v>
      </c>
      <c r="G2443" t="s">
        <v>59</v>
      </c>
      <c r="H2443" t="s">
        <v>60</v>
      </c>
      <c r="J2443" t="s">
        <v>86</v>
      </c>
      <c r="L2443" t="s">
        <v>62</v>
      </c>
      <c r="M2443" t="s">
        <v>63</v>
      </c>
      <c r="N2443" t="s">
        <v>64</v>
      </c>
      <c r="P2443" t="s">
        <v>100</v>
      </c>
      <c r="Q2443" t="s">
        <v>153</v>
      </c>
      <c r="R2443">
        <v>180</v>
      </c>
      <c r="W2443" t="s">
        <v>66</v>
      </c>
      <c r="X2443" t="s">
        <v>67</v>
      </c>
      <c r="Y2443" t="s">
        <v>67</v>
      </c>
      <c r="Z2443" t="s">
        <v>68</v>
      </c>
      <c r="AB2443">
        <v>4</v>
      </c>
      <c r="AC2443" t="s">
        <v>61</v>
      </c>
      <c r="AJ2443" t="s">
        <v>69</v>
      </c>
      <c r="AY2443" t="s">
        <v>1246</v>
      </c>
      <c r="AZ2443">
        <v>6969</v>
      </c>
      <c r="BA2443" t="s">
        <v>1247</v>
      </c>
      <c r="BB2443" t="s">
        <v>1248</v>
      </c>
      <c r="BC2443">
        <v>1973</v>
      </c>
      <c r="BD2443" t="s">
        <v>90</v>
      </c>
    </row>
    <row r="2444" spans="1:56" x14ac:dyDescent="0.35">
      <c r="A2444">
        <v>2869343</v>
      </c>
      <c r="B2444" t="s">
        <v>1837</v>
      </c>
      <c r="D2444" t="s">
        <v>57</v>
      </c>
      <c r="E2444">
        <v>98</v>
      </c>
      <c r="F2444" t="s">
        <v>58</v>
      </c>
      <c r="G2444" t="s">
        <v>59</v>
      </c>
      <c r="H2444" t="s">
        <v>60</v>
      </c>
      <c r="J2444" t="s">
        <v>86</v>
      </c>
      <c r="K2444" t="s">
        <v>61</v>
      </c>
      <c r="L2444" t="s">
        <v>74</v>
      </c>
      <c r="M2444" t="s">
        <v>63</v>
      </c>
      <c r="N2444" t="s">
        <v>64</v>
      </c>
      <c r="P2444" t="s">
        <v>65</v>
      </c>
      <c r="R2444">
        <v>6.54E-2</v>
      </c>
      <c r="T2444">
        <v>5.62E-2</v>
      </c>
      <c r="V2444">
        <v>7.5999999999999998E-2</v>
      </c>
      <c r="W2444" t="s">
        <v>66</v>
      </c>
      <c r="X2444" t="s">
        <v>67</v>
      </c>
      <c r="Y2444" t="s">
        <v>67</v>
      </c>
      <c r="Z2444" t="s">
        <v>68</v>
      </c>
      <c r="AB2444">
        <v>4</v>
      </c>
      <c r="AC2444" t="s">
        <v>61</v>
      </c>
      <c r="AJ2444" t="s">
        <v>69</v>
      </c>
      <c r="AY2444" t="s">
        <v>75</v>
      </c>
      <c r="AZ2444">
        <v>3217</v>
      </c>
      <c r="BA2444" t="s">
        <v>76</v>
      </c>
      <c r="BB2444" t="s">
        <v>77</v>
      </c>
      <c r="BC2444">
        <v>1990</v>
      </c>
      <c r="BD2444" t="s">
        <v>937</v>
      </c>
    </row>
    <row r="2445" spans="1:56" x14ac:dyDescent="0.35">
      <c r="A2445">
        <v>2870328</v>
      </c>
      <c r="B2445" t="s">
        <v>1838</v>
      </c>
      <c r="D2445" t="s">
        <v>85</v>
      </c>
      <c r="E2445" t="s">
        <v>86</v>
      </c>
      <c r="F2445" t="s">
        <v>58</v>
      </c>
      <c r="G2445" t="s">
        <v>59</v>
      </c>
      <c r="H2445" t="s">
        <v>60</v>
      </c>
      <c r="J2445" t="s">
        <v>86</v>
      </c>
      <c r="L2445" t="s">
        <v>62</v>
      </c>
      <c r="M2445" t="s">
        <v>63</v>
      </c>
      <c r="N2445" t="s">
        <v>64</v>
      </c>
      <c r="P2445" t="s">
        <v>100</v>
      </c>
      <c r="R2445">
        <v>125</v>
      </c>
      <c r="W2445" t="s">
        <v>66</v>
      </c>
      <c r="X2445" t="s">
        <v>67</v>
      </c>
      <c r="Y2445" t="s">
        <v>67</v>
      </c>
      <c r="Z2445" t="s">
        <v>68</v>
      </c>
      <c r="AB2445">
        <v>4</v>
      </c>
      <c r="AC2445" t="s">
        <v>61</v>
      </c>
      <c r="AJ2445" t="s">
        <v>69</v>
      </c>
      <c r="AY2445" t="s">
        <v>1243</v>
      </c>
      <c r="AZ2445">
        <v>5789</v>
      </c>
      <c r="BA2445" t="s">
        <v>1244</v>
      </c>
      <c r="BB2445" t="s">
        <v>1245</v>
      </c>
      <c r="BC2445">
        <v>1974</v>
      </c>
      <c r="BD2445" t="s">
        <v>90</v>
      </c>
    </row>
    <row r="2446" spans="1:56" x14ac:dyDescent="0.35">
      <c r="A2446">
        <v>2870328</v>
      </c>
      <c r="B2446" t="s">
        <v>1838</v>
      </c>
      <c r="D2446" t="s">
        <v>85</v>
      </c>
      <c r="E2446">
        <v>15</v>
      </c>
      <c r="F2446" t="s">
        <v>58</v>
      </c>
      <c r="G2446" t="s">
        <v>59</v>
      </c>
      <c r="H2446" t="s">
        <v>60</v>
      </c>
      <c r="J2446" t="s">
        <v>86</v>
      </c>
      <c r="L2446" t="s">
        <v>62</v>
      </c>
      <c r="M2446" t="s">
        <v>63</v>
      </c>
      <c r="N2446" t="s">
        <v>64</v>
      </c>
      <c r="P2446" t="s">
        <v>100</v>
      </c>
      <c r="R2446">
        <v>125</v>
      </c>
      <c r="W2446" t="s">
        <v>66</v>
      </c>
      <c r="X2446" t="s">
        <v>67</v>
      </c>
      <c r="Y2446" t="s">
        <v>67</v>
      </c>
      <c r="Z2446" t="s">
        <v>68</v>
      </c>
      <c r="AB2446">
        <v>4</v>
      </c>
      <c r="AC2446" t="s">
        <v>61</v>
      </c>
      <c r="AJ2446" t="s">
        <v>69</v>
      </c>
      <c r="AY2446" t="s">
        <v>1246</v>
      </c>
      <c r="AZ2446">
        <v>6969</v>
      </c>
      <c r="BA2446" t="s">
        <v>1247</v>
      </c>
      <c r="BB2446" t="s">
        <v>1248</v>
      </c>
      <c r="BC2446">
        <v>1973</v>
      </c>
      <c r="BD2446" t="s">
        <v>90</v>
      </c>
    </row>
    <row r="2447" spans="1:56" x14ac:dyDescent="0.35">
      <c r="A2447">
        <v>2894511</v>
      </c>
      <c r="B2447" t="s">
        <v>1839</v>
      </c>
      <c r="D2447" t="s">
        <v>57</v>
      </c>
      <c r="E2447">
        <v>98</v>
      </c>
      <c r="F2447" t="s">
        <v>58</v>
      </c>
      <c r="G2447" t="s">
        <v>59</v>
      </c>
      <c r="H2447" t="s">
        <v>60</v>
      </c>
      <c r="J2447">
        <v>33</v>
      </c>
      <c r="K2447" t="s">
        <v>61</v>
      </c>
      <c r="L2447" t="s">
        <v>74</v>
      </c>
      <c r="M2447" t="s">
        <v>63</v>
      </c>
      <c r="N2447" t="s">
        <v>64</v>
      </c>
      <c r="P2447" t="s">
        <v>65</v>
      </c>
      <c r="R2447">
        <v>2.12</v>
      </c>
      <c r="T2447">
        <v>1.76</v>
      </c>
      <c r="V2447">
        <v>2.56</v>
      </c>
      <c r="W2447" t="s">
        <v>66</v>
      </c>
      <c r="X2447" t="s">
        <v>67</v>
      </c>
      <c r="Y2447" t="s">
        <v>67</v>
      </c>
      <c r="Z2447" t="s">
        <v>68</v>
      </c>
      <c r="AB2447">
        <v>4</v>
      </c>
      <c r="AC2447" t="s">
        <v>61</v>
      </c>
      <c r="AJ2447" t="s">
        <v>69</v>
      </c>
      <c r="AY2447" t="s">
        <v>141</v>
      </c>
      <c r="AZ2447">
        <v>12447</v>
      </c>
      <c r="BA2447" t="s">
        <v>142</v>
      </c>
      <c r="BB2447" t="s">
        <v>143</v>
      </c>
      <c r="BC2447">
        <v>1985</v>
      </c>
      <c r="BD2447" t="s">
        <v>73</v>
      </c>
    </row>
    <row r="2448" spans="1:56" x14ac:dyDescent="0.35">
      <c r="A2448">
        <v>2905693</v>
      </c>
      <c r="B2448" t="s">
        <v>1840</v>
      </c>
      <c r="D2448" t="s">
        <v>57</v>
      </c>
      <c r="E2448">
        <v>99</v>
      </c>
      <c r="F2448" t="s">
        <v>58</v>
      </c>
      <c r="G2448" t="s">
        <v>59</v>
      </c>
      <c r="H2448" t="s">
        <v>60</v>
      </c>
      <c r="J2448" t="s">
        <v>86</v>
      </c>
      <c r="K2448" t="s">
        <v>61</v>
      </c>
      <c r="L2448" t="s">
        <v>74</v>
      </c>
      <c r="M2448" t="s">
        <v>63</v>
      </c>
      <c r="N2448" t="s">
        <v>64</v>
      </c>
      <c r="P2448" t="s">
        <v>65</v>
      </c>
      <c r="R2448">
        <v>13.8</v>
      </c>
      <c r="T2448">
        <v>13.1</v>
      </c>
      <c r="V2448">
        <v>14.7</v>
      </c>
      <c r="W2448" t="s">
        <v>66</v>
      </c>
      <c r="X2448" t="s">
        <v>67</v>
      </c>
      <c r="Y2448" t="s">
        <v>67</v>
      </c>
      <c r="Z2448" t="s">
        <v>68</v>
      </c>
      <c r="AB2448">
        <v>4</v>
      </c>
      <c r="AC2448" t="s">
        <v>61</v>
      </c>
      <c r="AJ2448" t="s">
        <v>69</v>
      </c>
      <c r="AY2448" t="s">
        <v>258</v>
      </c>
      <c r="AZ2448">
        <v>10954</v>
      </c>
      <c r="BA2448" t="s">
        <v>259</v>
      </c>
      <c r="BB2448" t="s">
        <v>260</v>
      </c>
      <c r="BC2448">
        <v>1984</v>
      </c>
      <c r="BD2448" t="s">
        <v>261</v>
      </c>
    </row>
    <row r="2449" spans="1:56" x14ac:dyDescent="0.35">
      <c r="A2449">
        <v>2905693</v>
      </c>
      <c r="B2449" t="s">
        <v>1840</v>
      </c>
      <c r="D2449" t="s">
        <v>57</v>
      </c>
      <c r="E2449">
        <v>99</v>
      </c>
      <c r="F2449" t="s">
        <v>58</v>
      </c>
      <c r="G2449" t="s">
        <v>59</v>
      </c>
      <c r="H2449" t="s">
        <v>60</v>
      </c>
      <c r="J2449">
        <v>33</v>
      </c>
      <c r="K2449" t="s">
        <v>61</v>
      </c>
      <c r="L2449" t="s">
        <v>74</v>
      </c>
      <c r="M2449" t="s">
        <v>63</v>
      </c>
      <c r="N2449" t="s">
        <v>64</v>
      </c>
      <c r="P2449" t="s">
        <v>65</v>
      </c>
      <c r="R2449">
        <v>14</v>
      </c>
      <c r="T2449">
        <v>13.2</v>
      </c>
      <c r="V2449">
        <v>14.8</v>
      </c>
      <c r="W2449" t="s">
        <v>66</v>
      </c>
      <c r="X2449" t="s">
        <v>67</v>
      </c>
      <c r="Y2449" t="s">
        <v>67</v>
      </c>
      <c r="Z2449" t="s">
        <v>68</v>
      </c>
      <c r="AB2449">
        <v>4</v>
      </c>
      <c r="AC2449" t="s">
        <v>61</v>
      </c>
      <c r="AJ2449" t="s">
        <v>69</v>
      </c>
      <c r="AY2449" t="s">
        <v>141</v>
      </c>
      <c r="AZ2449">
        <v>12447</v>
      </c>
      <c r="BA2449" t="s">
        <v>142</v>
      </c>
      <c r="BB2449" t="s">
        <v>143</v>
      </c>
      <c r="BC2449">
        <v>1985</v>
      </c>
      <c r="BD2449" t="s">
        <v>73</v>
      </c>
    </row>
    <row r="2450" spans="1:56" x14ac:dyDescent="0.35">
      <c r="A2450">
        <v>2921882</v>
      </c>
      <c r="B2450" t="s">
        <v>1841</v>
      </c>
      <c r="C2450" t="s">
        <v>91</v>
      </c>
      <c r="E2450" t="s">
        <v>86</v>
      </c>
      <c r="F2450" t="s">
        <v>58</v>
      </c>
      <c r="G2450" t="s">
        <v>59</v>
      </c>
      <c r="H2450" t="s">
        <v>60</v>
      </c>
      <c r="J2450" t="s">
        <v>86</v>
      </c>
      <c r="L2450" t="s">
        <v>74</v>
      </c>
      <c r="M2450" t="s">
        <v>63</v>
      </c>
      <c r="N2450" t="s">
        <v>64</v>
      </c>
      <c r="P2450" t="s">
        <v>65</v>
      </c>
      <c r="R2450">
        <v>0.14000000000000001</v>
      </c>
      <c r="W2450" t="s">
        <v>66</v>
      </c>
      <c r="X2450" t="s">
        <v>67</v>
      </c>
      <c r="Y2450" t="s">
        <v>67</v>
      </c>
      <c r="Z2450" t="s">
        <v>68</v>
      </c>
      <c r="AB2450">
        <v>4</v>
      </c>
      <c r="AC2450" t="s">
        <v>61</v>
      </c>
      <c r="AJ2450" t="s">
        <v>69</v>
      </c>
      <c r="AY2450" t="s">
        <v>116</v>
      </c>
      <c r="AZ2450">
        <v>344</v>
      </c>
      <c r="BA2450" t="s">
        <v>117</v>
      </c>
      <c r="BB2450" t="s">
        <v>118</v>
      </c>
      <c r="BC2450">
        <v>1992</v>
      </c>
      <c r="BD2450" t="s">
        <v>90</v>
      </c>
    </row>
    <row r="2451" spans="1:56" x14ac:dyDescent="0.35">
      <c r="A2451">
        <v>2921882</v>
      </c>
      <c r="B2451" t="s">
        <v>1841</v>
      </c>
      <c r="D2451" t="s">
        <v>57</v>
      </c>
      <c r="E2451">
        <v>99.9</v>
      </c>
      <c r="F2451" t="s">
        <v>58</v>
      </c>
      <c r="G2451" t="s">
        <v>59</v>
      </c>
      <c r="H2451" t="s">
        <v>60</v>
      </c>
      <c r="J2451">
        <v>32</v>
      </c>
      <c r="K2451" t="s">
        <v>61</v>
      </c>
      <c r="L2451" t="s">
        <v>74</v>
      </c>
      <c r="M2451" t="s">
        <v>63</v>
      </c>
      <c r="N2451" t="s">
        <v>64</v>
      </c>
      <c r="P2451" t="s">
        <v>65</v>
      </c>
      <c r="R2451">
        <v>0.2</v>
      </c>
      <c r="T2451">
        <v>0.19</v>
      </c>
      <c r="V2451">
        <v>0.22</v>
      </c>
      <c r="W2451" t="s">
        <v>66</v>
      </c>
      <c r="X2451" t="s">
        <v>67</v>
      </c>
      <c r="Y2451" t="s">
        <v>67</v>
      </c>
      <c r="Z2451" t="s">
        <v>68</v>
      </c>
      <c r="AB2451">
        <v>4</v>
      </c>
      <c r="AC2451" t="s">
        <v>61</v>
      </c>
      <c r="AJ2451" t="s">
        <v>69</v>
      </c>
      <c r="AY2451" t="s">
        <v>80</v>
      </c>
      <c r="AZ2451">
        <v>12859</v>
      </c>
      <c r="BA2451" t="s">
        <v>81</v>
      </c>
      <c r="BB2451" t="s">
        <v>82</v>
      </c>
      <c r="BC2451">
        <v>1988</v>
      </c>
      <c r="BD2451" t="s">
        <v>73</v>
      </c>
    </row>
    <row r="2452" spans="1:56" x14ac:dyDescent="0.35">
      <c r="A2452">
        <v>2921882</v>
      </c>
      <c r="B2452" t="s">
        <v>1841</v>
      </c>
      <c r="C2452" t="s">
        <v>91</v>
      </c>
      <c r="D2452" t="s">
        <v>57</v>
      </c>
      <c r="E2452">
        <v>98.7</v>
      </c>
      <c r="F2452" t="s">
        <v>58</v>
      </c>
      <c r="G2452" t="s">
        <v>59</v>
      </c>
      <c r="H2452" t="s">
        <v>60</v>
      </c>
      <c r="I2452" t="s">
        <v>188</v>
      </c>
      <c r="J2452" t="s">
        <v>86</v>
      </c>
      <c r="L2452" t="s">
        <v>74</v>
      </c>
      <c r="M2452" t="s">
        <v>63</v>
      </c>
      <c r="N2452" t="s">
        <v>64</v>
      </c>
      <c r="P2452" t="s">
        <v>65</v>
      </c>
      <c r="R2452">
        <v>0.14000000000000001</v>
      </c>
      <c r="T2452">
        <v>0.12</v>
      </c>
      <c r="V2452">
        <v>0.16</v>
      </c>
      <c r="W2452" t="s">
        <v>66</v>
      </c>
      <c r="X2452" t="s">
        <v>67</v>
      </c>
      <c r="Y2452" t="s">
        <v>67</v>
      </c>
      <c r="Z2452" t="s">
        <v>68</v>
      </c>
      <c r="AB2452">
        <v>4</v>
      </c>
      <c r="AC2452" t="s">
        <v>61</v>
      </c>
      <c r="AJ2452" t="s">
        <v>69</v>
      </c>
      <c r="AY2452" t="s">
        <v>1377</v>
      </c>
      <c r="AZ2452">
        <v>15462</v>
      </c>
      <c r="BA2452" t="s">
        <v>1378</v>
      </c>
      <c r="BB2452" t="s">
        <v>1379</v>
      </c>
      <c r="BC2452">
        <v>1982</v>
      </c>
      <c r="BD2452" t="s">
        <v>90</v>
      </c>
    </row>
    <row r="2453" spans="1:56" x14ac:dyDescent="0.35">
      <c r="A2453">
        <v>2921882</v>
      </c>
      <c r="B2453" t="s">
        <v>1841</v>
      </c>
      <c r="C2453" t="s">
        <v>91</v>
      </c>
      <c r="D2453" t="s">
        <v>57</v>
      </c>
      <c r="E2453">
        <v>99.9</v>
      </c>
      <c r="F2453" t="s">
        <v>58</v>
      </c>
      <c r="G2453" t="s">
        <v>59</v>
      </c>
      <c r="H2453" t="s">
        <v>60</v>
      </c>
      <c r="J2453" t="s">
        <v>86</v>
      </c>
      <c r="K2453" t="s">
        <v>61</v>
      </c>
      <c r="L2453" t="s">
        <v>74</v>
      </c>
      <c r="M2453" t="s">
        <v>63</v>
      </c>
      <c r="N2453" t="s">
        <v>64</v>
      </c>
      <c r="P2453" t="s">
        <v>65</v>
      </c>
      <c r="R2453">
        <v>0.20300000000000001</v>
      </c>
      <c r="T2453">
        <v>0.191</v>
      </c>
      <c r="V2453">
        <v>0.217</v>
      </c>
      <c r="W2453" t="s">
        <v>66</v>
      </c>
      <c r="X2453" t="s">
        <v>67</v>
      </c>
      <c r="Y2453" t="s">
        <v>67</v>
      </c>
      <c r="Z2453" t="s">
        <v>68</v>
      </c>
      <c r="AB2453">
        <v>4</v>
      </c>
      <c r="AC2453" t="s">
        <v>61</v>
      </c>
      <c r="AJ2453" t="s">
        <v>69</v>
      </c>
      <c r="AY2453" t="s">
        <v>1127</v>
      </c>
      <c r="AZ2453">
        <v>10536</v>
      </c>
      <c r="BA2453" t="s">
        <v>1128</v>
      </c>
      <c r="BB2453" t="s">
        <v>1129</v>
      </c>
      <c r="BC2453">
        <v>1982</v>
      </c>
      <c r="BD2453" t="s">
        <v>148</v>
      </c>
    </row>
    <row r="2454" spans="1:56" x14ac:dyDescent="0.35">
      <c r="A2454">
        <v>2921882</v>
      </c>
      <c r="B2454" t="s">
        <v>1841</v>
      </c>
      <c r="D2454" t="s">
        <v>57</v>
      </c>
      <c r="E2454" t="s">
        <v>86</v>
      </c>
      <c r="F2454" t="s">
        <v>58</v>
      </c>
      <c r="G2454" t="s">
        <v>59</v>
      </c>
      <c r="H2454" t="s">
        <v>60</v>
      </c>
      <c r="I2454" t="s">
        <v>188</v>
      </c>
      <c r="J2454" t="s">
        <v>86</v>
      </c>
      <c r="L2454" t="s">
        <v>74</v>
      </c>
      <c r="M2454" t="s">
        <v>63</v>
      </c>
      <c r="N2454" t="s">
        <v>64</v>
      </c>
      <c r="P2454" t="s">
        <v>65</v>
      </c>
      <c r="R2454">
        <v>0.12</v>
      </c>
      <c r="T2454">
        <v>0.11</v>
      </c>
      <c r="V2454">
        <v>0.13</v>
      </c>
      <c r="W2454" t="s">
        <v>66</v>
      </c>
      <c r="X2454" t="s">
        <v>67</v>
      </c>
      <c r="Y2454" t="s">
        <v>67</v>
      </c>
      <c r="Z2454" t="s">
        <v>68</v>
      </c>
      <c r="AB2454">
        <v>4</v>
      </c>
      <c r="AC2454" t="s">
        <v>61</v>
      </c>
      <c r="AJ2454" t="s">
        <v>69</v>
      </c>
      <c r="AY2454" t="s">
        <v>1377</v>
      </c>
      <c r="AZ2454">
        <v>15462</v>
      </c>
      <c r="BA2454" t="s">
        <v>1378</v>
      </c>
      <c r="BB2454" t="s">
        <v>1379</v>
      </c>
      <c r="BC2454">
        <v>1982</v>
      </c>
      <c r="BD2454" t="s">
        <v>90</v>
      </c>
    </row>
    <row r="2455" spans="1:56" x14ac:dyDescent="0.35">
      <c r="A2455">
        <v>2921882</v>
      </c>
      <c r="B2455" t="s">
        <v>1841</v>
      </c>
      <c r="E2455">
        <v>10</v>
      </c>
      <c r="F2455" t="s">
        <v>58</v>
      </c>
      <c r="G2455" t="s">
        <v>59</v>
      </c>
      <c r="H2455" t="s">
        <v>60</v>
      </c>
      <c r="J2455" t="s">
        <v>86</v>
      </c>
      <c r="L2455" t="s">
        <v>74</v>
      </c>
      <c r="M2455" t="s">
        <v>63</v>
      </c>
      <c r="N2455" t="s">
        <v>64</v>
      </c>
      <c r="P2455" t="s">
        <v>100</v>
      </c>
      <c r="R2455">
        <v>0.12</v>
      </c>
      <c r="W2455" t="s">
        <v>66</v>
      </c>
      <c r="X2455" t="s">
        <v>67</v>
      </c>
      <c r="Y2455" t="s">
        <v>67</v>
      </c>
      <c r="Z2455" t="s">
        <v>68</v>
      </c>
      <c r="AB2455">
        <v>4</v>
      </c>
      <c r="AC2455" t="s">
        <v>61</v>
      </c>
      <c r="AJ2455" t="s">
        <v>69</v>
      </c>
      <c r="AY2455" t="s">
        <v>116</v>
      </c>
      <c r="AZ2455">
        <v>344</v>
      </c>
      <c r="BA2455" t="s">
        <v>117</v>
      </c>
      <c r="BB2455" t="s">
        <v>118</v>
      </c>
      <c r="BC2455">
        <v>1992</v>
      </c>
      <c r="BD2455" t="s">
        <v>90</v>
      </c>
    </row>
    <row r="2456" spans="1:56" x14ac:dyDescent="0.35">
      <c r="A2456">
        <v>2921882</v>
      </c>
      <c r="B2456" t="s">
        <v>1841</v>
      </c>
      <c r="D2456" t="s">
        <v>57</v>
      </c>
      <c r="E2456" t="s">
        <v>86</v>
      </c>
      <c r="F2456" t="s">
        <v>58</v>
      </c>
      <c r="G2456" t="s">
        <v>59</v>
      </c>
      <c r="H2456" t="s">
        <v>60</v>
      </c>
      <c r="I2456" t="s">
        <v>188</v>
      </c>
      <c r="J2456" t="s">
        <v>86</v>
      </c>
      <c r="L2456" t="s">
        <v>62</v>
      </c>
      <c r="M2456" t="s">
        <v>63</v>
      </c>
      <c r="N2456" t="s">
        <v>64</v>
      </c>
      <c r="P2456" t="s">
        <v>65</v>
      </c>
      <c r="R2456">
        <v>0.13</v>
      </c>
      <c r="W2456" t="s">
        <v>66</v>
      </c>
      <c r="X2456" t="s">
        <v>67</v>
      </c>
      <c r="Y2456" t="s">
        <v>67</v>
      </c>
      <c r="Z2456" t="s">
        <v>68</v>
      </c>
      <c r="AB2456">
        <v>4</v>
      </c>
      <c r="AC2456" t="s">
        <v>61</v>
      </c>
      <c r="AJ2456" t="s">
        <v>69</v>
      </c>
      <c r="AY2456" t="s">
        <v>1377</v>
      </c>
      <c r="AZ2456">
        <v>15462</v>
      </c>
      <c r="BA2456" t="s">
        <v>1378</v>
      </c>
      <c r="BB2456" t="s">
        <v>1379</v>
      </c>
      <c r="BC2456">
        <v>1982</v>
      </c>
      <c r="BD2456" t="s">
        <v>90</v>
      </c>
    </row>
    <row r="2457" spans="1:56" x14ac:dyDescent="0.35">
      <c r="A2457">
        <v>2921882</v>
      </c>
      <c r="B2457" t="s">
        <v>1841</v>
      </c>
      <c r="C2457" t="s">
        <v>91</v>
      </c>
      <c r="D2457" t="s">
        <v>57</v>
      </c>
      <c r="E2457">
        <v>98.7</v>
      </c>
      <c r="F2457" t="s">
        <v>58</v>
      </c>
      <c r="G2457" t="s">
        <v>59</v>
      </c>
      <c r="H2457" t="s">
        <v>60</v>
      </c>
      <c r="J2457" t="s">
        <v>86</v>
      </c>
      <c r="L2457" t="s">
        <v>74</v>
      </c>
      <c r="M2457" t="s">
        <v>63</v>
      </c>
      <c r="N2457" t="s">
        <v>64</v>
      </c>
      <c r="P2457" t="s">
        <v>65</v>
      </c>
      <c r="R2457">
        <v>0.54200000000000004</v>
      </c>
      <c r="T2457">
        <v>0.22500000000000001</v>
      </c>
      <c r="V2457">
        <v>1.31</v>
      </c>
      <c r="W2457" t="s">
        <v>66</v>
      </c>
      <c r="X2457" t="s">
        <v>67</v>
      </c>
      <c r="Y2457" t="s">
        <v>67</v>
      </c>
      <c r="Z2457" t="s">
        <v>68</v>
      </c>
      <c r="AB2457">
        <v>4</v>
      </c>
      <c r="AC2457" t="s">
        <v>61</v>
      </c>
      <c r="AJ2457" t="s">
        <v>69</v>
      </c>
      <c r="AY2457" t="s">
        <v>325</v>
      </c>
      <c r="AZ2457">
        <v>10775</v>
      </c>
      <c r="BA2457" t="s">
        <v>326</v>
      </c>
      <c r="BB2457" t="s">
        <v>327</v>
      </c>
      <c r="BC2457">
        <v>1985</v>
      </c>
      <c r="BD2457" t="s">
        <v>90</v>
      </c>
    </row>
    <row r="2458" spans="1:56" x14ac:dyDescent="0.35">
      <c r="A2458">
        <v>2921882</v>
      </c>
      <c r="B2458" t="s">
        <v>1841</v>
      </c>
      <c r="D2458" t="s">
        <v>57</v>
      </c>
      <c r="E2458">
        <v>99.9</v>
      </c>
      <c r="F2458" t="s">
        <v>58</v>
      </c>
      <c r="G2458" t="s">
        <v>59</v>
      </c>
      <c r="H2458" t="s">
        <v>60</v>
      </c>
      <c r="J2458">
        <v>44</v>
      </c>
      <c r="K2458" t="s">
        <v>61</v>
      </c>
      <c r="L2458" t="s">
        <v>74</v>
      </c>
      <c r="M2458" t="s">
        <v>63</v>
      </c>
      <c r="N2458" t="s">
        <v>64</v>
      </c>
      <c r="P2458" t="s">
        <v>65</v>
      </c>
      <c r="R2458">
        <v>0.50600000000000001</v>
      </c>
      <c r="T2458">
        <v>0.23100000000000001</v>
      </c>
      <c r="V2458">
        <v>1.1100000000000001</v>
      </c>
      <c r="W2458" t="s">
        <v>66</v>
      </c>
      <c r="X2458" t="s">
        <v>67</v>
      </c>
      <c r="Y2458" t="s">
        <v>67</v>
      </c>
      <c r="Z2458" t="s">
        <v>68</v>
      </c>
      <c r="AB2458">
        <v>4</v>
      </c>
      <c r="AC2458" t="s">
        <v>61</v>
      </c>
      <c r="AJ2458" t="s">
        <v>69</v>
      </c>
      <c r="AY2458" t="s">
        <v>80</v>
      </c>
      <c r="AZ2458">
        <v>12859</v>
      </c>
      <c r="BA2458" t="s">
        <v>81</v>
      </c>
      <c r="BB2458" t="s">
        <v>82</v>
      </c>
      <c r="BC2458">
        <v>1988</v>
      </c>
      <c r="BD2458" t="s">
        <v>73</v>
      </c>
    </row>
    <row r="2459" spans="1:56" x14ac:dyDescent="0.35">
      <c r="A2459">
        <v>2921882</v>
      </c>
      <c r="B2459" t="s">
        <v>1841</v>
      </c>
      <c r="C2459" t="s">
        <v>91</v>
      </c>
      <c r="D2459" t="s">
        <v>57</v>
      </c>
      <c r="E2459">
        <v>98.7</v>
      </c>
      <c r="F2459" t="s">
        <v>58</v>
      </c>
      <c r="G2459" t="s">
        <v>59</v>
      </c>
      <c r="H2459" t="s">
        <v>60</v>
      </c>
      <c r="I2459" t="s">
        <v>188</v>
      </c>
      <c r="J2459" t="s">
        <v>86</v>
      </c>
      <c r="L2459" t="s">
        <v>62</v>
      </c>
      <c r="M2459" t="s">
        <v>63</v>
      </c>
      <c r="N2459" t="s">
        <v>64</v>
      </c>
      <c r="P2459" t="s">
        <v>65</v>
      </c>
      <c r="R2459">
        <v>0.17</v>
      </c>
      <c r="W2459" t="s">
        <v>66</v>
      </c>
      <c r="X2459" t="s">
        <v>67</v>
      </c>
      <c r="Y2459" t="s">
        <v>67</v>
      </c>
      <c r="Z2459" t="s">
        <v>68</v>
      </c>
      <c r="AB2459">
        <v>4</v>
      </c>
      <c r="AC2459" t="s">
        <v>61</v>
      </c>
      <c r="AJ2459" t="s">
        <v>69</v>
      </c>
      <c r="AY2459" t="s">
        <v>1377</v>
      </c>
      <c r="AZ2459">
        <v>15462</v>
      </c>
      <c r="BA2459" t="s">
        <v>1378</v>
      </c>
      <c r="BB2459" t="s">
        <v>1379</v>
      </c>
      <c r="BC2459">
        <v>1982</v>
      </c>
      <c r="BD2459" t="s">
        <v>90</v>
      </c>
    </row>
    <row r="2460" spans="1:56" x14ac:dyDescent="0.35">
      <c r="A2460">
        <v>2921882</v>
      </c>
      <c r="B2460" t="s">
        <v>1841</v>
      </c>
      <c r="D2460" t="s">
        <v>57</v>
      </c>
      <c r="E2460" t="s">
        <v>86</v>
      </c>
      <c r="F2460" t="s">
        <v>58</v>
      </c>
      <c r="G2460" t="s">
        <v>59</v>
      </c>
      <c r="H2460" t="s">
        <v>60</v>
      </c>
      <c r="I2460" t="s">
        <v>188</v>
      </c>
      <c r="J2460" t="s">
        <v>289</v>
      </c>
      <c r="K2460" t="s">
        <v>184</v>
      </c>
      <c r="L2460" t="s">
        <v>62</v>
      </c>
      <c r="M2460" t="s">
        <v>63</v>
      </c>
      <c r="N2460" t="s">
        <v>64</v>
      </c>
      <c r="P2460" t="s">
        <v>65</v>
      </c>
      <c r="R2460">
        <v>0.1222</v>
      </c>
      <c r="T2460">
        <v>7.6999999999999999E-2</v>
      </c>
      <c r="V2460">
        <v>0.16739999999999999</v>
      </c>
      <c r="W2460" t="s">
        <v>66</v>
      </c>
      <c r="X2460" t="s">
        <v>67</v>
      </c>
      <c r="Y2460" t="s">
        <v>67</v>
      </c>
      <c r="Z2460" t="s">
        <v>68</v>
      </c>
      <c r="AB2460">
        <v>4</v>
      </c>
      <c r="AC2460" t="s">
        <v>61</v>
      </c>
      <c r="AJ2460" t="s">
        <v>69</v>
      </c>
      <c r="AY2460" t="s">
        <v>442</v>
      </c>
      <c r="AZ2460">
        <v>12885</v>
      </c>
      <c r="BA2460" t="s">
        <v>443</v>
      </c>
      <c r="BB2460" t="s">
        <v>444</v>
      </c>
      <c r="BC2460">
        <v>1988</v>
      </c>
      <c r="BD2460" t="s">
        <v>185</v>
      </c>
    </row>
    <row r="2461" spans="1:56" x14ac:dyDescent="0.35">
      <c r="A2461">
        <v>2973764</v>
      </c>
      <c r="B2461" t="s">
        <v>1842</v>
      </c>
      <c r="D2461" t="s">
        <v>57</v>
      </c>
      <c r="E2461">
        <v>98</v>
      </c>
      <c r="F2461" t="s">
        <v>58</v>
      </c>
      <c r="G2461" t="s">
        <v>59</v>
      </c>
      <c r="H2461" t="s">
        <v>60</v>
      </c>
      <c r="J2461">
        <v>29</v>
      </c>
      <c r="K2461" t="s">
        <v>61</v>
      </c>
      <c r="L2461" t="s">
        <v>74</v>
      </c>
      <c r="M2461" t="s">
        <v>63</v>
      </c>
      <c r="N2461" t="s">
        <v>64</v>
      </c>
      <c r="P2461" t="s">
        <v>65</v>
      </c>
      <c r="R2461">
        <v>59.7</v>
      </c>
      <c r="T2461">
        <v>55.2</v>
      </c>
      <c r="V2461">
        <v>64.698999999999998</v>
      </c>
      <c r="W2461" t="s">
        <v>66</v>
      </c>
      <c r="X2461" t="s">
        <v>67</v>
      </c>
      <c r="Y2461" t="s">
        <v>67</v>
      </c>
      <c r="Z2461" t="s">
        <v>68</v>
      </c>
      <c r="AB2461">
        <v>4</v>
      </c>
      <c r="AC2461" t="s">
        <v>61</v>
      </c>
      <c r="AJ2461" t="s">
        <v>69</v>
      </c>
      <c r="AY2461" t="s">
        <v>286</v>
      </c>
      <c r="AZ2461">
        <v>12448</v>
      </c>
      <c r="BA2461" t="s">
        <v>287</v>
      </c>
      <c r="BB2461" t="s">
        <v>288</v>
      </c>
      <c r="BC2461">
        <v>1984</v>
      </c>
      <c r="BD2461" t="s">
        <v>73</v>
      </c>
    </row>
    <row r="2462" spans="1:56" x14ac:dyDescent="0.35">
      <c r="A2462">
        <v>3051114</v>
      </c>
      <c r="B2462" t="s">
        <v>1843</v>
      </c>
      <c r="D2462" t="s">
        <v>85</v>
      </c>
      <c r="E2462" t="s">
        <v>86</v>
      </c>
      <c r="F2462" t="s">
        <v>58</v>
      </c>
      <c r="G2462" t="s">
        <v>59</v>
      </c>
      <c r="H2462" t="s">
        <v>60</v>
      </c>
      <c r="J2462" t="s">
        <v>86</v>
      </c>
      <c r="L2462" t="s">
        <v>62</v>
      </c>
      <c r="M2462" t="s">
        <v>63</v>
      </c>
      <c r="N2462" t="s">
        <v>64</v>
      </c>
      <c r="P2462" t="s">
        <v>100</v>
      </c>
      <c r="Q2462" t="s">
        <v>153</v>
      </c>
      <c r="R2462">
        <v>180</v>
      </c>
      <c r="W2462" t="s">
        <v>66</v>
      </c>
      <c r="X2462" t="s">
        <v>67</v>
      </c>
      <c r="Y2462" t="s">
        <v>67</v>
      </c>
      <c r="Z2462" t="s">
        <v>68</v>
      </c>
      <c r="AB2462">
        <v>4</v>
      </c>
      <c r="AC2462" t="s">
        <v>61</v>
      </c>
      <c r="AJ2462" t="s">
        <v>69</v>
      </c>
      <c r="AY2462" t="s">
        <v>1243</v>
      </c>
      <c r="AZ2462">
        <v>5789</v>
      </c>
      <c r="BA2462" t="s">
        <v>1244</v>
      </c>
      <c r="BB2462" t="s">
        <v>1245</v>
      </c>
      <c r="BC2462">
        <v>1974</v>
      </c>
      <c r="BD2462" t="s">
        <v>90</v>
      </c>
    </row>
    <row r="2463" spans="1:56" x14ac:dyDescent="0.35">
      <c r="A2463">
        <v>3051114</v>
      </c>
      <c r="B2463" t="s">
        <v>1843</v>
      </c>
      <c r="D2463" t="s">
        <v>85</v>
      </c>
      <c r="E2463">
        <v>15</v>
      </c>
      <c r="F2463" t="s">
        <v>58</v>
      </c>
      <c r="G2463" t="s">
        <v>59</v>
      </c>
      <c r="H2463" t="s">
        <v>60</v>
      </c>
      <c r="J2463" t="s">
        <v>86</v>
      </c>
      <c r="L2463" t="s">
        <v>62</v>
      </c>
      <c r="M2463" t="s">
        <v>63</v>
      </c>
      <c r="N2463" t="s">
        <v>64</v>
      </c>
      <c r="P2463" t="s">
        <v>100</v>
      </c>
      <c r="Q2463" t="s">
        <v>153</v>
      </c>
      <c r="R2463">
        <v>180</v>
      </c>
      <c r="W2463" t="s">
        <v>66</v>
      </c>
      <c r="X2463" t="s">
        <v>67</v>
      </c>
      <c r="Y2463" t="s">
        <v>67</v>
      </c>
      <c r="Z2463" t="s">
        <v>68</v>
      </c>
      <c r="AB2463">
        <v>4</v>
      </c>
      <c r="AC2463" t="s">
        <v>61</v>
      </c>
      <c r="AJ2463" t="s">
        <v>69</v>
      </c>
      <c r="AY2463" t="s">
        <v>1246</v>
      </c>
      <c r="AZ2463">
        <v>6969</v>
      </c>
      <c r="BA2463" t="s">
        <v>1247</v>
      </c>
      <c r="BB2463" t="s">
        <v>1248</v>
      </c>
      <c r="BC2463">
        <v>1973</v>
      </c>
      <c r="BD2463" t="s">
        <v>90</v>
      </c>
    </row>
    <row r="2464" spans="1:56" x14ac:dyDescent="0.35">
      <c r="A2464">
        <v>3066715</v>
      </c>
      <c r="B2464" t="s">
        <v>1844</v>
      </c>
      <c r="D2464" t="s">
        <v>57</v>
      </c>
      <c r="E2464" t="s">
        <v>810</v>
      </c>
      <c r="F2464" t="s">
        <v>58</v>
      </c>
      <c r="G2464" t="s">
        <v>59</v>
      </c>
      <c r="H2464" t="s">
        <v>60</v>
      </c>
      <c r="I2464" t="s">
        <v>129</v>
      </c>
      <c r="J2464" t="s">
        <v>86</v>
      </c>
      <c r="K2464" t="s">
        <v>61</v>
      </c>
      <c r="L2464" t="s">
        <v>74</v>
      </c>
      <c r="M2464" t="s">
        <v>63</v>
      </c>
      <c r="N2464" t="s">
        <v>64</v>
      </c>
      <c r="P2464" t="s">
        <v>65</v>
      </c>
      <c r="R2464">
        <v>1.48</v>
      </c>
      <c r="W2464" t="s">
        <v>66</v>
      </c>
      <c r="X2464" t="s">
        <v>67</v>
      </c>
      <c r="Y2464" t="s">
        <v>67</v>
      </c>
      <c r="Z2464" t="s">
        <v>68</v>
      </c>
      <c r="AB2464">
        <v>4</v>
      </c>
      <c r="AC2464" t="s">
        <v>61</v>
      </c>
      <c r="AJ2464" t="s">
        <v>69</v>
      </c>
      <c r="AY2464" t="s">
        <v>847</v>
      </c>
      <c r="AZ2464">
        <v>13120</v>
      </c>
      <c r="BA2464" t="s">
        <v>848</v>
      </c>
      <c r="BB2464" t="s">
        <v>849</v>
      </c>
      <c r="BC2464">
        <v>1988</v>
      </c>
      <c r="BD2464" t="s">
        <v>833</v>
      </c>
    </row>
    <row r="2465" spans="1:56" x14ac:dyDescent="0.35">
      <c r="A2465">
        <v>3066715</v>
      </c>
      <c r="B2465" t="s">
        <v>1844</v>
      </c>
      <c r="D2465" t="s">
        <v>57</v>
      </c>
      <c r="E2465" t="s">
        <v>407</v>
      </c>
      <c r="F2465" t="s">
        <v>58</v>
      </c>
      <c r="G2465" t="s">
        <v>59</v>
      </c>
      <c r="H2465" t="s">
        <v>60</v>
      </c>
      <c r="J2465">
        <v>31</v>
      </c>
      <c r="K2465" t="s">
        <v>61</v>
      </c>
      <c r="L2465" t="s">
        <v>74</v>
      </c>
      <c r="M2465" t="s">
        <v>63</v>
      </c>
      <c r="N2465" t="s">
        <v>64</v>
      </c>
      <c r="P2465" t="s">
        <v>65</v>
      </c>
      <c r="R2465">
        <v>1.48</v>
      </c>
      <c r="T2465">
        <v>1.4</v>
      </c>
      <c r="V2465">
        <v>1.56</v>
      </c>
      <c r="W2465" t="s">
        <v>66</v>
      </c>
      <c r="X2465" t="s">
        <v>67</v>
      </c>
      <c r="Y2465" t="s">
        <v>67</v>
      </c>
      <c r="Z2465" t="s">
        <v>68</v>
      </c>
      <c r="AB2465">
        <v>4</v>
      </c>
      <c r="AC2465" t="s">
        <v>61</v>
      </c>
      <c r="AJ2465" t="s">
        <v>69</v>
      </c>
      <c r="AY2465" t="s">
        <v>263</v>
      </c>
      <c r="AZ2465">
        <v>12858</v>
      </c>
      <c r="BA2465" t="s">
        <v>264</v>
      </c>
      <c r="BB2465" t="s">
        <v>265</v>
      </c>
      <c r="BC2465">
        <v>1986</v>
      </c>
      <c r="BD2465" t="s">
        <v>73</v>
      </c>
    </row>
    <row r="2466" spans="1:56" x14ac:dyDescent="0.35">
      <c r="A2466">
        <v>3126907</v>
      </c>
      <c r="B2466" t="s">
        <v>1845</v>
      </c>
      <c r="D2466" t="s">
        <v>57</v>
      </c>
      <c r="E2466" t="s">
        <v>79</v>
      </c>
      <c r="F2466" t="s">
        <v>58</v>
      </c>
      <c r="G2466" t="s">
        <v>59</v>
      </c>
      <c r="H2466" t="s">
        <v>60</v>
      </c>
      <c r="J2466">
        <v>29</v>
      </c>
      <c r="K2466" t="s">
        <v>61</v>
      </c>
      <c r="L2466" t="s">
        <v>74</v>
      </c>
      <c r="M2466" t="s">
        <v>63</v>
      </c>
      <c r="N2466" t="s">
        <v>64</v>
      </c>
      <c r="O2466">
        <v>5</v>
      </c>
      <c r="P2466" t="s">
        <v>65</v>
      </c>
      <c r="R2466">
        <v>0.9</v>
      </c>
      <c r="T2466">
        <v>0.73</v>
      </c>
      <c r="V2466">
        <v>1.1000000000000001</v>
      </c>
      <c r="W2466" t="s">
        <v>66</v>
      </c>
      <c r="X2466" t="s">
        <v>67</v>
      </c>
      <c r="Y2466" t="s">
        <v>67</v>
      </c>
      <c r="Z2466" t="s">
        <v>68</v>
      </c>
      <c r="AB2466">
        <v>4</v>
      </c>
      <c r="AC2466" t="s">
        <v>61</v>
      </c>
      <c r="AJ2466" t="s">
        <v>69</v>
      </c>
      <c r="AY2466" t="s">
        <v>141</v>
      </c>
      <c r="AZ2466">
        <v>12447</v>
      </c>
      <c r="BA2466" t="s">
        <v>142</v>
      </c>
      <c r="BB2466" t="s">
        <v>143</v>
      </c>
      <c r="BC2466">
        <v>1985</v>
      </c>
      <c r="BD2466" t="s">
        <v>73</v>
      </c>
    </row>
    <row r="2467" spans="1:56" x14ac:dyDescent="0.35">
      <c r="A2467">
        <v>3126907</v>
      </c>
      <c r="B2467" t="s">
        <v>1845</v>
      </c>
      <c r="D2467" t="s">
        <v>637</v>
      </c>
      <c r="E2467" t="s">
        <v>86</v>
      </c>
      <c r="F2467" t="s">
        <v>58</v>
      </c>
      <c r="G2467" t="s">
        <v>59</v>
      </c>
      <c r="H2467" t="s">
        <v>60</v>
      </c>
      <c r="I2467" t="s">
        <v>129</v>
      </c>
      <c r="J2467" t="s">
        <v>86</v>
      </c>
      <c r="K2467" t="s">
        <v>61</v>
      </c>
      <c r="L2467" t="s">
        <v>74</v>
      </c>
      <c r="M2467" t="s">
        <v>63</v>
      </c>
      <c r="N2467" t="s">
        <v>64</v>
      </c>
      <c r="P2467" t="s">
        <v>65</v>
      </c>
      <c r="R2467">
        <v>0.9</v>
      </c>
      <c r="T2467">
        <v>0.73</v>
      </c>
      <c r="V2467">
        <v>1.1000000000000001</v>
      </c>
      <c r="W2467" t="s">
        <v>66</v>
      </c>
      <c r="X2467" t="s">
        <v>67</v>
      </c>
      <c r="Y2467" t="s">
        <v>67</v>
      </c>
      <c r="Z2467" t="s">
        <v>68</v>
      </c>
      <c r="AB2467">
        <v>4</v>
      </c>
      <c r="AC2467" t="s">
        <v>61</v>
      </c>
      <c r="AJ2467" t="s">
        <v>69</v>
      </c>
      <c r="AY2467" t="s">
        <v>639</v>
      </c>
      <c r="AZ2467">
        <v>180793</v>
      </c>
      <c r="BA2467" t="s">
        <v>640</v>
      </c>
      <c r="BB2467" t="s">
        <v>641</v>
      </c>
      <c r="BC2467">
        <v>1990</v>
      </c>
      <c r="BD2467" t="s">
        <v>642</v>
      </c>
    </row>
    <row r="2468" spans="1:56" x14ac:dyDescent="0.35">
      <c r="A2468">
        <v>3148729</v>
      </c>
      <c r="B2468" t="s">
        <v>1846</v>
      </c>
      <c r="D2468" t="s">
        <v>85</v>
      </c>
      <c r="E2468" t="s">
        <v>86</v>
      </c>
      <c r="F2468" t="s">
        <v>58</v>
      </c>
      <c r="G2468" t="s">
        <v>59</v>
      </c>
      <c r="H2468" t="s">
        <v>60</v>
      </c>
      <c r="J2468" t="s">
        <v>86</v>
      </c>
      <c r="L2468" t="s">
        <v>62</v>
      </c>
      <c r="M2468" t="s">
        <v>63</v>
      </c>
      <c r="N2468" t="s">
        <v>64</v>
      </c>
      <c r="O2468">
        <v>5</v>
      </c>
      <c r="P2468" t="s">
        <v>100</v>
      </c>
      <c r="Q2468" t="s">
        <v>153</v>
      </c>
      <c r="R2468">
        <v>300</v>
      </c>
      <c r="W2468" t="s">
        <v>66</v>
      </c>
      <c r="X2468" t="s">
        <v>67</v>
      </c>
      <c r="Y2468" t="s">
        <v>67</v>
      </c>
      <c r="Z2468" t="s">
        <v>68</v>
      </c>
      <c r="AB2468">
        <v>4</v>
      </c>
      <c r="AC2468" t="s">
        <v>61</v>
      </c>
      <c r="AJ2468" t="s">
        <v>69</v>
      </c>
      <c r="AY2468" t="s">
        <v>173</v>
      </c>
      <c r="AZ2468">
        <v>167113</v>
      </c>
      <c r="BA2468" t="s">
        <v>174</v>
      </c>
      <c r="BB2468" t="s">
        <v>175</v>
      </c>
      <c r="BC2468">
        <v>1974</v>
      </c>
      <c r="BD2468" t="s">
        <v>90</v>
      </c>
    </row>
    <row r="2469" spans="1:56" x14ac:dyDescent="0.35">
      <c r="A2469">
        <v>3179906</v>
      </c>
      <c r="B2469" t="s">
        <v>1847</v>
      </c>
      <c r="D2469" t="s">
        <v>85</v>
      </c>
      <c r="E2469" t="s">
        <v>86</v>
      </c>
      <c r="F2469" t="s">
        <v>58</v>
      </c>
      <c r="G2469" t="s">
        <v>59</v>
      </c>
      <c r="H2469" t="s">
        <v>60</v>
      </c>
      <c r="J2469" t="s">
        <v>86</v>
      </c>
      <c r="L2469" t="s">
        <v>62</v>
      </c>
      <c r="M2469" t="s">
        <v>63</v>
      </c>
      <c r="N2469" t="s">
        <v>64</v>
      </c>
      <c r="P2469" t="s">
        <v>100</v>
      </c>
      <c r="R2469">
        <v>52</v>
      </c>
      <c r="W2469" t="s">
        <v>66</v>
      </c>
      <c r="X2469" t="s">
        <v>67</v>
      </c>
      <c r="Y2469" t="s">
        <v>67</v>
      </c>
      <c r="Z2469" t="s">
        <v>68</v>
      </c>
      <c r="AB2469">
        <v>4</v>
      </c>
      <c r="AC2469" t="s">
        <v>61</v>
      </c>
      <c r="AJ2469" t="s">
        <v>69</v>
      </c>
      <c r="AY2469" t="s">
        <v>1243</v>
      </c>
      <c r="AZ2469">
        <v>5789</v>
      </c>
      <c r="BA2469" t="s">
        <v>1244</v>
      </c>
      <c r="BB2469" t="s">
        <v>1245</v>
      </c>
      <c r="BC2469">
        <v>1974</v>
      </c>
      <c r="BD2469" t="s">
        <v>90</v>
      </c>
    </row>
    <row r="2470" spans="1:56" x14ac:dyDescent="0.35">
      <c r="A2470">
        <v>3179906</v>
      </c>
      <c r="B2470" t="s">
        <v>1847</v>
      </c>
      <c r="D2470" t="s">
        <v>85</v>
      </c>
      <c r="E2470">
        <v>15</v>
      </c>
      <c r="F2470" t="s">
        <v>58</v>
      </c>
      <c r="G2470" t="s">
        <v>59</v>
      </c>
      <c r="H2470" t="s">
        <v>60</v>
      </c>
      <c r="J2470" t="s">
        <v>86</v>
      </c>
      <c r="L2470" t="s">
        <v>62</v>
      </c>
      <c r="M2470" t="s">
        <v>63</v>
      </c>
      <c r="N2470" t="s">
        <v>64</v>
      </c>
      <c r="P2470" t="s">
        <v>100</v>
      </c>
      <c r="R2470">
        <v>52</v>
      </c>
      <c r="W2470" t="s">
        <v>66</v>
      </c>
      <c r="X2470" t="s">
        <v>67</v>
      </c>
      <c r="Y2470" t="s">
        <v>67</v>
      </c>
      <c r="Z2470" t="s">
        <v>68</v>
      </c>
      <c r="AB2470">
        <v>4</v>
      </c>
      <c r="AC2470" t="s">
        <v>61</v>
      </c>
      <c r="AJ2470" t="s">
        <v>69</v>
      </c>
      <c r="AY2470" t="s">
        <v>1246</v>
      </c>
      <c r="AZ2470">
        <v>6969</v>
      </c>
      <c r="BA2470" t="s">
        <v>1247</v>
      </c>
      <c r="BB2470" t="s">
        <v>1248</v>
      </c>
      <c r="BC2470">
        <v>1973</v>
      </c>
      <c r="BD2470" t="s">
        <v>90</v>
      </c>
    </row>
    <row r="2471" spans="1:56" x14ac:dyDescent="0.35">
      <c r="A2471">
        <v>3206313</v>
      </c>
      <c r="B2471" t="s">
        <v>1848</v>
      </c>
      <c r="D2471" t="s">
        <v>57</v>
      </c>
      <c r="E2471" t="s">
        <v>86</v>
      </c>
      <c r="F2471" t="s">
        <v>58</v>
      </c>
      <c r="G2471" t="s">
        <v>59</v>
      </c>
      <c r="H2471" t="s">
        <v>60</v>
      </c>
      <c r="J2471">
        <v>31</v>
      </c>
      <c r="K2471" t="s">
        <v>61</v>
      </c>
      <c r="L2471" t="s">
        <v>74</v>
      </c>
      <c r="M2471" t="s">
        <v>63</v>
      </c>
      <c r="N2471" t="s">
        <v>64</v>
      </c>
      <c r="P2471" t="s">
        <v>65</v>
      </c>
      <c r="R2471">
        <v>13.3</v>
      </c>
      <c r="T2471">
        <v>11.8</v>
      </c>
      <c r="V2471">
        <v>15</v>
      </c>
      <c r="W2471" t="s">
        <v>66</v>
      </c>
      <c r="X2471" t="s">
        <v>67</v>
      </c>
      <c r="Y2471" t="s">
        <v>67</v>
      </c>
      <c r="Z2471" t="s">
        <v>68</v>
      </c>
      <c r="AB2471">
        <v>4</v>
      </c>
      <c r="AC2471" t="s">
        <v>61</v>
      </c>
      <c r="AJ2471" t="s">
        <v>69</v>
      </c>
      <c r="AY2471" t="s">
        <v>80</v>
      </c>
      <c r="AZ2471">
        <v>12859</v>
      </c>
      <c r="BA2471" t="s">
        <v>81</v>
      </c>
      <c r="BB2471" t="s">
        <v>82</v>
      </c>
      <c r="BC2471">
        <v>1988</v>
      </c>
      <c r="BD2471" t="s">
        <v>73</v>
      </c>
    </row>
    <row r="2472" spans="1:56" x14ac:dyDescent="0.35">
      <c r="A2472">
        <v>3214479</v>
      </c>
      <c r="B2472" t="s">
        <v>1849</v>
      </c>
      <c r="D2472" t="s">
        <v>85</v>
      </c>
      <c r="E2472" t="s">
        <v>86</v>
      </c>
      <c r="F2472" t="s">
        <v>58</v>
      </c>
      <c r="G2472" t="s">
        <v>59</v>
      </c>
      <c r="H2472" t="s">
        <v>60</v>
      </c>
      <c r="J2472" t="s">
        <v>86</v>
      </c>
      <c r="L2472" t="s">
        <v>62</v>
      </c>
      <c r="M2472" t="s">
        <v>63</v>
      </c>
      <c r="N2472" t="s">
        <v>64</v>
      </c>
      <c r="P2472" t="s">
        <v>100</v>
      </c>
      <c r="Q2472" t="s">
        <v>153</v>
      </c>
      <c r="R2472">
        <v>180</v>
      </c>
      <c r="W2472" t="s">
        <v>66</v>
      </c>
      <c r="X2472" t="s">
        <v>67</v>
      </c>
      <c r="Y2472" t="s">
        <v>67</v>
      </c>
      <c r="Z2472" t="s">
        <v>68</v>
      </c>
      <c r="AB2472">
        <v>4</v>
      </c>
      <c r="AC2472" t="s">
        <v>61</v>
      </c>
      <c r="AJ2472" t="s">
        <v>69</v>
      </c>
      <c r="AY2472" t="s">
        <v>1243</v>
      </c>
      <c r="AZ2472">
        <v>5789</v>
      </c>
      <c r="BA2472" t="s">
        <v>1244</v>
      </c>
      <c r="BB2472" t="s">
        <v>1245</v>
      </c>
      <c r="BC2472">
        <v>1974</v>
      </c>
      <c r="BD2472" t="s">
        <v>90</v>
      </c>
    </row>
    <row r="2473" spans="1:56" x14ac:dyDescent="0.35">
      <c r="A2473">
        <v>3214479</v>
      </c>
      <c r="B2473" t="s">
        <v>1849</v>
      </c>
      <c r="D2473" t="s">
        <v>85</v>
      </c>
      <c r="E2473">
        <v>15</v>
      </c>
      <c r="F2473" t="s">
        <v>58</v>
      </c>
      <c r="G2473" t="s">
        <v>59</v>
      </c>
      <c r="H2473" t="s">
        <v>60</v>
      </c>
      <c r="J2473" t="s">
        <v>86</v>
      </c>
      <c r="L2473" t="s">
        <v>62</v>
      </c>
      <c r="M2473" t="s">
        <v>63</v>
      </c>
      <c r="N2473" t="s">
        <v>64</v>
      </c>
      <c r="P2473" t="s">
        <v>100</v>
      </c>
      <c r="Q2473" t="s">
        <v>153</v>
      </c>
      <c r="R2473">
        <v>180</v>
      </c>
      <c r="W2473" t="s">
        <v>66</v>
      </c>
      <c r="X2473" t="s">
        <v>67</v>
      </c>
      <c r="Y2473" t="s">
        <v>67</v>
      </c>
      <c r="Z2473" t="s">
        <v>68</v>
      </c>
      <c r="AB2473">
        <v>4</v>
      </c>
      <c r="AC2473" t="s">
        <v>61</v>
      </c>
      <c r="AJ2473" t="s">
        <v>69</v>
      </c>
      <c r="AY2473" t="s">
        <v>1246</v>
      </c>
      <c r="AZ2473">
        <v>6969</v>
      </c>
      <c r="BA2473" t="s">
        <v>1247</v>
      </c>
      <c r="BB2473" t="s">
        <v>1248</v>
      </c>
      <c r="BC2473">
        <v>1973</v>
      </c>
      <c r="BD2473" t="s">
        <v>90</v>
      </c>
    </row>
    <row r="2474" spans="1:56" x14ac:dyDescent="0.35">
      <c r="A2474">
        <v>3251238</v>
      </c>
      <c r="B2474" t="s">
        <v>1850</v>
      </c>
      <c r="D2474" t="s">
        <v>57</v>
      </c>
      <c r="E2474" t="s">
        <v>86</v>
      </c>
      <c r="F2474" t="s">
        <v>58</v>
      </c>
      <c r="G2474" t="s">
        <v>59</v>
      </c>
      <c r="H2474" t="s">
        <v>60</v>
      </c>
      <c r="J2474" t="s">
        <v>1102</v>
      </c>
      <c r="K2474" t="s">
        <v>184</v>
      </c>
      <c r="M2474" t="s">
        <v>63</v>
      </c>
      <c r="N2474" t="s">
        <v>64</v>
      </c>
      <c r="P2474" t="s">
        <v>201</v>
      </c>
      <c r="Q2474" t="s">
        <v>153</v>
      </c>
      <c r="R2474">
        <v>0.2</v>
      </c>
      <c r="W2474" t="s">
        <v>66</v>
      </c>
      <c r="X2474" t="s">
        <v>67</v>
      </c>
      <c r="Y2474" t="s">
        <v>67</v>
      </c>
      <c r="Z2474" t="s">
        <v>68</v>
      </c>
      <c r="AB2474">
        <v>4</v>
      </c>
      <c r="AC2474" t="s">
        <v>61</v>
      </c>
      <c r="AJ2474" t="s">
        <v>69</v>
      </c>
      <c r="AY2474" t="s">
        <v>1851</v>
      </c>
      <c r="AZ2474">
        <v>7289</v>
      </c>
      <c r="BA2474" t="s">
        <v>1852</v>
      </c>
      <c r="BB2474" t="s">
        <v>1853</v>
      </c>
      <c r="BC2474">
        <v>1993</v>
      </c>
      <c r="BD2474" t="s">
        <v>185</v>
      </c>
    </row>
    <row r="2475" spans="1:56" x14ac:dyDescent="0.35">
      <c r="A2475">
        <v>3251238</v>
      </c>
      <c r="B2475" t="s">
        <v>1850</v>
      </c>
      <c r="D2475" t="s">
        <v>57</v>
      </c>
      <c r="E2475" t="s">
        <v>86</v>
      </c>
      <c r="F2475" t="s">
        <v>58</v>
      </c>
      <c r="G2475" t="s">
        <v>59</v>
      </c>
      <c r="H2475" t="s">
        <v>60</v>
      </c>
      <c r="J2475" t="s">
        <v>1102</v>
      </c>
      <c r="K2475" t="s">
        <v>184</v>
      </c>
      <c r="M2475" t="s">
        <v>63</v>
      </c>
      <c r="N2475" t="s">
        <v>64</v>
      </c>
      <c r="P2475" t="s">
        <v>201</v>
      </c>
      <c r="R2475">
        <v>4.3999999999999997E-2</v>
      </c>
      <c r="T2475">
        <v>3.5999999999999997E-2</v>
      </c>
      <c r="V2475">
        <v>5.2999999999999999E-2</v>
      </c>
      <c r="W2475" t="s">
        <v>66</v>
      </c>
      <c r="X2475" t="s">
        <v>67</v>
      </c>
      <c r="Y2475" t="s">
        <v>67</v>
      </c>
      <c r="Z2475" t="s">
        <v>68</v>
      </c>
      <c r="AB2475">
        <v>4</v>
      </c>
      <c r="AC2475" t="s">
        <v>61</v>
      </c>
      <c r="AJ2475" t="s">
        <v>69</v>
      </c>
      <c r="AY2475" t="s">
        <v>1851</v>
      </c>
      <c r="AZ2475">
        <v>7289</v>
      </c>
      <c r="BA2475" t="s">
        <v>1852</v>
      </c>
      <c r="BB2475" t="s">
        <v>1853</v>
      </c>
      <c r="BC2475">
        <v>1993</v>
      </c>
      <c r="BD2475" t="s">
        <v>185</v>
      </c>
    </row>
    <row r="2476" spans="1:56" x14ac:dyDescent="0.35">
      <c r="A2476">
        <v>3251238</v>
      </c>
      <c r="B2476" t="s">
        <v>1850</v>
      </c>
      <c r="C2476" t="s">
        <v>195</v>
      </c>
      <c r="D2476" t="s">
        <v>57</v>
      </c>
      <c r="E2476" t="s">
        <v>86</v>
      </c>
      <c r="F2476" t="s">
        <v>58</v>
      </c>
      <c r="G2476" t="s">
        <v>59</v>
      </c>
      <c r="H2476" t="s">
        <v>60</v>
      </c>
      <c r="J2476" t="s">
        <v>1854</v>
      </c>
      <c r="K2476" t="s">
        <v>61</v>
      </c>
      <c r="L2476" t="s">
        <v>74</v>
      </c>
      <c r="M2476" t="s">
        <v>63</v>
      </c>
      <c r="N2476" t="s">
        <v>64</v>
      </c>
      <c r="P2476" t="s">
        <v>1296</v>
      </c>
      <c r="R2476">
        <v>9.6000000000000002E-2</v>
      </c>
      <c r="T2476">
        <v>8.3000000000000004E-2</v>
      </c>
      <c r="V2476">
        <v>0.111</v>
      </c>
      <c r="W2476" t="s">
        <v>66</v>
      </c>
      <c r="X2476" t="s">
        <v>67</v>
      </c>
      <c r="Y2476" t="s">
        <v>67</v>
      </c>
      <c r="Z2476" t="s">
        <v>68</v>
      </c>
      <c r="AB2476">
        <v>4</v>
      </c>
      <c r="AC2476" t="s">
        <v>61</v>
      </c>
      <c r="AJ2476" t="s">
        <v>69</v>
      </c>
      <c r="AY2476" t="s">
        <v>1855</v>
      </c>
      <c r="AZ2476">
        <v>12093</v>
      </c>
      <c r="BA2476" t="s">
        <v>1856</v>
      </c>
      <c r="BB2476" t="s">
        <v>1857</v>
      </c>
      <c r="BC2476">
        <v>1986</v>
      </c>
      <c r="BD2476" t="s">
        <v>73</v>
      </c>
    </row>
    <row r="2477" spans="1:56" x14ac:dyDescent="0.35">
      <c r="A2477">
        <v>3251238</v>
      </c>
      <c r="B2477" t="s">
        <v>1850</v>
      </c>
      <c r="D2477" t="s">
        <v>57</v>
      </c>
      <c r="E2477" t="s">
        <v>86</v>
      </c>
      <c r="F2477" t="s">
        <v>58</v>
      </c>
      <c r="G2477" t="s">
        <v>59</v>
      </c>
      <c r="H2477" t="s">
        <v>60</v>
      </c>
      <c r="J2477" t="s">
        <v>1102</v>
      </c>
      <c r="K2477" t="s">
        <v>184</v>
      </c>
      <c r="M2477" t="s">
        <v>63</v>
      </c>
      <c r="N2477" t="s">
        <v>64</v>
      </c>
      <c r="P2477" t="s">
        <v>201</v>
      </c>
      <c r="R2477">
        <v>1.4999999999999999E-2</v>
      </c>
      <c r="T2477">
        <v>1.0999999999999999E-2</v>
      </c>
      <c r="V2477">
        <v>0.02</v>
      </c>
      <c r="W2477" t="s">
        <v>66</v>
      </c>
      <c r="X2477" t="s">
        <v>67</v>
      </c>
      <c r="Y2477" t="s">
        <v>67</v>
      </c>
      <c r="Z2477" t="s">
        <v>68</v>
      </c>
      <c r="AB2477">
        <v>4</v>
      </c>
      <c r="AC2477" t="s">
        <v>61</v>
      </c>
      <c r="AJ2477" t="s">
        <v>69</v>
      </c>
      <c r="AY2477" t="s">
        <v>1851</v>
      </c>
      <c r="AZ2477">
        <v>7289</v>
      </c>
      <c r="BA2477" t="s">
        <v>1852</v>
      </c>
      <c r="BB2477" t="s">
        <v>1853</v>
      </c>
      <c r="BC2477">
        <v>1993</v>
      </c>
      <c r="BD2477" t="s">
        <v>185</v>
      </c>
    </row>
    <row r="2478" spans="1:56" x14ac:dyDescent="0.35">
      <c r="A2478">
        <v>3252435</v>
      </c>
      <c r="B2478" t="s">
        <v>1858</v>
      </c>
      <c r="D2478" t="s">
        <v>85</v>
      </c>
      <c r="E2478">
        <v>96</v>
      </c>
      <c r="F2478" t="s">
        <v>58</v>
      </c>
      <c r="G2478" t="s">
        <v>59</v>
      </c>
      <c r="H2478" t="s">
        <v>60</v>
      </c>
      <c r="J2478" t="s">
        <v>86</v>
      </c>
      <c r="L2478" t="s">
        <v>62</v>
      </c>
      <c r="M2478" t="s">
        <v>63</v>
      </c>
      <c r="N2478" t="s">
        <v>64</v>
      </c>
      <c r="P2478" t="s">
        <v>65</v>
      </c>
      <c r="R2478">
        <v>0.55000000000000004</v>
      </c>
      <c r="T2478">
        <v>0.49</v>
      </c>
      <c r="V2478">
        <v>0.62</v>
      </c>
      <c r="W2478" t="s">
        <v>66</v>
      </c>
      <c r="X2478" t="s">
        <v>67</v>
      </c>
      <c r="Y2478" t="s">
        <v>67</v>
      </c>
      <c r="Z2478" t="s">
        <v>68</v>
      </c>
      <c r="AB2478">
        <v>4</v>
      </c>
      <c r="AC2478" t="s">
        <v>61</v>
      </c>
      <c r="AJ2478" t="s">
        <v>69</v>
      </c>
      <c r="AY2478" t="s">
        <v>1569</v>
      </c>
      <c r="AZ2478">
        <v>11439</v>
      </c>
      <c r="BA2478" t="s">
        <v>1570</v>
      </c>
      <c r="BB2478" t="s">
        <v>1571</v>
      </c>
      <c r="BC2478">
        <v>1985</v>
      </c>
      <c r="BD2478" t="s">
        <v>90</v>
      </c>
    </row>
    <row r="2479" spans="1:56" x14ac:dyDescent="0.35">
      <c r="A2479">
        <v>3271769</v>
      </c>
      <c r="B2479" t="s">
        <v>1859</v>
      </c>
      <c r="D2479" t="s">
        <v>85</v>
      </c>
      <c r="E2479">
        <v>15</v>
      </c>
      <c r="F2479" t="s">
        <v>58</v>
      </c>
      <c r="G2479" t="s">
        <v>59</v>
      </c>
      <c r="H2479" t="s">
        <v>60</v>
      </c>
      <c r="J2479" t="s">
        <v>86</v>
      </c>
      <c r="L2479" t="s">
        <v>62</v>
      </c>
      <c r="M2479" t="s">
        <v>63</v>
      </c>
      <c r="N2479" t="s">
        <v>64</v>
      </c>
      <c r="P2479" t="s">
        <v>100</v>
      </c>
      <c r="Q2479" t="s">
        <v>153</v>
      </c>
      <c r="R2479">
        <v>180</v>
      </c>
      <c r="W2479" t="s">
        <v>66</v>
      </c>
      <c r="X2479" t="s">
        <v>67</v>
      </c>
      <c r="Y2479" t="s">
        <v>67</v>
      </c>
      <c r="Z2479" t="s">
        <v>68</v>
      </c>
      <c r="AB2479">
        <v>4</v>
      </c>
      <c r="AC2479" t="s">
        <v>61</v>
      </c>
      <c r="AJ2479" t="s">
        <v>69</v>
      </c>
      <c r="AY2479" t="s">
        <v>1246</v>
      </c>
      <c r="AZ2479">
        <v>6969</v>
      </c>
      <c r="BA2479" t="s">
        <v>1247</v>
      </c>
      <c r="BB2479" t="s">
        <v>1248</v>
      </c>
      <c r="BC2479">
        <v>1973</v>
      </c>
      <c r="BD2479" t="s">
        <v>90</v>
      </c>
    </row>
    <row r="2480" spans="1:56" x14ac:dyDescent="0.35">
      <c r="A2480">
        <v>3271769</v>
      </c>
      <c r="B2480" t="s">
        <v>1859</v>
      </c>
      <c r="D2480" t="s">
        <v>85</v>
      </c>
      <c r="E2480" t="s">
        <v>86</v>
      </c>
      <c r="F2480" t="s">
        <v>58</v>
      </c>
      <c r="G2480" t="s">
        <v>59</v>
      </c>
      <c r="H2480" t="s">
        <v>60</v>
      </c>
      <c r="J2480" t="s">
        <v>86</v>
      </c>
      <c r="L2480" t="s">
        <v>62</v>
      </c>
      <c r="M2480" t="s">
        <v>63</v>
      </c>
      <c r="N2480" t="s">
        <v>64</v>
      </c>
      <c r="P2480" t="s">
        <v>100</v>
      </c>
      <c r="Q2480" t="s">
        <v>153</v>
      </c>
      <c r="R2480">
        <v>180</v>
      </c>
      <c r="W2480" t="s">
        <v>66</v>
      </c>
      <c r="X2480" t="s">
        <v>67</v>
      </c>
      <c r="Y2480" t="s">
        <v>67</v>
      </c>
      <c r="Z2480" t="s">
        <v>68</v>
      </c>
      <c r="AB2480">
        <v>4</v>
      </c>
      <c r="AC2480" t="s">
        <v>61</v>
      </c>
      <c r="AJ2480" t="s">
        <v>69</v>
      </c>
      <c r="AY2480" t="s">
        <v>1243</v>
      </c>
      <c r="AZ2480">
        <v>5789</v>
      </c>
      <c r="BA2480" t="s">
        <v>1244</v>
      </c>
      <c r="BB2480" t="s">
        <v>1245</v>
      </c>
      <c r="BC2480">
        <v>1974</v>
      </c>
      <c r="BD2480" t="s">
        <v>90</v>
      </c>
    </row>
    <row r="2481" spans="1:56" x14ac:dyDescent="0.35">
      <c r="A2481">
        <v>3309680</v>
      </c>
      <c r="B2481" t="s">
        <v>1860</v>
      </c>
      <c r="D2481" t="s">
        <v>85</v>
      </c>
      <c r="E2481" t="s">
        <v>86</v>
      </c>
      <c r="F2481" t="s">
        <v>58</v>
      </c>
      <c r="G2481" t="s">
        <v>59</v>
      </c>
      <c r="H2481" t="s">
        <v>60</v>
      </c>
      <c r="J2481" t="s">
        <v>86</v>
      </c>
      <c r="L2481" t="s">
        <v>62</v>
      </c>
      <c r="M2481" t="s">
        <v>63</v>
      </c>
      <c r="N2481" t="s">
        <v>64</v>
      </c>
      <c r="P2481" t="s">
        <v>100</v>
      </c>
      <c r="R2481">
        <v>0.32</v>
      </c>
      <c r="T2481">
        <v>0.17</v>
      </c>
      <c r="V2481">
        <v>0.45</v>
      </c>
      <c r="W2481" t="s">
        <v>66</v>
      </c>
      <c r="X2481" t="s">
        <v>67</v>
      </c>
      <c r="Y2481" t="s">
        <v>67</v>
      </c>
      <c r="Z2481" t="s">
        <v>68</v>
      </c>
      <c r="AB2481">
        <v>4</v>
      </c>
      <c r="AC2481" t="s">
        <v>61</v>
      </c>
      <c r="AJ2481" t="s">
        <v>69</v>
      </c>
      <c r="AY2481" t="s">
        <v>168</v>
      </c>
      <c r="AZ2481">
        <v>8096</v>
      </c>
      <c r="BA2481" t="s">
        <v>169</v>
      </c>
      <c r="BB2481" t="s">
        <v>170</v>
      </c>
      <c r="BC2481">
        <v>1966</v>
      </c>
      <c r="BD2481" t="s">
        <v>90</v>
      </c>
    </row>
    <row r="2482" spans="1:56" x14ac:dyDescent="0.35">
      <c r="A2482">
        <v>3347226</v>
      </c>
      <c r="B2482" t="s">
        <v>1861</v>
      </c>
      <c r="D2482" t="s">
        <v>85</v>
      </c>
      <c r="E2482" t="s">
        <v>86</v>
      </c>
      <c r="F2482" t="s">
        <v>58</v>
      </c>
      <c r="G2482" t="s">
        <v>59</v>
      </c>
      <c r="H2482" t="s">
        <v>60</v>
      </c>
      <c r="J2482" t="s">
        <v>86</v>
      </c>
      <c r="M2482" t="s">
        <v>63</v>
      </c>
      <c r="N2482" t="s">
        <v>64</v>
      </c>
      <c r="P2482" t="s">
        <v>100</v>
      </c>
      <c r="R2482">
        <v>0.16500000000000001</v>
      </c>
      <c r="W2482" t="s">
        <v>66</v>
      </c>
      <c r="X2482" t="s">
        <v>67</v>
      </c>
      <c r="Y2482" t="s">
        <v>67</v>
      </c>
      <c r="Z2482" t="s">
        <v>68</v>
      </c>
      <c r="AB2482">
        <v>4</v>
      </c>
      <c r="AC2482" t="s">
        <v>61</v>
      </c>
      <c r="AJ2482" t="s">
        <v>69</v>
      </c>
      <c r="AY2482" t="s">
        <v>101</v>
      </c>
      <c r="AZ2482">
        <v>70421</v>
      </c>
      <c r="BA2482" t="s">
        <v>102</v>
      </c>
      <c r="BB2482" t="s">
        <v>103</v>
      </c>
      <c r="BC2482">
        <v>1974</v>
      </c>
      <c r="BD2482" t="s">
        <v>90</v>
      </c>
    </row>
    <row r="2483" spans="1:56" x14ac:dyDescent="0.35">
      <c r="A2483">
        <v>3347226</v>
      </c>
      <c r="B2483" t="s">
        <v>1861</v>
      </c>
      <c r="E2483">
        <v>100</v>
      </c>
      <c r="F2483" t="s">
        <v>58</v>
      </c>
      <c r="G2483" t="s">
        <v>59</v>
      </c>
      <c r="H2483" t="s">
        <v>60</v>
      </c>
      <c r="J2483" t="s">
        <v>86</v>
      </c>
      <c r="L2483" t="s">
        <v>62</v>
      </c>
      <c r="M2483" t="s">
        <v>63</v>
      </c>
      <c r="N2483" t="s">
        <v>64</v>
      </c>
      <c r="P2483" t="s">
        <v>65</v>
      </c>
      <c r="R2483">
        <v>0.16500000000000001</v>
      </c>
      <c r="T2483">
        <v>0.123</v>
      </c>
      <c r="V2483">
        <v>0.223</v>
      </c>
      <c r="W2483" t="s">
        <v>66</v>
      </c>
      <c r="X2483" t="s">
        <v>67</v>
      </c>
      <c r="Y2483" t="s">
        <v>67</v>
      </c>
      <c r="Z2483" t="s">
        <v>68</v>
      </c>
      <c r="AB2483">
        <v>4</v>
      </c>
      <c r="AC2483" t="s">
        <v>61</v>
      </c>
      <c r="AJ2483" t="s">
        <v>69</v>
      </c>
      <c r="AY2483" t="s">
        <v>96</v>
      </c>
      <c r="AZ2483">
        <v>6797</v>
      </c>
      <c r="BA2483" t="s">
        <v>97</v>
      </c>
      <c r="BB2483" t="s">
        <v>98</v>
      </c>
      <c r="BC2483">
        <v>1986</v>
      </c>
      <c r="BD2483" t="s">
        <v>90</v>
      </c>
    </row>
    <row r="2484" spans="1:56" x14ac:dyDescent="0.35">
      <c r="A2484">
        <v>3351051</v>
      </c>
      <c r="B2484" t="s">
        <v>1862</v>
      </c>
      <c r="D2484" t="s">
        <v>85</v>
      </c>
      <c r="E2484">
        <v>15</v>
      </c>
      <c r="F2484" t="s">
        <v>58</v>
      </c>
      <c r="G2484" t="s">
        <v>59</v>
      </c>
      <c r="H2484" t="s">
        <v>60</v>
      </c>
      <c r="J2484" t="s">
        <v>86</v>
      </c>
      <c r="L2484" t="s">
        <v>62</v>
      </c>
      <c r="M2484" t="s">
        <v>63</v>
      </c>
      <c r="N2484" t="s">
        <v>64</v>
      </c>
      <c r="P2484" t="s">
        <v>100</v>
      </c>
      <c r="R2484">
        <v>4</v>
      </c>
      <c r="W2484" t="s">
        <v>66</v>
      </c>
      <c r="X2484" t="s">
        <v>67</v>
      </c>
      <c r="Y2484" t="s">
        <v>67</v>
      </c>
      <c r="Z2484" t="s">
        <v>68</v>
      </c>
      <c r="AB2484">
        <v>4</v>
      </c>
      <c r="AC2484" t="s">
        <v>61</v>
      </c>
      <c r="AJ2484" t="s">
        <v>69</v>
      </c>
      <c r="AY2484" t="s">
        <v>1246</v>
      </c>
      <c r="AZ2484">
        <v>6969</v>
      </c>
      <c r="BA2484" t="s">
        <v>1247</v>
      </c>
      <c r="BB2484" t="s">
        <v>1248</v>
      </c>
      <c r="BC2484">
        <v>1973</v>
      </c>
      <c r="BD2484" t="s">
        <v>90</v>
      </c>
    </row>
    <row r="2485" spans="1:56" x14ac:dyDescent="0.35">
      <c r="A2485">
        <v>3351051</v>
      </c>
      <c r="B2485" t="s">
        <v>1862</v>
      </c>
      <c r="D2485" t="s">
        <v>85</v>
      </c>
      <c r="E2485" t="s">
        <v>86</v>
      </c>
      <c r="F2485" t="s">
        <v>58</v>
      </c>
      <c r="G2485" t="s">
        <v>59</v>
      </c>
      <c r="H2485" t="s">
        <v>60</v>
      </c>
      <c r="J2485" t="s">
        <v>86</v>
      </c>
      <c r="L2485" t="s">
        <v>62</v>
      </c>
      <c r="M2485" t="s">
        <v>63</v>
      </c>
      <c r="N2485" t="s">
        <v>64</v>
      </c>
      <c r="P2485" t="s">
        <v>100</v>
      </c>
      <c r="R2485">
        <v>4.4000000000000004</v>
      </c>
      <c r="W2485" t="s">
        <v>66</v>
      </c>
      <c r="X2485" t="s">
        <v>67</v>
      </c>
      <c r="Y2485" t="s">
        <v>67</v>
      </c>
      <c r="Z2485" t="s">
        <v>68</v>
      </c>
      <c r="AB2485">
        <v>4</v>
      </c>
      <c r="AC2485" t="s">
        <v>61</v>
      </c>
      <c r="AJ2485" t="s">
        <v>69</v>
      </c>
      <c r="AY2485" t="s">
        <v>1243</v>
      </c>
      <c r="AZ2485">
        <v>5789</v>
      </c>
      <c r="BA2485" t="s">
        <v>1244</v>
      </c>
      <c r="BB2485" t="s">
        <v>1245</v>
      </c>
      <c r="BC2485">
        <v>1974</v>
      </c>
      <c r="BD2485" t="s">
        <v>90</v>
      </c>
    </row>
    <row r="2486" spans="1:56" x14ac:dyDescent="0.35">
      <c r="A2486">
        <v>3380301</v>
      </c>
      <c r="B2486" t="s">
        <v>1863</v>
      </c>
      <c r="E2486">
        <v>100</v>
      </c>
      <c r="F2486" t="s">
        <v>58</v>
      </c>
      <c r="G2486" t="s">
        <v>59</v>
      </c>
      <c r="H2486" t="s">
        <v>60</v>
      </c>
      <c r="J2486" t="s">
        <v>86</v>
      </c>
      <c r="L2486" t="s">
        <v>62</v>
      </c>
      <c r="M2486" t="s">
        <v>63</v>
      </c>
      <c r="N2486" t="s">
        <v>64</v>
      </c>
      <c r="P2486" t="s">
        <v>65</v>
      </c>
      <c r="Q2486" t="s">
        <v>153</v>
      </c>
      <c r="R2486">
        <v>0.46</v>
      </c>
      <c r="W2486" t="s">
        <v>66</v>
      </c>
      <c r="X2486" t="s">
        <v>67</v>
      </c>
      <c r="Y2486" t="s">
        <v>67</v>
      </c>
      <c r="Z2486" t="s">
        <v>68</v>
      </c>
      <c r="AB2486">
        <v>4</v>
      </c>
      <c r="AC2486" t="s">
        <v>61</v>
      </c>
      <c r="AJ2486" t="s">
        <v>69</v>
      </c>
      <c r="AY2486" t="s">
        <v>96</v>
      </c>
      <c r="AZ2486">
        <v>6797</v>
      </c>
      <c r="BA2486" t="s">
        <v>97</v>
      </c>
      <c r="BB2486" t="s">
        <v>98</v>
      </c>
      <c r="BC2486">
        <v>1986</v>
      </c>
      <c r="BD2486" t="s">
        <v>90</v>
      </c>
    </row>
    <row r="2487" spans="1:56" x14ac:dyDescent="0.35">
      <c r="A2487">
        <v>3380345</v>
      </c>
      <c r="B2487" t="s">
        <v>1864</v>
      </c>
      <c r="E2487">
        <v>99.7</v>
      </c>
      <c r="F2487" t="s">
        <v>58</v>
      </c>
      <c r="G2487" t="s">
        <v>59</v>
      </c>
      <c r="H2487" t="s">
        <v>60</v>
      </c>
      <c r="J2487" t="s">
        <v>86</v>
      </c>
      <c r="L2487" t="s">
        <v>62</v>
      </c>
      <c r="M2487" t="s">
        <v>63</v>
      </c>
      <c r="N2487" t="s">
        <v>64</v>
      </c>
      <c r="P2487" t="s">
        <v>65</v>
      </c>
      <c r="R2487">
        <v>0.25</v>
      </c>
      <c r="T2487">
        <v>0.18</v>
      </c>
      <c r="V2487">
        <v>0.32</v>
      </c>
      <c r="W2487" t="s">
        <v>66</v>
      </c>
      <c r="X2487" t="s">
        <v>67</v>
      </c>
      <c r="Y2487" t="s">
        <v>67</v>
      </c>
      <c r="Z2487" t="s">
        <v>68</v>
      </c>
      <c r="AB2487">
        <v>4</v>
      </c>
      <c r="AC2487" t="s">
        <v>61</v>
      </c>
      <c r="AJ2487" t="s">
        <v>69</v>
      </c>
      <c r="AY2487" t="s">
        <v>116</v>
      </c>
      <c r="AZ2487">
        <v>344</v>
      </c>
      <c r="BA2487" t="s">
        <v>117</v>
      </c>
      <c r="BB2487" t="s">
        <v>118</v>
      </c>
      <c r="BC2487">
        <v>1992</v>
      </c>
      <c r="BD2487" t="s">
        <v>90</v>
      </c>
    </row>
    <row r="2488" spans="1:56" x14ac:dyDescent="0.35">
      <c r="A2488">
        <v>3380345</v>
      </c>
      <c r="B2488" t="s">
        <v>1864</v>
      </c>
      <c r="D2488" t="s">
        <v>85</v>
      </c>
      <c r="E2488">
        <v>99.5</v>
      </c>
      <c r="F2488" t="s">
        <v>58</v>
      </c>
      <c r="G2488" t="s">
        <v>59</v>
      </c>
      <c r="H2488" t="s">
        <v>60</v>
      </c>
      <c r="J2488" t="s">
        <v>86</v>
      </c>
      <c r="L2488" t="s">
        <v>62</v>
      </c>
      <c r="M2488" t="s">
        <v>63</v>
      </c>
      <c r="N2488" t="s">
        <v>64</v>
      </c>
      <c r="O2488">
        <v>6</v>
      </c>
      <c r="P2488" t="s">
        <v>65</v>
      </c>
      <c r="R2488">
        <v>0.26</v>
      </c>
      <c r="W2488" t="s">
        <v>66</v>
      </c>
      <c r="X2488" t="s">
        <v>67</v>
      </c>
      <c r="Y2488" t="s">
        <v>290</v>
      </c>
      <c r="Z2488" t="s">
        <v>68</v>
      </c>
      <c r="AB2488">
        <v>4</v>
      </c>
      <c r="AC2488" t="s">
        <v>61</v>
      </c>
      <c r="AJ2488" t="s">
        <v>69</v>
      </c>
      <c r="AY2488" t="s">
        <v>1865</v>
      </c>
      <c r="AZ2488">
        <v>64961</v>
      </c>
      <c r="BA2488" t="s">
        <v>1866</v>
      </c>
      <c r="BB2488" t="s">
        <v>1867</v>
      </c>
      <c r="BC2488">
        <v>2002</v>
      </c>
      <c r="BD2488" t="s">
        <v>90</v>
      </c>
    </row>
    <row r="2489" spans="1:56" x14ac:dyDescent="0.35">
      <c r="A2489">
        <v>3380345</v>
      </c>
      <c r="B2489" t="s">
        <v>1864</v>
      </c>
      <c r="E2489">
        <v>100</v>
      </c>
      <c r="F2489" t="s">
        <v>58</v>
      </c>
      <c r="G2489" t="s">
        <v>59</v>
      </c>
      <c r="H2489" t="s">
        <v>60</v>
      </c>
      <c r="J2489" t="s">
        <v>86</v>
      </c>
      <c r="L2489" t="s">
        <v>62</v>
      </c>
      <c r="M2489" t="s">
        <v>63</v>
      </c>
      <c r="N2489" t="s">
        <v>64</v>
      </c>
      <c r="P2489" t="s">
        <v>65</v>
      </c>
      <c r="R2489">
        <v>0.36</v>
      </c>
      <c r="T2489">
        <v>0.28999999999999998</v>
      </c>
      <c r="V2489">
        <v>0.45</v>
      </c>
      <c r="W2489" t="s">
        <v>66</v>
      </c>
      <c r="X2489" t="s">
        <v>67</v>
      </c>
      <c r="Y2489" t="s">
        <v>67</v>
      </c>
      <c r="Z2489" t="s">
        <v>68</v>
      </c>
      <c r="AB2489">
        <v>4</v>
      </c>
      <c r="AC2489" t="s">
        <v>61</v>
      </c>
      <c r="AJ2489" t="s">
        <v>69</v>
      </c>
      <c r="AY2489" t="s">
        <v>96</v>
      </c>
      <c r="AZ2489">
        <v>6797</v>
      </c>
      <c r="BA2489" t="s">
        <v>97</v>
      </c>
      <c r="BB2489" t="s">
        <v>98</v>
      </c>
      <c r="BC2489">
        <v>1986</v>
      </c>
      <c r="BD2489" t="s">
        <v>90</v>
      </c>
    </row>
    <row r="2490" spans="1:56" x14ac:dyDescent="0.35">
      <c r="A2490">
        <v>3383968</v>
      </c>
      <c r="B2490" t="s">
        <v>1868</v>
      </c>
      <c r="E2490">
        <v>90</v>
      </c>
      <c r="F2490" t="s">
        <v>58</v>
      </c>
      <c r="G2490" t="s">
        <v>59</v>
      </c>
      <c r="H2490" t="s">
        <v>60</v>
      </c>
      <c r="J2490" t="s">
        <v>86</v>
      </c>
      <c r="L2490" t="s">
        <v>62</v>
      </c>
      <c r="M2490" t="s">
        <v>63</v>
      </c>
      <c r="N2490" t="s">
        <v>64</v>
      </c>
      <c r="P2490" t="s">
        <v>65</v>
      </c>
      <c r="R2490">
        <v>34.1</v>
      </c>
      <c r="T2490">
        <v>19.7</v>
      </c>
      <c r="V2490">
        <v>59.2</v>
      </c>
      <c r="W2490" t="s">
        <v>66</v>
      </c>
      <c r="X2490" t="s">
        <v>67</v>
      </c>
      <c r="Y2490" t="s">
        <v>67</v>
      </c>
      <c r="Z2490" t="s">
        <v>68</v>
      </c>
      <c r="AB2490">
        <v>4</v>
      </c>
      <c r="AC2490" t="s">
        <v>61</v>
      </c>
      <c r="AJ2490" t="s">
        <v>69</v>
      </c>
      <c r="AY2490" t="s">
        <v>96</v>
      </c>
      <c r="AZ2490">
        <v>6797</v>
      </c>
      <c r="BA2490" t="s">
        <v>97</v>
      </c>
      <c r="BB2490" t="s">
        <v>98</v>
      </c>
      <c r="BC2490">
        <v>1986</v>
      </c>
      <c r="BD2490" t="s">
        <v>90</v>
      </c>
    </row>
    <row r="2491" spans="1:56" x14ac:dyDescent="0.35">
      <c r="A2491">
        <v>3389717</v>
      </c>
      <c r="B2491" t="s">
        <v>1869</v>
      </c>
      <c r="D2491" t="s">
        <v>57</v>
      </c>
      <c r="E2491" t="s">
        <v>86</v>
      </c>
      <c r="F2491" t="s">
        <v>58</v>
      </c>
      <c r="G2491" t="s">
        <v>59</v>
      </c>
      <c r="H2491" t="s">
        <v>60</v>
      </c>
      <c r="I2491" t="s">
        <v>188</v>
      </c>
      <c r="J2491">
        <v>1</v>
      </c>
      <c r="K2491" t="s">
        <v>61</v>
      </c>
      <c r="L2491" t="s">
        <v>74</v>
      </c>
      <c r="M2491" t="s">
        <v>63</v>
      </c>
      <c r="N2491" t="s">
        <v>64</v>
      </c>
      <c r="P2491" t="s">
        <v>65</v>
      </c>
      <c r="R2491">
        <v>0.188</v>
      </c>
      <c r="W2491" t="s">
        <v>66</v>
      </c>
      <c r="X2491" t="s">
        <v>67</v>
      </c>
      <c r="Y2491" t="s">
        <v>67</v>
      </c>
      <c r="Z2491" t="s">
        <v>68</v>
      </c>
      <c r="AB2491">
        <v>4</v>
      </c>
      <c r="AC2491" t="s">
        <v>61</v>
      </c>
      <c r="AJ2491" t="s">
        <v>69</v>
      </c>
      <c r="AY2491" t="s">
        <v>531</v>
      </c>
      <c r="AZ2491">
        <v>2097</v>
      </c>
      <c r="BA2491" t="s">
        <v>532</v>
      </c>
      <c r="BB2491" t="s">
        <v>533</v>
      </c>
      <c r="BC2491">
        <v>1979</v>
      </c>
      <c r="BD2491" t="s">
        <v>73</v>
      </c>
    </row>
    <row r="2492" spans="1:56" x14ac:dyDescent="0.35">
      <c r="A2492">
        <v>3428248</v>
      </c>
      <c r="B2492" t="s">
        <v>1870</v>
      </c>
      <c r="D2492" t="s">
        <v>57</v>
      </c>
      <c r="E2492" t="s">
        <v>128</v>
      </c>
      <c r="F2492" t="s">
        <v>58</v>
      </c>
      <c r="G2492" t="s">
        <v>59</v>
      </c>
      <c r="H2492" t="s">
        <v>60</v>
      </c>
      <c r="I2492" t="s">
        <v>129</v>
      </c>
      <c r="J2492" t="s">
        <v>86</v>
      </c>
      <c r="K2492" t="s">
        <v>61</v>
      </c>
      <c r="L2492" t="s">
        <v>74</v>
      </c>
      <c r="M2492" t="s">
        <v>63</v>
      </c>
      <c r="N2492" t="s">
        <v>64</v>
      </c>
      <c r="P2492" t="s">
        <v>65</v>
      </c>
      <c r="R2492">
        <v>0.89100000000000001</v>
      </c>
      <c r="W2492" t="s">
        <v>66</v>
      </c>
      <c r="X2492" t="s">
        <v>67</v>
      </c>
      <c r="Y2492" t="s">
        <v>67</v>
      </c>
      <c r="Z2492" t="s">
        <v>68</v>
      </c>
      <c r="AB2492">
        <v>4</v>
      </c>
      <c r="AC2492" t="s">
        <v>61</v>
      </c>
      <c r="AJ2492" t="s">
        <v>69</v>
      </c>
      <c r="AY2492" t="s">
        <v>134</v>
      </c>
      <c r="AZ2492">
        <v>15031</v>
      </c>
      <c r="BA2492" t="s">
        <v>135</v>
      </c>
      <c r="BB2492" t="s">
        <v>136</v>
      </c>
      <c r="BC2492">
        <v>1995</v>
      </c>
      <c r="BD2492" t="s">
        <v>133</v>
      </c>
    </row>
    <row r="2493" spans="1:56" x14ac:dyDescent="0.35">
      <c r="A2493">
        <v>3428248</v>
      </c>
      <c r="B2493" t="s">
        <v>1870</v>
      </c>
      <c r="D2493" t="s">
        <v>57</v>
      </c>
      <c r="E2493" t="s">
        <v>86</v>
      </c>
      <c r="F2493" t="s">
        <v>58</v>
      </c>
      <c r="G2493" t="s">
        <v>59</v>
      </c>
      <c r="H2493" t="s">
        <v>60</v>
      </c>
      <c r="J2493">
        <v>33</v>
      </c>
      <c r="K2493" t="s">
        <v>61</v>
      </c>
      <c r="L2493" t="s">
        <v>74</v>
      </c>
      <c r="M2493" t="s">
        <v>63</v>
      </c>
      <c r="N2493" t="s">
        <v>64</v>
      </c>
      <c r="P2493" t="s">
        <v>65</v>
      </c>
      <c r="R2493">
        <v>0.89</v>
      </c>
      <c r="T2493">
        <v>0.8</v>
      </c>
      <c r="V2493">
        <v>1</v>
      </c>
      <c r="W2493" t="s">
        <v>66</v>
      </c>
      <c r="X2493" t="s">
        <v>67</v>
      </c>
      <c r="Y2493" t="s">
        <v>67</v>
      </c>
      <c r="Z2493" t="s">
        <v>68</v>
      </c>
      <c r="AB2493">
        <v>4</v>
      </c>
      <c r="AC2493" t="s">
        <v>61</v>
      </c>
      <c r="AJ2493" t="s">
        <v>69</v>
      </c>
      <c r="AY2493" t="s">
        <v>141</v>
      </c>
      <c r="AZ2493">
        <v>12447</v>
      </c>
      <c r="BA2493" t="s">
        <v>142</v>
      </c>
      <c r="BB2493" t="s">
        <v>143</v>
      </c>
      <c r="BC2493">
        <v>1985</v>
      </c>
      <c r="BD2493" t="s">
        <v>73</v>
      </c>
    </row>
    <row r="2494" spans="1:56" x14ac:dyDescent="0.35">
      <c r="A2494">
        <v>3441143</v>
      </c>
      <c r="B2494" t="s">
        <v>1871</v>
      </c>
      <c r="D2494" t="s">
        <v>85</v>
      </c>
      <c r="E2494" t="s">
        <v>86</v>
      </c>
      <c r="F2494" t="s">
        <v>58</v>
      </c>
      <c r="G2494" t="s">
        <v>59</v>
      </c>
      <c r="H2494" t="s">
        <v>60</v>
      </c>
      <c r="J2494" t="s">
        <v>86</v>
      </c>
      <c r="L2494" t="s">
        <v>62</v>
      </c>
      <c r="M2494" t="s">
        <v>63</v>
      </c>
      <c r="N2494" t="s">
        <v>64</v>
      </c>
      <c r="P2494" t="s">
        <v>100</v>
      </c>
      <c r="Q2494" t="s">
        <v>153</v>
      </c>
      <c r="R2494">
        <v>180</v>
      </c>
      <c r="W2494" t="s">
        <v>66</v>
      </c>
      <c r="X2494" t="s">
        <v>67</v>
      </c>
      <c r="Y2494" t="s">
        <v>67</v>
      </c>
      <c r="Z2494" t="s">
        <v>68</v>
      </c>
      <c r="AB2494">
        <v>4</v>
      </c>
      <c r="AC2494" t="s">
        <v>61</v>
      </c>
      <c r="AJ2494" t="s">
        <v>69</v>
      </c>
      <c r="AY2494" t="s">
        <v>1243</v>
      </c>
      <c r="AZ2494">
        <v>5789</v>
      </c>
      <c r="BA2494" t="s">
        <v>1244</v>
      </c>
      <c r="BB2494" t="s">
        <v>1245</v>
      </c>
      <c r="BC2494">
        <v>1974</v>
      </c>
      <c r="BD2494" t="s">
        <v>90</v>
      </c>
    </row>
    <row r="2495" spans="1:56" x14ac:dyDescent="0.35">
      <c r="A2495">
        <v>3441143</v>
      </c>
      <c r="B2495" t="s">
        <v>1871</v>
      </c>
      <c r="D2495" t="s">
        <v>85</v>
      </c>
      <c r="E2495">
        <v>15</v>
      </c>
      <c r="F2495" t="s">
        <v>58</v>
      </c>
      <c r="G2495" t="s">
        <v>59</v>
      </c>
      <c r="H2495" t="s">
        <v>60</v>
      </c>
      <c r="J2495" t="s">
        <v>86</v>
      </c>
      <c r="L2495" t="s">
        <v>62</v>
      </c>
      <c r="M2495" t="s">
        <v>63</v>
      </c>
      <c r="N2495" t="s">
        <v>64</v>
      </c>
      <c r="P2495" t="s">
        <v>100</v>
      </c>
      <c r="Q2495" t="s">
        <v>153</v>
      </c>
      <c r="R2495">
        <v>180</v>
      </c>
      <c r="W2495" t="s">
        <v>66</v>
      </c>
      <c r="X2495" t="s">
        <v>67</v>
      </c>
      <c r="Y2495" t="s">
        <v>67</v>
      </c>
      <c r="Z2495" t="s">
        <v>68</v>
      </c>
      <c r="AB2495">
        <v>4</v>
      </c>
      <c r="AC2495" t="s">
        <v>61</v>
      </c>
      <c r="AJ2495" t="s">
        <v>69</v>
      </c>
      <c r="AY2495" t="s">
        <v>1246</v>
      </c>
      <c r="AZ2495">
        <v>6969</v>
      </c>
      <c r="BA2495" t="s">
        <v>1247</v>
      </c>
      <c r="BB2495" t="s">
        <v>1248</v>
      </c>
      <c r="BC2495">
        <v>1973</v>
      </c>
      <c r="BD2495" t="s">
        <v>90</v>
      </c>
    </row>
    <row r="2496" spans="1:56" x14ac:dyDescent="0.35">
      <c r="A2496">
        <v>3481207</v>
      </c>
      <c r="B2496" t="s">
        <v>1872</v>
      </c>
      <c r="D2496" t="s">
        <v>57</v>
      </c>
      <c r="E2496" t="s">
        <v>810</v>
      </c>
      <c r="F2496" t="s">
        <v>58</v>
      </c>
      <c r="G2496" t="s">
        <v>59</v>
      </c>
      <c r="H2496" t="s">
        <v>60</v>
      </c>
      <c r="J2496">
        <v>34</v>
      </c>
      <c r="K2496" t="s">
        <v>61</v>
      </c>
      <c r="L2496" t="s">
        <v>74</v>
      </c>
      <c r="M2496" t="s">
        <v>63</v>
      </c>
      <c r="N2496" t="s">
        <v>64</v>
      </c>
      <c r="P2496" t="s">
        <v>65</v>
      </c>
      <c r="R2496">
        <v>0.27</v>
      </c>
      <c r="T2496">
        <v>0.26</v>
      </c>
      <c r="V2496">
        <v>0.28999999999999998</v>
      </c>
      <c r="W2496" t="s">
        <v>66</v>
      </c>
      <c r="X2496" t="s">
        <v>67</v>
      </c>
      <c r="Y2496" t="s">
        <v>67</v>
      </c>
      <c r="Z2496" t="s">
        <v>68</v>
      </c>
      <c r="AB2496">
        <v>4</v>
      </c>
      <c r="AC2496" t="s">
        <v>61</v>
      </c>
      <c r="AJ2496" t="s">
        <v>69</v>
      </c>
      <c r="AY2496" t="s">
        <v>286</v>
      </c>
      <c r="AZ2496">
        <v>12448</v>
      </c>
      <c r="BA2496" t="s">
        <v>287</v>
      </c>
      <c r="BB2496" t="s">
        <v>288</v>
      </c>
      <c r="BC2496">
        <v>1984</v>
      </c>
      <c r="BD2496" t="s">
        <v>73</v>
      </c>
    </row>
    <row r="2497" spans="1:56" x14ac:dyDescent="0.35">
      <c r="A2497">
        <v>3481207</v>
      </c>
      <c r="B2497" t="s">
        <v>1872</v>
      </c>
      <c r="D2497" t="s">
        <v>57</v>
      </c>
      <c r="E2497" t="s">
        <v>128</v>
      </c>
      <c r="F2497" t="s">
        <v>58</v>
      </c>
      <c r="G2497" t="s">
        <v>59</v>
      </c>
      <c r="H2497" t="s">
        <v>60</v>
      </c>
      <c r="I2497" t="s">
        <v>129</v>
      </c>
      <c r="J2497" t="s">
        <v>86</v>
      </c>
      <c r="K2497" t="s">
        <v>61</v>
      </c>
      <c r="L2497" t="s">
        <v>74</v>
      </c>
      <c r="M2497" t="s">
        <v>63</v>
      </c>
      <c r="N2497" t="s">
        <v>64</v>
      </c>
      <c r="P2497" t="s">
        <v>65</v>
      </c>
      <c r="R2497">
        <v>0.27200000000000002</v>
      </c>
      <c r="W2497" t="s">
        <v>66</v>
      </c>
      <c r="X2497" t="s">
        <v>67</v>
      </c>
      <c r="Y2497" t="s">
        <v>67</v>
      </c>
      <c r="Z2497" t="s">
        <v>68</v>
      </c>
      <c r="AB2497">
        <v>4</v>
      </c>
      <c r="AC2497" t="s">
        <v>61</v>
      </c>
      <c r="AJ2497" t="s">
        <v>69</v>
      </c>
      <c r="AY2497" t="s">
        <v>134</v>
      </c>
      <c r="AZ2497">
        <v>15031</v>
      </c>
      <c r="BA2497" t="s">
        <v>135</v>
      </c>
      <c r="BB2497" t="s">
        <v>136</v>
      </c>
      <c r="BC2497">
        <v>1995</v>
      </c>
      <c r="BD2497" t="s">
        <v>133</v>
      </c>
    </row>
    <row r="2498" spans="1:56" x14ac:dyDescent="0.35">
      <c r="A2498">
        <v>3486359</v>
      </c>
      <c r="B2498" t="s">
        <v>1873</v>
      </c>
      <c r="C2498" t="s">
        <v>195</v>
      </c>
      <c r="D2498" t="s">
        <v>57</v>
      </c>
      <c r="E2498" t="s">
        <v>86</v>
      </c>
      <c r="F2498" t="s">
        <v>58</v>
      </c>
      <c r="G2498" t="s">
        <v>59</v>
      </c>
      <c r="H2498" t="s">
        <v>60</v>
      </c>
      <c r="I2498" t="s">
        <v>1469</v>
      </c>
      <c r="J2498" t="s">
        <v>289</v>
      </c>
      <c r="K2498" t="s">
        <v>184</v>
      </c>
      <c r="L2498" t="s">
        <v>62</v>
      </c>
      <c r="M2498" t="s">
        <v>63</v>
      </c>
      <c r="N2498" t="s">
        <v>64</v>
      </c>
      <c r="O2498" t="s">
        <v>1470</v>
      </c>
      <c r="P2498" t="s">
        <v>201</v>
      </c>
      <c r="Q2498" t="s">
        <v>153</v>
      </c>
      <c r="R2498">
        <v>3000</v>
      </c>
      <c r="W2498" t="s">
        <v>66</v>
      </c>
      <c r="X2498" t="s">
        <v>67</v>
      </c>
      <c r="Y2498" t="s">
        <v>67</v>
      </c>
      <c r="Z2498" t="s">
        <v>68</v>
      </c>
      <c r="AB2498">
        <v>4</v>
      </c>
      <c r="AC2498" t="s">
        <v>61</v>
      </c>
      <c r="AJ2498" t="s">
        <v>69</v>
      </c>
      <c r="AY2498" t="s">
        <v>1471</v>
      </c>
      <c r="AZ2498">
        <v>76100</v>
      </c>
      <c r="BA2498" t="s">
        <v>1472</v>
      </c>
      <c r="BB2498" t="s">
        <v>1473</v>
      </c>
      <c r="BC2498">
        <v>1998</v>
      </c>
      <c r="BD2498" t="s">
        <v>185</v>
      </c>
    </row>
    <row r="2499" spans="1:56" x14ac:dyDescent="0.35">
      <c r="A2499">
        <v>3486359</v>
      </c>
      <c r="B2499" t="s">
        <v>1873</v>
      </c>
      <c r="D2499" t="s">
        <v>85</v>
      </c>
      <c r="E2499" t="s">
        <v>86</v>
      </c>
      <c r="F2499" t="s">
        <v>58</v>
      </c>
      <c r="G2499" t="s">
        <v>59</v>
      </c>
      <c r="H2499" t="s">
        <v>60</v>
      </c>
      <c r="I2499" t="s">
        <v>1469</v>
      </c>
      <c r="J2499" t="s">
        <v>289</v>
      </c>
      <c r="K2499" t="s">
        <v>184</v>
      </c>
      <c r="L2499" t="s">
        <v>62</v>
      </c>
      <c r="M2499" t="s">
        <v>63</v>
      </c>
      <c r="N2499" t="s">
        <v>64</v>
      </c>
      <c r="P2499" t="s">
        <v>201</v>
      </c>
      <c r="Q2499" t="s">
        <v>153</v>
      </c>
      <c r="R2499">
        <v>3000</v>
      </c>
      <c r="W2499" t="s">
        <v>66</v>
      </c>
      <c r="X2499" t="s">
        <v>67</v>
      </c>
      <c r="Y2499" t="s">
        <v>67</v>
      </c>
      <c r="Z2499" t="s">
        <v>68</v>
      </c>
      <c r="AB2499">
        <v>4</v>
      </c>
      <c r="AC2499" t="s">
        <v>61</v>
      </c>
      <c r="AJ2499" t="s">
        <v>69</v>
      </c>
      <c r="AY2499" t="s">
        <v>1474</v>
      </c>
      <c r="AZ2499">
        <v>9180</v>
      </c>
      <c r="BA2499" t="s">
        <v>1475</v>
      </c>
      <c r="BB2499" t="s">
        <v>1476</v>
      </c>
      <c r="BC2499">
        <v>1992</v>
      </c>
      <c r="BD2499" t="s">
        <v>185</v>
      </c>
    </row>
    <row r="2500" spans="1:56" x14ac:dyDescent="0.35">
      <c r="A2500">
        <v>3547044</v>
      </c>
      <c r="B2500" t="s">
        <v>1874</v>
      </c>
      <c r="D2500" t="s">
        <v>57</v>
      </c>
      <c r="E2500" t="s">
        <v>86</v>
      </c>
      <c r="F2500" t="s">
        <v>58</v>
      </c>
      <c r="G2500" t="s">
        <v>59</v>
      </c>
      <c r="H2500" t="s">
        <v>60</v>
      </c>
      <c r="J2500" t="s">
        <v>86</v>
      </c>
      <c r="L2500" t="s">
        <v>62</v>
      </c>
      <c r="M2500" t="s">
        <v>63</v>
      </c>
      <c r="N2500" t="s">
        <v>64</v>
      </c>
      <c r="O2500">
        <v>2</v>
      </c>
      <c r="P2500" t="s">
        <v>65</v>
      </c>
      <c r="Q2500" t="s">
        <v>153</v>
      </c>
      <c r="R2500">
        <v>0.05</v>
      </c>
      <c r="W2500" t="s">
        <v>66</v>
      </c>
      <c r="X2500" t="s">
        <v>67</v>
      </c>
      <c r="Y2500" t="s">
        <v>67</v>
      </c>
      <c r="Z2500" t="s">
        <v>68</v>
      </c>
      <c r="AB2500">
        <v>4</v>
      </c>
      <c r="AC2500" t="s">
        <v>61</v>
      </c>
      <c r="AJ2500" t="s">
        <v>69</v>
      </c>
      <c r="AY2500" t="s">
        <v>1875</v>
      </c>
      <c r="AZ2500">
        <v>8455</v>
      </c>
      <c r="BA2500" t="s">
        <v>1876</v>
      </c>
      <c r="BB2500" t="s">
        <v>1877</v>
      </c>
      <c r="BC2500">
        <v>1974</v>
      </c>
      <c r="BD2500" t="s">
        <v>90</v>
      </c>
    </row>
    <row r="2501" spans="1:56" x14ac:dyDescent="0.35">
      <c r="A2501">
        <v>3558698</v>
      </c>
      <c r="B2501" t="s">
        <v>1878</v>
      </c>
      <c r="D2501" t="s">
        <v>57</v>
      </c>
      <c r="E2501" t="s">
        <v>810</v>
      </c>
      <c r="F2501" t="s">
        <v>58</v>
      </c>
      <c r="G2501" t="s">
        <v>59</v>
      </c>
      <c r="H2501" t="s">
        <v>60</v>
      </c>
      <c r="J2501">
        <v>28</v>
      </c>
      <c r="K2501" t="s">
        <v>61</v>
      </c>
      <c r="L2501" t="s">
        <v>74</v>
      </c>
      <c r="M2501" t="s">
        <v>63</v>
      </c>
      <c r="N2501" t="s">
        <v>64</v>
      </c>
      <c r="P2501" t="s">
        <v>65</v>
      </c>
      <c r="R2501">
        <v>0.21199999999999999</v>
      </c>
      <c r="T2501">
        <v>0.188</v>
      </c>
      <c r="V2501">
        <v>0.24</v>
      </c>
      <c r="W2501" t="s">
        <v>66</v>
      </c>
      <c r="X2501" t="s">
        <v>67</v>
      </c>
      <c r="Y2501" t="s">
        <v>67</v>
      </c>
      <c r="Z2501" t="s">
        <v>68</v>
      </c>
      <c r="AB2501">
        <v>4</v>
      </c>
      <c r="AC2501" t="s">
        <v>61</v>
      </c>
      <c r="AJ2501" t="s">
        <v>69</v>
      </c>
      <c r="AY2501" t="s">
        <v>263</v>
      </c>
      <c r="AZ2501">
        <v>12858</v>
      </c>
      <c r="BA2501" t="s">
        <v>264</v>
      </c>
      <c r="BB2501" t="s">
        <v>265</v>
      </c>
      <c r="BC2501">
        <v>1986</v>
      </c>
      <c r="BD2501" t="s">
        <v>73</v>
      </c>
    </row>
    <row r="2502" spans="1:56" x14ac:dyDescent="0.35">
      <c r="A2502">
        <v>3567257</v>
      </c>
      <c r="B2502" t="s">
        <v>1879</v>
      </c>
      <c r="E2502">
        <v>83.4</v>
      </c>
      <c r="F2502" t="s">
        <v>58</v>
      </c>
      <c r="G2502" t="s">
        <v>59</v>
      </c>
      <c r="H2502" t="s">
        <v>60</v>
      </c>
      <c r="J2502" t="s">
        <v>86</v>
      </c>
      <c r="L2502" t="s">
        <v>62</v>
      </c>
      <c r="M2502" t="s">
        <v>63</v>
      </c>
      <c r="N2502" t="s">
        <v>64</v>
      </c>
      <c r="P2502" t="s">
        <v>65</v>
      </c>
      <c r="R2502">
        <v>6.1</v>
      </c>
      <c r="T2502">
        <v>4.5</v>
      </c>
      <c r="V2502">
        <v>8.1999999999999993</v>
      </c>
      <c r="W2502" t="s">
        <v>66</v>
      </c>
      <c r="X2502" t="s">
        <v>67</v>
      </c>
      <c r="Y2502" t="s">
        <v>67</v>
      </c>
      <c r="Z2502" t="s">
        <v>68</v>
      </c>
      <c r="AB2502">
        <v>4</v>
      </c>
      <c r="AC2502" t="s">
        <v>61</v>
      </c>
      <c r="AJ2502" t="s">
        <v>69</v>
      </c>
      <c r="AY2502" t="s">
        <v>96</v>
      </c>
      <c r="AZ2502">
        <v>6797</v>
      </c>
      <c r="BA2502" t="s">
        <v>97</v>
      </c>
      <c r="BB2502" t="s">
        <v>98</v>
      </c>
      <c r="BC2502">
        <v>1986</v>
      </c>
      <c r="BD2502" t="s">
        <v>90</v>
      </c>
    </row>
    <row r="2503" spans="1:56" x14ac:dyDescent="0.35">
      <c r="A2503">
        <v>3648202</v>
      </c>
      <c r="B2503" t="s">
        <v>1880</v>
      </c>
      <c r="D2503" t="s">
        <v>57</v>
      </c>
      <c r="E2503" t="s">
        <v>86</v>
      </c>
      <c r="F2503" t="s">
        <v>58</v>
      </c>
      <c r="G2503" t="s">
        <v>59</v>
      </c>
      <c r="H2503" t="s">
        <v>60</v>
      </c>
      <c r="J2503" t="s">
        <v>86</v>
      </c>
      <c r="L2503" t="s">
        <v>62</v>
      </c>
      <c r="M2503" t="s">
        <v>63</v>
      </c>
      <c r="N2503" t="s">
        <v>64</v>
      </c>
      <c r="O2503">
        <v>2</v>
      </c>
      <c r="P2503" t="s">
        <v>65</v>
      </c>
      <c r="Q2503" t="s">
        <v>153</v>
      </c>
      <c r="R2503">
        <v>0.96</v>
      </c>
      <c r="W2503" t="s">
        <v>66</v>
      </c>
      <c r="X2503" t="s">
        <v>67</v>
      </c>
      <c r="Y2503" t="s">
        <v>67</v>
      </c>
      <c r="Z2503" t="s">
        <v>68</v>
      </c>
      <c r="AB2503">
        <v>4</v>
      </c>
      <c r="AC2503" t="s">
        <v>61</v>
      </c>
      <c r="AJ2503" t="s">
        <v>69</v>
      </c>
      <c r="AY2503" t="s">
        <v>633</v>
      </c>
      <c r="AZ2503">
        <v>180491</v>
      </c>
      <c r="BA2503" t="s">
        <v>634</v>
      </c>
      <c r="BB2503" t="s">
        <v>635</v>
      </c>
      <c r="BC2503">
        <v>2000</v>
      </c>
      <c r="BD2503" t="s">
        <v>90</v>
      </c>
    </row>
    <row r="2504" spans="1:56" x14ac:dyDescent="0.35">
      <c r="A2504">
        <v>3648202</v>
      </c>
      <c r="B2504" t="s">
        <v>1880</v>
      </c>
      <c r="D2504" t="s">
        <v>85</v>
      </c>
      <c r="E2504" t="s">
        <v>128</v>
      </c>
      <c r="F2504" t="s">
        <v>58</v>
      </c>
      <c r="G2504" t="s">
        <v>59</v>
      </c>
      <c r="H2504" t="s">
        <v>60</v>
      </c>
      <c r="I2504" t="s">
        <v>129</v>
      </c>
      <c r="J2504" t="s">
        <v>86</v>
      </c>
      <c r="L2504" t="s">
        <v>62</v>
      </c>
      <c r="M2504" t="s">
        <v>63</v>
      </c>
      <c r="N2504" t="s">
        <v>64</v>
      </c>
      <c r="P2504" t="s">
        <v>65</v>
      </c>
      <c r="Q2504" t="s">
        <v>153</v>
      </c>
      <c r="R2504">
        <v>0.74</v>
      </c>
      <c r="W2504" t="s">
        <v>66</v>
      </c>
      <c r="X2504" t="s">
        <v>67</v>
      </c>
      <c r="Y2504" t="s">
        <v>67</v>
      </c>
      <c r="Z2504" t="s">
        <v>68</v>
      </c>
      <c r="AB2504">
        <v>4</v>
      </c>
      <c r="AC2504" t="s">
        <v>61</v>
      </c>
      <c r="AJ2504" t="s">
        <v>69</v>
      </c>
      <c r="AY2504" t="s">
        <v>630</v>
      </c>
      <c r="AZ2504">
        <v>15040</v>
      </c>
      <c r="BA2504" t="s">
        <v>631</v>
      </c>
      <c r="BB2504" t="s">
        <v>632</v>
      </c>
      <c r="BC2504">
        <v>1995</v>
      </c>
      <c r="BD2504" t="s">
        <v>90</v>
      </c>
    </row>
    <row r="2505" spans="1:56" x14ac:dyDescent="0.35">
      <c r="A2505">
        <v>3648202</v>
      </c>
      <c r="B2505" t="s">
        <v>1880</v>
      </c>
      <c r="D2505" t="s">
        <v>85</v>
      </c>
      <c r="E2505" t="s">
        <v>128</v>
      </c>
      <c r="F2505" t="s">
        <v>58</v>
      </c>
      <c r="G2505" t="s">
        <v>59</v>
      </c>
      <c r="H2505" t="s">
        <v>60</v>
      </c>
      <c r="I2505" t="s">
        <v>129</v>
      </c>
      <c r="J2505" t="s">
        <v>86</v>
      </c>
      <c r="L2505" t="s">
        <v>74</v>
      </c>
      <c r="M2505" t="s">
        <v>63</v>
      </c>
      <c r="N2505" t="s">
        <v>64</v>
      </c>
      <c r="P2505" t="s">
        <v>65</v>
      </c>
      <c r="Q2505" t="s">
        <v>153</v>
      </c>
      <c r="R2505">
        <v>1.3</v>
      </c>
      <c r="W2505" t="s">
        <v>66</v>
      </c>
      <c r="X2505" t="s">
        <v>67</v>
      </c>
      <c r="Y2505" t="s">
        <v>67</v>
      </c>
      <c r="Z2505" t="s">
        <v>68</v>
      </c>
      <c r="AB2505">
        <v>4</v>
      </c>
      <c r="AC2505" t="s">
        <v>61</v>
      </c>
      <c r="AJ2505" t="s">
        <v>69</v>
      </c>
      <c r="AY2505" t="s">
        <v>630</v>
      </c>
      <c r="AZ2505">
        <v>15040</v>
      </c>
      <c r="BA2505" t="s">
        <v>631</v>
      </c>
      <c r="BB2505" t="s">
        <v>632</v>
      </c>
      <c r="BC2505">
        <v>1995</v>
      </c>
      <c r="BD2505" t="s">
        <v>90</v>
      </c>
    </row>
    <row r="2506" spans="1:56" x14ac:dyDescent="0.35">
      <c r="A2506">
        <v>3663249</v>
      </c>
      <c r="B2506" t="s">
        <v>1881</v>
      </c>
      <c r="D2506" t="s">
        <v>57</v>
      </c>
      <c r="E2506" t="s">
        <v>86</v>
      </c>
      <c r="F2506" t="s">
        <v>58</v>
      </c>
      <c r="G2506" t="s">
        <v>59</v>
      </c>
      <c r="H2506" t="s">
        <v>60</v>
      </c>
      <c r="J2506" t="s">
        <v>86</v>
      </c>
      <c r="K2506" t="s">
        <v>61</v>
      </c>
      <c r="L2506" t="s">
        <v>190</v>
      </c>
      <c r="M2506" t="s">
        <v>63</v>
      </c>
      <c r="N2506" t="s">
        <v>64</v>
      </c>
      <c r="P2506" t="s">
        <v>65</v>
      </c>
      <c r="R2506">
        <v>3.3</v>
      </c>
      <c r="T2506">
        <v>2.4</v>
      </c>
      <c r="V2506">
        <v>4.8</v>
      </c>
      <c r="W2506" t="s">
        <v>66</v>
      </c>
      <c r="X2506" t="s">
        <v>67</v>
      </c>
      <c r="Y2506" t="s">
        <v>67</v>
      </c>
      <c r="Z2506" t="s">
        <v>68</v>
      </c>
      <c r="AB2506">
        <v>4</v>
      </c>
      <c r="AC2506" t="s">
        <v>61</v>
      </c>
      <c r="AJ2506" t="s">
        <v>69</v>
      </c>
      <c r="AY2506" t="s">
        <v>801</v>
      </c>
      <c r="AZ2506">
        <v>60072</v>
      </c>
      <c r="BA2506" t="s">
        <v>802</v>
      </c>
      <c r="BB2506" t="s">
        <v>803</v>
      </c>
      <c r="BC2506">
        <v>2001</v>
      </c>
      <c r="BD2506" t="s">
        <v>804</v>
      </c>
    </row>
    <row r="2507" spans="1:56" x14ac:dyDescent="0.35">
      <c r="A2507">
        <v>3687136</v>
      </c>
      <c r="B2507" t="s">
        <v>1882</v>
      </c>
      <c r="E2507">
        <v>25</v>
      </c>
      <c r="F2507" t="s">
        <v>58</v>
      </c>
      <c r="G2507" t="s">
        <v>59</v>
      </c>
      <c r="H2507" t="s">
        <v>60</v>
      </c>
      <c r="J2507" t="s">
        <v>86</v>
      </c>
      <c r="L2507" t="s">
        <v>62</v>
      </c>
      <c r="M2507" t="s">
        <v>63</v>
      </c>
      <c r="N2507" t="s">
        <v>64</v>
      </c>
      <c r="P2507" t="s">
        <v>65</v>
      </c>
      <c r="R2507">
        <v>4.4000000000000004</v>
      </c>
      <c r="T2507">
        <v>4.13</v>
      </c>
      <c r="V2507">
        <v>4.68</v>
      </c>
      <c r="W2507" t="s">
        <v>66</v>
      </c>
      <c r="X2507" t="s">
        <v>67</v>
      </c>
      <c r="Y2507" t="s">
        <v>67</v>
      </c>
      <c r="Z2507" t="s">
        <v>68</v>
      </c>
      <c r="AB2507">
        <v>4</v>
      </c>
      <c r="AC2507" t="s">
        <v>61</v>
      </c>
      <c r="AJ2507" t="s">
        <v>69</v>
      </c>
      <c r="AY2507" t="s">
        <v>96</v>
      </c>
      <c r="AZ2507">
        <v>6797</v>
      </c>
      <c r="BA2507" t="s">
        <v>97</v>
      </c>
      <c r="BB2507" t="s">
        <v>98</v>
      </c>
      <c r="BC2507">
        <v>1986</v>
      </c>
      <c r="BD2507" t="s">
        <v>90</v>
      </c>
    </row>
    <row r="2508" spans="1:56" x14ac:dyDescent="0.35">
      <c r="A2508">
        <v>3689245</v>
      </c>
      <c r="B2508" t="s">
        <v>1883</v>
      </c>
      <c r="D2508" t="s">
        <v>85</v>
      </c>
      <c r="E2508" t="s">
        <v>86</v>
      </c>
      <c r="F2508" t="s">
        <v>58</v>
      </c>
      <c r="G2508" t="s">
        <v>59</v>
      </c>
      <c r="H2508" t="s">
        <v>60</v>
      </c>
      <c r="J2508" t="s">
        <v>86</v>
      </c>
      <c r="L2508" t="s">
        <v>62</v>
      </c>
      <c r="M2508" t="s">
        <v>63</v>
      </c>
      <c r="N2508" t="s">
        <v>64</v>
      </c>
      <c r="P2508" t="s">
        <v>100</v>
      </c>
      <c r="R2508">
        <v>0.17799999999999999</v>
      </c>
      <c r="W2508" t="s">
        <v>66</v>
      </c>
      <c r="X2508" t="s">
        <v>67</v>
      </c>
      <c r="Y2508" t="s">
        <v>67</v>
      </c>
      <c r="Z2508" t="s">
        <v>68</v>
      </c>
      <c r="AB2508">
        <v>4</v>
      </c>
      <c r="AC2508" t="s">
        <v>61</v>
      </c>
      <c r="AJ2508" t="s">
        <v>69</v>
      </c>
      <c r="AY2508" t="s">
        <v>1427</v>
      </c>
      <c r="AZ2508">
        <v>551</v>
      </c>
      <c r="BA2508" t="s">
        <v>1428</v>
      </c>
      <c r="BB2508" t="s">
        <v>1429</v>
      </c>
      <c r="BC2508">
        <v>1979</v>
      </c>
      <c r="BD2508" t="s">
        <v>90</v>
      </c>
    </row>
    <row r="2509" spans="1:56" x14ac:dyDescent="0.35">
      <c r="A2509">
        <v>3698837</v>
      </c>
      <c r="B2509" t="s">
        <v>1884</v>
      </c>
      <c r="D2509" t="s">
        <v>57</v>
      </c>
      <c r="E2509" t="s">
        <v>128</v>
      </c>
      <c r="F2509" t="s">
        <v>58</v>
      </c>
      <c r="G2509" t="s">
        <v>59</v>
      </c>
      <c r="H2509" t="s">
        <v>60</v>
      </c>
      <c r="I2509" t="s">
        <v>129</v>
      </c>
      <c r="J2509" t="s">
        <v>86</v>
      </c>
      <c r="K2509" t="s">
        <v>61</v>
      </c>
      <c r="L2509" t="s">
        <v>74</v>
      </c>
      <c r="M2509" t="s">
        <v>63</v>
      </c>
      <c r="N2509" t="s">
        <v>64</v>
      </c>
      <c r="P2509" t="s">
        <v>65</v>
      </c>
      <c r="R2509">
        <v>3.49E-2</v>
      </c>
      <c r="W2509" t="s">
        <v>66</v>
      </c>
      <c r="X2509" t="s">
        <v>67</v>
      </c>
      <c r="Y2509" t="s">
        <v>67</v>
      </c>
      <c r="Z2509" t="s">
        <v>68</v>
      </c>
      <c r="AB2509">
        <v>4</v>
      </c>
      <c r="AC2509" t="s">
        <v>61</v>
      </c>
      <c r="AJ2509" t="s">
        <v>69</v>
      </c>
      <c r="AY2509" t="s">
        <v>134</v>
      </c>
      <c r="AZ2509">
        <v>15031</v>
      </c>
      <c r="BA2509" t="s">
        <v>135</v>
      </c>
      <c r="BB2509" t="s">
        <v>136</v>
      </c>
      <c r="BC2509">
        <v>1995</v>
      </c>
      <c r="BD2509" t="s">
        <v>133</v>
      </c>
    </row>
    <row r="2510" spans="1:56" x14ac:dyDescent="0.35">
      <c r="A2510">
        <v>3698837</v>
      </c>
      <c r="B2510" t="s">
        <v>1884</v>
      </c>
      <c r="D2510" t="s">
        <v>57</v>
      </c>
      <c r="E2510" t="s">
        <v>86</v>
      </c>
      <c r="F2510" t="s">
        <v>58</v>
      </c>
      <c r="G2510" t="s">
        <v>59</v>
      </c>
      <c r="H2510" t="s">
        <v>60</v>
      </c>
      <c r="J2510">
        <v>44</v>
      </c>
      <c r="K2510" t="s">
        <v>61</v>
      </c>
      <c r="L2510" t="s">
        <v>74</v>
      </c>
      <c r="M2510" t="s">
        <v>63</v>
      </c>
      <c r="N2510" t="s">
        <v>64</v>
      </c>
      <c r="P2510" t="s">
        <v>65</v>
      </c>
      <c r="R2510">
        <v>4.0300000000000002E-2</v>
      </c>
      <c r="T2510">
        <v>3.2300000000000002E-2</v>
      </c>
      <c r="V2510">
        <v>5.0200000000000002E-2</v>
      </c>
      <c r="W2510" t="s">
        <v>66</v>
      </c>
      <c r="X2510" t="s">
        <v>67</v>
      </c>
      <c r="Y2510" t="s">
        <v>67</v>
      </c>
      <c r="Z2510" t="s">
        <v>68</v>
      </c>
      <c r="AB2510">
        <v>4</v>
      </c>
      <c r="AC2510" t="s">
        <v>61</v>
      </c>
      <c r="AJ2510" t="s">
        <v>69</v>
      </c>
      <c r="AY2510" t="s">
        <v>141</v>
      </c>
      <c r="AZ2510">
        <v>12447</v>
      </c>
      <c r="BA2510" t="s">
        <v>142</v>
      </c>
      <c r="BB2510" t="s">
        <v>143</v>
      </c>
      <c r="BC2510">
        <v>1985</v>
      </c>
      <c r="BD2510" t="s">
        <v>73</v>
      </c>
    </row>
    <row r="2511" spans="1:56" x14ac:dyDescent="0.35">
      <c r="A2511">
        <v>3698837</v>
      </c>
      <c r="B2511" t="s">
        <v>1884</v>
      </c>
      <c r="D2511" t="s">
        <v>57</v>
      </c>
      <c r="E2511" t="s">
        <v>86</v>
      </c>
      <c r="F2511" t="s">
        <v>58</v>
      </c>
      <c r="G2511" t="s">
        <v>59</v>
      </c>
      <c r="H2511" t="s">
        <v>60</v>
      </c>
      <c r="J2511" t="s">
        <v>86</v>
      </c>
      <c r="L2511" t="s">
        <v>74</v>
      </c>
      <c r="M2511" t="s">
        <v>63</v>
      </c>
      <c r="N2511" t="s">
        <v>64</v>
      </c>
      <c r="P2511" t="s">
        <v>65</v>
      </c>
      <c r="R2511">
        <v>3.7999999999999999E-2</v>
      </c>
      <c r="T2511">
        <v>0.03</v>
      </c>
      <c r="V2511">
        <v>4.7E-2</v>
      </c>
      <c r="W2511" t="s">
        <v>66</v>
      </c>
      <c r="X2511" t="s">
        <v>67</v>
      </c>
      <c r="Y2511" t="s">
        <v>67</v>
      </c>
      <c r="Z2511" t="s">
        <v>68</v>
      </c>
      <c r="AB2511">
        <v>4</v>
      </c>
      <c r="AC2511" t="s">
        <v>61</v>
      </c>
      <c r="AJ2511" t="s">
        <v>69</v>
      </c>
      <c r="AY2511" t="s">
        <v>325</v>
      </c>
      <c r="AZ2511">
        <v>10775</v>
      </c>
      <c r="BA2511" t="s">
        <v>326</v>
      </c>
      <c r="BB2511" t="s">
        <v>327</v>
      </c>
      <c r="BC2511">
        <v>1985</v>
      </c>
      <c r="BD2511" t="s">
        <v>90</v>
      </c>
    </row>
    <row r="2512" spans="1:56" x14ac:dyDescent="0.35">
      <c r="A2512">
        <v>3698837</v>
      </c>
      <c r="B2512" t="s">
        <v>1884</v>
      </c>
      <c r="D2512" t="s">
        <v>57</v>
      </c>
      <c r="E2512" t="s">
        <v>86</v>
      </c>
      <c r="F2512" t="s">
        <v>58</v>
      </c>
      <c r="G2512" t="s">
        <v>59</v>
      </c>
      <c r="H2512" t="s">
        <v>60</v>
      </c>
      <c r="J2512" t="s">
        <v>86</v>
      </c>
      <c r="K2512" t="s">
        <v>61</v>
      </c>
      <c r="L2512" t="s">
        <v>74</v>
      </c>
      <c r="M2512" t="s">
        <v>63</v>
      </c>
      <c r="N2512" t="s">
        <v>64</v>
      </c>
      <c r="P2512" t="s">
        <v>65</v>
      </c>
      <c r="R2512">
        <v>5.1999999999999998E-2</v>
      </c>
      <c r="W2512" t="s">
        <v>66</v>
      </c>
      <c r="X2512" t="s">
        <v>67</v>
      </c>
      <c r="Y2512" t="s">
        <v>67</v>
      </c>
      <c r="Z2512" t="s">
        <v>68</v>
      </c>
      <c r="AB2512">
        <v>4</v>
      </c>
      <c r="AC2512" t="s">
        <v>61</v>
      </c>
      <c r="AJ2512" t="s">
        <v>69</v>
      </c>
      <c r="AY2512" t="s">
        <v>286</v>
      </c>
      <c r="AZ2512">
        <v>12448</v>
      </c>
      <c r="BA2512" t="s">
        <v>287</v>
      </c>
      <c r="BB2512" t="s">
        <v>288</v>
      </c>
      <c r="BC2512">
        <v>1984</v>
      </c>
      <c r="BD2512" t="s">
        <v>760</v>
      </c>
    </row>
    <row r="2513" spans="1:56" x14ac:dyDescent="0.35">
      <c r="A2513">
        <v>3825261</v>
      </c>
      <c r="B2513" t="s">
        <v>1885</v>
      </c>
      <c r="D2513" t="s">
        <v>85</v>
      </c>
      <c r="E2513" t="s">
        <v>86</v>
      </c>
      <c r="F2513" t="s">
        <v>58</v>
      </c>
      <c r="G2513" t="s">
        <v>59</v>
      </c>
      <c r="H2513" t="s">
        <v>60</v>
      </c>
      <c r="J2513" t="s">
        <v>86</v>
      </c>
      <c r="L2513" t="s">
        <v>62</v>
      </c>
      <c r="M2513" t="s">
        <v>63</v>
      </c>
      <c r="N2513" t="s">
        <v>64</v>
      </c>
      <c r="O2513">
        <v>6</v>
      </c>
      <c r="P2513" t="s">
        <v>65</v>
      </c>
      <c r="R2513">
        <v>301</v>
      </c>
      <c r="T2513">
        <v>244</v>
      </c>
      <c r="V2513">
        <v>370</v>
      </c>
      <c r="W2513" t="s">
        <v>66</v>
      </c>
      <c r="X2513" t="s">
        <v>67</v>
      </c>
      <c r="Y2513" t="s">
        <v>67</v>
      </c>
      <c r="Z2513" t="s">
        <v>68</v>
      </c>
      <c r="AB2513">
        <v>4</v>
      </c>
      <c r="AC2513" t="s">
        <v>61</v>
      </c>
      <c r="AJ2513" t="s">
        <v>69</v>
      </c>
      <c r="AY2513" t="s">
        <v>1393</v>
      </c>
      <c r="AZ2513">
        <v>185688</v>
      </c>
      <c r="BA2513" t="s">
        <v>1886</v>
      </c>
      <c r="BB2513" t="s">
        <v>1432</v>
      </c>
      <c r="BC2513">
        <v>2000</v>
      </c>
      <c r="BD2513" t="s">
        <v>1887</v>
      </c>
    </row>
    <row r="2514" spans="1:56" x14ac:dyDescent="0.35">
      <c r="A2514">
        <v>3825261</v>
      </c>
      <c r="B2514" t="s">
        <v>1885</v>
      </c>
      <c r="D2514" t="s">
        <v>85</v>
      </c>
      <c r="E2514" t="s">
        <v>1888</v>
      </c>
      <c r="F2514" t="s">
        <v>58</v>
      </c>
      <c r="G2514" t="s">
        <v>59</v>
      </c>
      <c r="H2514" t="s">
        <v>60</v>
      </c>
      <c r="I2514" t="s">
        <v>129</v>
      </c>
      <c r="J2514" t="s">
        <v>86</v>
      </c>
      <c r="L2514" t="s">
        <v>62</v>
      </c>
      <c r="M2514" t="s">
        <v>63</v>
      </c>
      <c r="N2514" t="s">
        <v>64</v>
      </c>
      <c r="O2514">
        <v>6</v>
      </c>
      <c r="P2514" t="s">
        <v>100</v>
      </c>
      <c r="Q2514" t="s">
        <v>153</v>
      </c>
      <c r="R2514">
        <v>1000</v>
      </c>
      <c r="W2514" t="s">
        <v>66</v>
      </c>
      <c r="X2514" t="s">
        <v>67</v>
      </c>
      <c r="Y2514" t="s">
        <v>67</v>
      </c>
      <c r="Z2514" t="s">
        <v>68</v>
      </c>
      <c r="AB2514">
        <v>4</v>
      </c>
      <c r="AC2514" t="s">
        <v>61</v>
      </c>
      <c r="AJ2514" t="s">
        <v>69</v>
      </c>
      <c r="AY2514" t="s">
        <v>1393</v>
      </c>
      <c r="AZ2514">
        <v>185693</v>
      </c>
      <c r="BA2514" t="s">
        <v>1889</v>
      </c>
      <c r="BB2514" t="s">
        <v>1432</v>
      </c>
      <c r="BC2514">
        <v>2000</v>
      </c>
      <c r="BD2514" t="s">
        <v>90</v>
      </c>
    </row>
    <row r="2515" spans="1:56" x14ac:dyDescent="0.35">
      <c r="A2515">
        <v>3825261</v>
      </c>
      <c r="B2515" t="s">
        <v>1885</v>
      </c>
      <c r="D2515" t="s">
        <v>85</v>
      </c>
      <c r="E2515">
        <v>30</v>
      </c>
      <c r="F2515" t="s">
        <v>58</v>
      </c>
      <c r="G2515" t="s">
        <v>59</v>
      </c>
      <c r="H2515" t="s">
        <v>60</v>
      </c>
      <c r="I2515" t="s">
        <v>129</v>
      </c>
      <c r="J2515" t="s">
        <v>86</v>
      </c>
      <c r="L2515" t="s">
        <v>62</v>
      </c>
      <c r="M2515" t="s">
        <v>63</v>
      </c>
      <c r="N2515" t="s">
        <v>64</v>
      </c>
      <c r="O2515">
        <v>6</v>
      </c>
      <c r="P2515" t="s">
        <v>100</v>
      </c>
      <c r="R2515">
        <v>2470</v>
      </c>
      <c r="T2515">
        <v>2100</v>
      </c>
      <c r="V2515">
        <v>3330</v>
      </c>
      <c r="W2515" t="s">
        <v>66</v>
      </c>
      <c r="X2515" t="s">
        <v>67</v>
      </c>
      <c r="Y2515" t="s">
        <v>67</v>
      </c>
      <c r="Z2515" t="s">
        <v>68</v>
      </c>
      <c r="AB2515">
        <v>4</v>
      </c>
      <c r="AC2515" t="s">
        <v>61</v>
      </c>
      <c r="AJ2515" t="s">
        <v>69</v>
      </c>
      <c r="AY2515" t="s">
        <v>1393</v>
      </c>
      <c r="AZ2515">
        <v>185689</v>
      </c>
      <c r="BA2515" t="s">
        <v>1890</v>
      </c>
      <c r="BB2515" t="s">
        <v>1432</v>
      </c>
      <c r="BC2515">
        <v>2000</v>
      </c>
      <c r="BD2515" t="s">
        <v>90</v>
      </c>
    </row>
    <row r="2516" spans="1:56" x14ac:dyDescent="0.35">
      <c r="A2516">
        <v>3825261</v>
      </c>
      <c r="B2516" t="s">
        <v>1885</v>
      </c>
      <c r="D2516" t="s">
        <v>85</v>
      </c>
      <c r="E2516" t="s">
        <v>86</v>
      </c>
      <c r="F2516" t="s">
        <v>58</v>
      </c>
      <c r="G2516" t="s">
        <v>59</v>
      </c>
      <c r="H2516" t="s">
        <v>60</v>
      </c>
      <c r="J2516" t="s">
        <v>86</v>
      </c>
      <c r="L2516" t="s">
        <v>62</v>
      </c>
      <c r="M2516" t="s">
        <v>63</v>
      </c>
      <c r="N2516" t="s">
        <v>64</v>
      </c>
      <c r="O2516">
        <v>6</v>
      </c>
      <c r="P2516" t="s">
        <v>65</v>
      </c>
      <c r="R2516">
        <v>776</v>
      </c>
      <c r="T2516">
        <v>743</v>
      </c>
      <c r="V2516">
        <v>812</v>
      </c>
      <c r="W2516" t="s">
        <v>66</v>
      </c>
      <c r="X2516" t="s">
        <v>67</v>
      </c>
      <c r="Y2516" t="s">
        <v>67</v>
      </c>
      <c r="Z2516" t="s">
        <v>68</v>
      </c>
      <c r="AB2516">
        <v>4</v>
      </c>
      <c r="AC2516" t="s">
        <v>61</v>
      </c>
      <c r="AJ2516" t="s">
        <v>69</v>
      </c>
      <c r="AY2516" t="s">
        <v>1393</v>
      </c>
      <c r="AZ2516">
        <v>185687</v>
      </c>
      <c r="BA2516" t="s">
        <v>1891</v>
      </c>
      <c r="BB2516" t="s">
        <v>1432</v>
      </c>
      <c r="BC2516">
        <v>2000</v>
      </c>
      <c r="BD2516" t="s">
        <v>1435</v>
      </c>
    </row>
    <row r="2517" spans="1:56" x14ac:dyDescent="0.35">
      <c r="A2517">
        <v>3825261</v>
      </c>
      <c r="B2517" t="s">
        <v>1885</v>
      </c>
      <c r="D2517" t="s">
        <v>85</v>
      </c>
      <c r="E2517" t="s">
        <v>86</v>
      </c>
      <c r="F2517" t="s">
        <v>58</v>
      </c>
      <c r="G2517" t="s">
        <v>59</v>
      </c>
      <c r="H2517" t="s">
        <v>60</v>
      </c>
      <c r="J2517" t="s">
        <v>86</v>
      </c>
      <c r="L2517" t="s">
        <v>62</v>
      </c>
      <c r="M2517" t="s">
        <v>63</v>
      </c>
      <c r="N2517" t="s">
        <v>64</v>
      </c>
      <c r="O2517">
        <v>6</v>
      </c>
      <c r="P2517" t="s">
        <v>65</v>
      </c>
      <c r="R2517">
        <v>754</v>
      </c>
      <c r="T2517">
        <v>723</v>
      </c>
      <c r="V2517">
        <v>787</v>
      </c>
      <c r="W2517" t="s">
        <v>66</v>
      </c>
      <c r="X2517" t="s">
        <v>67</v>
      </c>
      <c r="Y2517" t="s">
        <v>67</v>
      </c>
      <c r="Z2517" t="s">
        <v>68</v>
      </c>
      <c r="AB2517">
        <v>4</v>
      </c>
      <c r="AC2517" t="s">
        <v>61</v>
      </c>
      <c r="AJ2517" t="s">
        <v>69</v>
      </c>
      <c r="AY2517" t="s">
        <v>1393</v>
      </c>
      <c r="AZ2517">
        <v>185687</v>
      </c>
      <c r="BA2517" t="s">
        <v>1891</v>
      </c>
      <c r="BB2517" t="s">
        <v>1432</v>
      </c>
      <c r="BC2517">
        <v>2000</v>
      </c>
      <c r="BD2517" t="s">
        <v>1435</v>
      </c>
    </row>
    <row r="2518" spans="1:56" x14ac:dyDescent="0.35">
      <c r="A2518">
        <v>3825261</v>
      </c>
      <c r="B2518" t="s">
        <v>1885</v>
      </c>
      <c r="D2518" t="s">
        <v>85</v>
      </c>
      <c r="E2518" t="s">
        <v>86</v>
      </c>
      <c r="F2518" t="s">
        <v>58</v>
      </c>
      <c r="G2518" t="s">
        <v>59</v>
      </c>
      <c r="H2518" t="s">
        <v>60</v>
      </c>
      <c r="J2518" t="s">
        <v>86</v>
      </c>
      <c r="L2518" t="s">
        <v>62</v>
      </c>
      <c r="M2518" t="s">
        <v>63</v>
      </c>
      <c r="N2518" t="s">
        <v>64</v>
      </c>
      <c r="O2518">
        <v>6</v>
      </c>
      <c r="P2518" t="s">
        <v>65</v>
      </c>
      <c r="R2518">
        <v>70</v>
      </c>
      <c r="W2518" t="s">
        <v>66</v>
      </c>
      <c r="X2518" t="s">
        <v>67</v>
      </c>
      <c r="Y2518" t="s">
        <v>67</v>
      </c>
      <c r="Z2518" t="s">
        <v>68</v>
      </c>
      <c r="AB2518">
        <v>4</v>
      </c>
      <c r="AC2518" t="s">
        <v>61</v>
      </c>
      <c r="AJ2518" t="s">
        <v>69</v>
      </c>
      <c r="AY2518" t="s">
        <v>1393</v>
      </c>
      <c r="AZ2518">
        <v>185687</v>
      </c>
      <c r="BA2518" t="s">
        <v>1891</v>
      </c>
      <c r="BB2518" t="s">
        <v>1432</v>
      </c>
      <c r="BC2518">
        <v>2000</v>
      </c>
      <c r="BD2518" t="s">
        <v>1435</v>
      </c>
    </row>
    <row r="2519" spans="1:56" x14ac:dyDescent="0.35">
      <c r="A2519">
        <v>3923522</v>
      </c>
      <c r="B2519" t="s">
        <v>1892</v>
      </c>
      <c r="D2519" t="s">
        <v>57</v>
      </c>
      <c r="E2519" t="s">
        <v>128</v>
      </c>
      <c r="F2519" t="s">
        <v>58</v>
      </c>
      <c r="G2519" t="s">
        <v>59</v>
      </c>
      <c r="H2519" t="s">
        <v>60</v>
      </c>
      <c r="I2519" t="s">
        <v>129</v>
      </c>
      <c r="J2519" t="s">
        <v>86</v>
      </c>
      <c r="K2519" t="s">
        <v>61</v>
      </c>
      <c r="L2519" t="s">
        <v>74</v>
      </c>
      <c r="M2519" t="s">
        <v>63</v>
      </c>
      <c r="N2519" t="s">
        <v>64</v>
      </c>
      <c r="P2519" t="s">
        <v>65</v>
      </c>
      <c r="R2519">
        <v>11.1</v>
      </c>
      <c r="W2519" t="s">
        <v>66</v>
      </c>
      <c r="X2519" t="s">
        <v>67</v>
      </c>
      <c r="Y2519" t="s">
        <v>67</v>
      </c>
      <c r="Z2519" t="s">
        <v>68</v>
      </c>
      <c r="AB2519">
        <v>4</v>
      </c>
      <c r="AC2519" t="s">
        <v>61</v>
      </c>
      <c r="AJ2519" t="s">
        <v>69</v>
      </c>
      <c r="AY2519" t="s">
        <v>541</v>
      </c>
      <c r="AZ2519">
        <v>2721</v>
      </c>
      <c r="BA2519" t="s">
        <v>542</v>
      </c>
      <c r="BB2519" t="s">
        <v>543</v>
      </c>
      <c r="BC2519">
        <v>1989</v>
      </c>
      <c r="BD2519" t="s">
        <v>544</v>
      </c>
    </row>
    <row r="2520" spans="1:56" x14ac:dyDescent="0.35">
      <c r="A2520">
        <v>3944761</v>
      </c>
      <c r="B2520" t="s">
        <v>1893</v>
      </c>
      <c r="D2520" t="s">
        <v>57</v>
      </c>
      <c r="E2520">
        <v>97</v>
      </c>
      <c r="F2520" t="s">
        <v>58</v>
      </c>
      <c r="G2520" t="s">
        <v>59</v>
      </c>
      <c r="H2520" t="s">
        <v>60</v>
      </c>
      <c r="J2520">
        <v>31</v>
      </c>
      <c r="K2520" t="s">
        <v>61</v>
      </c>
      <c r="L2520" t="s">
        <v>74</v>
      </c>
      <c r="M2520" t="s">
        <v>63</v>
      </c>
      <c r="N2520" t="s">
        <v>64</v>
      </c>
      <c r="P2520" t="s">
        <v>65</v>
      </c>
      <c r="R2520">
        <v>16</v>
      </c>
      <c r="W2520" t="s">
        <v>66</v>
      </c>
      <c r="X2520" t="s">
        <v>67</v>
      </c>
      <c r="Y2520" t="s">
        <v>67</v>
      </c>
      <c r="Z2520" t="s">
        <v>68</v>
      </c>
      <c r="AB2520">
        <v>4</v>
      </c>
      <c r="AC2520" t="s">
        <v>61</v>
      </c>
      <c r="AJ2520" t="s">
        <v>69</v>
      </c>
      <c r="AY2520" t="s">
        <v>141</v>
      </c>
      <c r="AZ2520">
        <v>12447</v>
      </c>
      <c r="BA2520" t="s">
        <v>142</v>
      </c>
      <c r="BB2520" t="s">
        <v>143</v>
      </c>
      <c r="BC2520">
        <v>1985</v>
      </c>
      <c r="BD2520" t="s">
        <v>73</v>
      </c>
    </row>
    <row r="2521" spans="1:56" x14ac:dyDescent="0.35">
      <c r="A2521">
        <v>4080313</v>
      </c>
      <c r="B2521" t="s">
        <v>1894</v>
      </c>
      <c r="E2521">
        <v>94</v>
      </c>
      <c r="F2521" t="s">
        <v>58</v>
      </c>
      <c r="G2521" t="s">
        <v>59</v>
      </c>
      <c r="H2521" t="s">
        <v>60</v>
      </c>
      <c r="J2521" t="s">
        <v>86</v>
      </c>
      <c r="L2521" t="s">
        <v>62</v>
      </c>
      <c r="M2521" t="s">
        <v>63</v>
      </c>
      <c r="N2521" t="s">
        <v>64</v>
      </c>
      <c r="P2521" t="s">
        <v>65</v>
      </c>
      <c r="R2521">
        <v>34</v>
      </c>
      <c r="T2521">
        <v>32</v>
      </c>
      <c r="V2521">
        <v>36</v>
      </c>
      <c r="W2521" t="s">
        <v>66</v>
      </c>
      <c r="X2521" t="s">
        <v>67</v>
      </c>
      <c r="Y2521" t="s">
        <v>67</v>
      </c>
      <c r="Z2521" t="s">
        <v>68</v>
      </c>
      <c r="AB2521">
        <v>4</v>
      </c>
      <c r="AC2521" t="s">
        <v>61</v>
      </c>
      <c r="AJ2521" t="s">
        <v>69</v>
      </c>
      <c r="AY2521" t="s">
        <v>116</v>
      </c>
      <c r="AZ2521">
        <v>344</v>
      </c>
      <c r="BA2521" t="s">
        <v>117</v>
      </c>
      <c r="BB2521" t="s">
        <v>118</v>
      </c>
      <c r="BC2521">
        <v>1992</v>
      </c>
      <c r="BD2521" t="s">
        <v>90</v>
      </c>
    </row>
    <row r="2522" spans="1:56" x14ac:dyDescent="0.35">
      <c r="A2522">
        <v>4080313</v>
      </c>
      <c r="B2522" t="s">
        <v>1894</v>
      </c>
      <c r="E2522">
        <v>67.5</v>
      </c>
      <c r="F2522" t="s">
        <v>58</v>
      </c>
      <c r="G2522" t="s">
        <v>59</v>
      </c>
      <c r="H2522" t="s">
        <v>60</v>
      </c>
      <c r="J2522" t="s">
        <v>86</v>
      </c>
      <c r="L2522" t="s">
        <v>62</v>
      </c>
      <c r="M2522" t="s">
        <v>63</v>
      </c>
      <c r="N2522" t="s">
        <v>64</v>
      </c>
      <c r="P2522" t="s">
        <v>100</v>
      </c>
      <c r="R2522">
        <v>29</v>
      </c>
      <c r="T2522">
        <v>26</v>
      </c>
      <c r="V2522">
        <v>32</v>
      </c>
      <c r="W2522" t="s">
        <v>66</v>
      </c>
      <c r="X2522" t="s">
        <v>67</v>
      </c>
      <c r="Y2522" t="s">
        <v>67</v>
      </c>
      <c r="Z2522" t="s">
        <v>68</v>
      </c>
      <c r="AB2522">
        <v>4</v>
      </c>
      <c r="AC2522" t="s">
        <v>61</v>
      </c>
      <c r="AJ2522" t="s">
        <v>69</v>
      </c>
      <c r="AY2522" t="s">
        <v>116</v>
      </c>
      <c r="AZ2522">
        <v>344</v>
      </c>
      <c r="BA2522" t="s">
        <v>117</v>
      </c>
      <c r="BB2522" t="s">
        <v>118</v>
      </c>
      <c r="BC2522">
        <v>1992</v>
      </c>
      <c r="BD2522" t="s">
        <v>90</v>
      </c>
    </row>
    <row r="2523" spans="1:56" x14ac:dyDescent="0.35">
      <c r="A2523">
        <v>4117140</v>
      </c>
      <c r="B2523" t="s">
        <v>1895</v>
      </c>
      <c r="D2523" t="s">
        <v>57</v>
      </c>
      <c r="E2523" t="s">
        <v>128</v>
      </c>
      <c r="F2523" t="s">
        <v>58</v>
      </c>
      <c r="G2523" t="s">
        <v>59</v>
      </c>
      <c r="H2523" t="s">
        <v>60</v>
      </c>
      <c r="I2523" t="s">
        <v>129</v>
      </c>
      <c r="J2523" t="s">
        <v>86</v>
      </c>
      <c r="K2523" t="s">
        <v>61</v>
      </c>
      <c r="L2523" t="s">
        <v>74</v>
      </c>
      <c r="M2523" t="s">
        <v>63</v>
      </c>
      <c r="N2523" t="s">
        <v>64</v>
      </c>
      <c r="P2523" t="s">
        <v>65</v>
      </c>
      <c r="R2523">
        <v>1.07</v>
      </c>
      <c r="T2523">
        <v>0.97</v>
      </c>
      <c r="V2523">
        <v>1.19</v>
      </c>
      <c r="W2523" t="s">
        <v>66</v>
      </c>
      <c r="X2523" t="s">
        <v>67</v>
      </c>
      <c r="Y2523" t="s">
        <v>67</v>
      </c>
      <c r="Z2523" t="s">
        <v>68</v>
      </c>
      <c r="AB2523">
        <v>4</v>
      </c>
      <c r="AC2523" t="s">
        <v>61</v>
      </c>
      <c r="AJ2523" t="s">
        <v>69</v>
      </c>
      <c r="AY2523" t="s">
        <v>541</v>
      </c>
      <c r="AZ2523">
        <v>2721</v>
      </c>
      <c r="BA2523" t="s">
        <v>542</v>
      </c>
      <c r="BB2523" t="s">
        <v>543</v>
      </c>
      <c r="BC2523">
        <v>1989</v>
      </c>
      <c r="BD2523" t="s">
        <v>544</v>
      </c>
    </row>
    <row r="2524" spans="1:56" x14ac:dyDescent="0.35">
      <c r="A2524">
        <v>4117140</v>
      </c>
      <c r="B2524" t="s">
        <v>1895</v>
      </c>
      <c r="D2524" t="s">
        <v>57</v>
      </c>
      <c r="E2524">
        <v>99</v>
      </c>
      <c r="F2524" t="s">
        <v>58</v>
      </c>
      <c r="G2524" t="s">
        <v>59</v>
      </c>
      <c r="H2524" t="s">
        <v>60</v>
      </c>
      <c r="J2524">
        <v>29</v>
      </c>
      <c r="K2524" t="s">
        <v>61</v>
      </c>
      <c r="L2524" t="s">
        <v>74</v>
      </c>
      <c r="M2524" t="s">
        <v>63</v>
      </c>
      <c r="N2524" t="s">
        <v>64</v>
      </c>
      <c r="P2524" t="s">
        <v>65</v>
      </c>
      <c r="R2524">
        <v>1.07</v>
      </c>
      <c r="T2524">
        <v>0.97</v>
      </c>
      <c r="V2524">
        <v>1.19</v>
      </c>
      <c r="W2524" t="s">
        <v>66</v>
      </c>
      <c r="X2524" t="s">
        <v>67</v>
      </c>
      <c r="Y2524" t="s">
        <v>67</v>
      </c>
      <c r="Z2524" t="s">
        <v>68</v>
      </c>
      <c r="AB2524">
        <v>4</v>
      </c>
      <c r="AC2524" t="s">
        <v>61</v>
      </c>
      <c r="AJ2524" t="s">
        <v>69</v>
      </c>
      <c r="AY2524" t="s">
        <v>80</v>
      </c>
      <c r="AZ2524">
        <v>12859</v>
      </c>
      <c r="BA2524" t="s">
        <v>81</v>
      </c>
      <c r="BB2524" t="s">
        <v>82</v>
      </c>
      <c r="BC2524">
        <v>1988</v>
      </c>
      <c r="BD2524" t="s">
        <v>73</v>
      </c>
    </row>
    <row r="2525" spans="1:56" x14ac:dyDescent="0.35">
      <c r="A2525">
        <v>4151502</v>
      </c>
      <c r="B2525" t="s">
        <v>1896</v>
      </c>
      <c r="D2525" t="s">
        <v>85</v>
      </c>
      <c r="E2525" t="s">
        <v>86</v>
      </c>
      <c r="F2525" t="s">
        <v>58</v>
      </c>
      <c r="G2525" t="s">
        <v>59</v>
      </c>
      <c r="H2525" t="s">
        <v>60</v>
      </c>
      <c r="J2525" t="s">
        <v>86</v>
      </c>
      <c r="L2525" t="s">
        <v>62</v>
      </c>
      <c r="M2525" t="s">
        <v>63</v>
      </c>
      <c r="N2525" t="s">
        <v>64</v>
      </c>
      <c r="O2525">
        <v>6</v>
      </c>
      <c r="P2525" t="s">
        <v>100</v>
      </c>
      <c r="R2525">
        <v>34</v>
      </c>
      <c r="T2525">
        <v>27</v>
      </c>
      <c r="V2525">
        <v>44</v>
      </c>
      <c r="W2525" t="s">
        <v>66</v>
      </c>
      <c r="X2525" t="s">
        <v>67</v>
      </c>
      <c r="Y2525" t="s">
        <v>67</v>
      </c>
      <c r="Z2525" t="s">
        <v>68</v>
      </c>
      <c r="AB2525">
        <v>4</v>
      </c>
      <c r="AC2525" t="s">
        <v>61</v>
      </c>
      <c r="AJ2525" t="s">
        <v>69</v>
      </c>
      <c r="AY2525" t="s">
        <v>1393</v>
      </c>
      <c r="AZ2525">
        <v>179781</v>
      </c>
      <c r="BA2525" t="s">
        <v>1394</v>
      </c>
      <c r="BB2525" t="s">
        <v>1395</v>
      </c>
      <c r="BC2525">
        <v>2000</v>
      </c>
      <c r="BD2525" t="s">
        <v>90</v>
      </c>
    </row>
    <row r="2526" spans="1:56" x14ac:dyDescent="0.35">
      <c r="A2526">
        <v>4151502</v>
      </c>
      <c r="B2526" t="s">
        <v>1896</v>
      </c>
      <c r="E2526">
        <v>100</v>
      </c>
      <c r="F2526" t="s">
        <v>58</v>
      </c>
      <c r="G2526" t="s">
        <v>59</v>
      </c>
      <c r="H2526" t="s">
        <v>60</v>
      </c>
      <c r="J2526" t="s">
        <v>86</v>
      </c>
      <c r="L2526" t="s">
        <v>190</v>
      </c>
      <c r="M2526" t="s">
        <v>63</v>
      </c>
      <c r="N2526" t="s">
        <v>64</v>
      </c>
      <c r="P2526" t="s">
        <v>65</v>
      </c>
      <c r="R2526">
        <v>0.189</v>
      </c>
      <c r="T2526">
        <v>0.159</v>
      </c>
      <c r="V2526">
        <v>0.224</v>
      </c>
      <c r="W2526" t="s">
        <v>66</v>
      </c>
      <c r="X2526" t="s">
        <v>67</v>
      </c>
      <c r="Y2526" t="s">
        <v>67</v>
      </c>
      <c r="Z2526" t="s">
        <v>68</v>
      </c>
      <c r="AB2526">
        <v>4</v>
      </c>
      <c r="AC2526" t="s">
        <v>61</v>
      </c>
      <c r="AJ2526" t="s">
        <v>69</v>
      </c>
      <c r="AY2526" t="s">
        <v>116</v>
      </c>
      <c r="AZ2526">
        <v>344</v>
      </c>
      <c r="BA2526" t="s">
        <v>117</v>
      </c>
      <c r="BB2526" t="s">
        <v>118</v>
      </c>
      <c r="BC2526">
        <v>1992</v>
      </c>
      <c r="BD2526" t="s">
        <v>90</v>
      </c>
    </row>
    <row r="2527" spans="1:56" x14ac:dyDescent="0.35">
      <c r="A2527">
        <v>4151502</v>
      </c>
      <c r="B2527" t="s">
        <v>1896</v>
      </c>
      <c r="E2527">
        <v>100</v>
      </c>
      <c r="F2527" t="s">
        <v>58</v>
      </c>
      <c r="G2527" t="s">
        <v>59</v>
      </c>
      <c r="H2527" t="s">
        <v>60</v>
      </c>
      <c r="J2527" t="s">
        <v>86</v>
      </c>
      <c r="L2527" t="s">
        <v>190</v>
      </c>
      <c r="M2527" t="s">
        <v>63</v>
      </c>
      <c r="N2527" t="s">
        <v>64</v>
      </c>
      <c r="P2527" t="s">
        <v>65</v>
      </c>
      <c r="Q2527" t="s">
        <v>153</v>
      </c>
      <c r="R2527">
        <v>9.92</v>
      </c>
      <c r="W2527" t="s">
        <v>66</v>
      </c>
      <c r="X2527" t="s">
        <v>67</v>
      </c>
      <c r="Y2527" t="s">
        <v>67</v>
      </c>
      <c r="Z2527" t="s">
        <v>68</v>
      </c>
      <c r="AB2527">
        <v>4</v>
      </c>
      <c r="AC2527" t="s">
        <v>61</v>
      </c>
      <c r="AJ2527" t="s">
        <v>69</v>
      </c>
      <c r="AY2527" t="s">
        <v>116</v>
      </c>
      <c r="AZ2527">
        <v>344</v>
      </c>
      <c r="BA2527" t="s">
        <v>117</v>
      </c>
      <c r="BB2527" t="s">
        <v>118</v>
      </c>
      <c r="BC2527">
        <v>1992</v>
      </c>
      <c r="BD2527" t="s">
        <v>90</v>
      </c>
    </row>
    <row r="2528" spans="1:56" x14ac:dyDescent="0.35">
      <c r="A2528">
        <v>4170303</v>
      </c>
      <c r="B2528" t="s">
        <v>1897</v>
      </c>
      <c r="D2528" t="s">
        <v>57</v>
      </c>
      <c r="E2528">
        <v>98.1</v>
      </c>
      <c r="F2528" t="s">
        <v>58</v>
      </c>
      <c r="G2528" t="s">
        <v>59</v>
      </c>
      <c r="H2528" t="s">
        <v>60</v>
      </c>
      <c r="I2528" t="s">
        <v>129</v>
      </c>
      <c r="J2528" t="s">
        <v>86</v>
      </c>
      <c r="L2528" t="s">
        <v>74</v>
      </c>
      <c r="M2528" t="s">
        <v>63</v>
      </c>
      <c r="N2528" t="s">
        <v>64</v>
      </c>
      <c r="O2528">
        <v>6</v>
      </c>
      <c r="P2528" t="s">
        <v>65</v>
      </c>
      <c r="R2528">
        <v>0.84</v>
      </c>
      <c r="T2528">
        <v>0.51</v>
      </c>
      <c r="V2528">
        <v>1.1000000000000001</v>
      </c>
      <c r="W2528" t="s">
        <v>66</v>
      </c>
      <c r="X2528" t="s">
        <v>67</v>
      </c>
      <c r="Y2528" t="s">
        <v>67</v>
      </c>
      <c r="Z2528" t="s">
        <v>68</v>
      </c>
      <c r="AB2528">
        <v>4</v>
      </c>
      <c r="AC2528" t="s">
        <v>61</v>
      </c>
      <c r="AJ2528" t="s">
        <v>69</v>
      </c>
      <c r="AY2528" t="s">
        <v>1898</v>
      </c>
      <c r="AZ2528">
        <v>151657</v>
      </c>
      <c r="BA2528" t="s">
        <v>1899</v>
      </c>
      <c r="BB2528" t="s">
        <v>1900</v>
      </c>
      <c r="BC2528">
        <v>1990</v>
      </c>
      <c r="BD2528" t="s">
        <v>90</v>
      </c>
    </row>
    <row r="2529" spans="1:56" x14ac:dyDescent="0.35">
      <c r="A2529">
        <v>4180238</v>
      </c>
      <c r="B2529" t="s">
        <v>1901</v>
      </c>
      <c r="D2529" t="s">
        <v>57</v>
      </c>
      <c r="E2529">
        <v>99</v>
      </c>
      <c r="F2529" t="s">
        <v>58</v>
      </c>
      <c r="G2529" t="s">
        <v>59</v>
      </c>
      <c r="H2529" t="s">
        <v>60</v>
      </c>
      <c r="I2529" t="s">
        <v>129</v>
      </c>
      <c r="J2529">
        <v>30</v>
      </c>
      <c r="K2529" t="s">
        <v>61</v>
      </c>
      <c r="L2529" t="s">
        <v>74</v>
      </c>
      <c r="M2529" t="s">
        <v>63</v>
      </c>
      <c r="N2529" t="s">
        <v>64</v>
      </c>
      <c r="O2529">
        <v>6</v>
      </c>
      <c r="P2529" t="s">
        <v>65</v>
      </c>
      <c r="R2529">
        <v>7.69</v>
      </c>
      <c r="W2529" t="s">
        <v>66</v>
      </c>
      <c r="X2529" t="s">
        <v>67</v>
      </c>
      <c r="Y2529" t="s">
        <v>67</v>
      </c>
      <c r="Z2529" t="s">
        <v>68</v>
      </c>
      <c r="AB2529">
        <v>4</v>
      </c>
      <c r="AC2529" t="s">
        <v>61</v>
      </c>
      <c r="AJ2529" t="s">
        <v>69</v>
      </c>
      <c r="AY2529" t="s">
        <v>884</v>
      </c>
      <c r="AZ2529">
        <v>97161</v>
      </c>
      <c r="BA2529" t="s">
        <v>885</v>
      </c>
      <c r="BB2529" t="s">
        <v>886</v>
      </c>
      <c r="BC2529">
        <v>1990</v>
      </c>
      <c r="BD2529" t="s">
        <v>73</v>
      </c>
    </row>
    <row r="2530" spans="1:56" x14ac:dyDescent="0.35">
      <c r="A2530">
        <v>4208804</v>
      </c>
      <c r="B2530" t="s">
        <v>1902</v>
      </c>
      <c r="D2530" t="s">
        <v>85</v>
      </c>
      <c r="E2530" t="s">
        <v>86</v>
      </c>
      <c r="F2530" t="s">
        <v>58</v>
      </c>
      <c r="G2530" t="s">
        <v>59</v>
      </c>
      <c r="H2530" t="s">
        <v>60</v>
      </c>
      <c r="J2530" t="s">
        <v>86</v>
      </c>
      <c r="L2530" t="s">
        <v>62</v>
      </c>
      <c r="M2530" t="s">
        <v>63</v>
      </c>
      <c r="N2530" t="s">
        <v>64</v>
      </c>
      <c r="P2530" t="s">
        <v>100</v>
      </c>
      <c r="R2530">
        <v>3.2</v>
      </c>
      <c r="W2530" t="s">
        <v>66</v>
      </c>
      <c r="X2530" t="s">
        <v>67</v>
      </c>
      <c r="Y2530" t="s">
        <v>67</v>
      </c>
      <c r="Z2530" t="s">
        <v>68</v>
      </c>
      <c r="AB2530">
        <v>4</v>
      </c>
      <c r="AC2530" t="s">
        <v>61</v>
      </c>
      <c r="AJ2530" t="s">
        <v>69</v>
      </c>
      <c r="AY2530" t="s">
        <v>1243</v>
      </c>
      <c r="AZ2530">
        <v>5789</v>
      </c>
      <c r="BA2530" t="s">
        <v>1244</v>
      </c>
      <c r="BB2530" t="s">
        <v>1245</v>
      </c>
      <c r="BC2530">
        <v>1974</v>
      </c>
      <c r="BD2530" t="s">
        <v>90</v>
      </c>
    </row>
    <row r="2531" spans="1:56" x14ac:dyDescent="0.35">
      <c r="A2531">
        <v>4208804</v>
      </c>
      <c r="B2531" t="s">
        <v>1902</v>
      </c>
      <c r="D2531" t="s">
        <v>85</v>
      </c>
      <c r="E2531">
        <v>15</v>
      </c>
      <c r="F2531" t="s">
        <v>58</v>
      </c>
      <c r="G2531" t="s">
        <v>59</v>
      </c>
      <c r="H2531" t="s">
        <v>60</v>
      </c>
      <c r="J2531" t="s">
        <v>86</v>
      </c>
      <c r="L2531" t="s">
        <v>62</v>
      </c>
      <c r="M2531" t="s">
        <v>63</v>
      </c>
      <c r="N2531" t="s">
        <v>64</v>
      </c>
      <c r="P2531" t="s">
        <v>100</v>
      </c>
      <c r="R2531">
        <v>3.2</v>
      </c>
      <c r="W2531" t="s">
        <v>66</v>
      </c>
      <c r="X2531" t="s">
        <v>67</v>
      </c>
      <c r="Y2531" t="s">
        <v>67</v>
      </c>
      <c r="Z2531" t="s">
        <v>68</v>
      </c>
      <c r="AB2531">
        <v>4</v>
      </c>
      <c r="AC2531" t="s">
        <v>61</v>
      </c>
      <c r="AJ2531" t="s">
        <v>69</v>
      </c>
      <c r="AY2531" t="s">
        <v>1246</v>
      </c>
      <c r="AZ2531">
        <v>6969</v>
      </c>
      <c r="BA2531" t="s">
        <v>1247</v>
      </c>
      <c r="BB2531" t="s">
        <v>1248</v>
      </c>
      <c r="BC2531">
        <v>1973</v>
      </c>
      <c r="BD2531" t="s">
        <v>90</v>
      </c>
    </row>
    <row r="2532" spans="1:56" x14ac:dyDescent="0.35">
      <c r="A2532">
        <v>4214793</v>
      </c>
      <c r="B2532" t="s">
        <v>1903</v>
      </c>
      <c r="D2532" t="s">
        <v>57</v>
      </c>
      <c r="E2532">
        <v>99</v>
      </c>
      <c r="F2532" t="s">
        <v>58</v>
      </c>
      <c r="G2532" t="s">
        <v>59</v>
      </c>
      <c r="H2532" t="s">
        <v>60</v>
      </c>
      <c r="J2532" t="s">
        <v>86</v>
      </c>
      <c r="K2532" t="s">
        <v>61</v>
      </c>
      <c r="L2532" t="s">
        <v>74</v>
      </c>
      <c r="M2532" t="s">
        <v>63</v>
      </c>
      <c r="N2532" t="s">
        <v>64</v>
      </c>
      <c r="P2532" t="s">
        <v>65</v>
      </c>
      <c r="R2532">
        <v>1140</v>
      </c>
      <c r="W2532" t="s">
        <v>66</v>
      </c>
      <c r="X2532" t="s">
        <v>67</v>
      </c>
      <c r="Y2532" t="s">
        <v>67</v>
      </c>
      <c r="Z2532" t="s">
        <v>68</v>
      </c>
      <c r="AB2532">
        <v>4</v>
      </c>
      <c r="AC2532" t="s">
        <v>61</v>
      </c>
      <c r="AJ2532" t="s">
        <v>69</v>
      </c>
      <c r="AY2532" t="s">
        <v>263</v>
      </c>
      <c r="AZ2532">
        <v>12858</v>
      </c>
      <c r="BA2532" t="s">
        <v>264</v>
      </c>
      <c r="BB2532" t="s">
        <v>265</v>
      </c>
      <c r="BC2532">
        <v>1986</v>
      </c>
      <c r="BD2532" t="s">
        <v>370</v>
      </c>
    </row>
    <row r="2533" spans="1:56" x14ac:dyDescent="0.35">
      <c r="A2533">
        <v>4253898</v>
      </c>
      <c r="B2533" t="s">
        <v>1904</v>
      </c>
      <c r="D2533" t="s">
        <v>57</v>
      </c>
      <c r="E2533">
        <v>96</v>
      </c>
      <c r="F2533" t="s">
        <v>58</v>
      </c>
      <c r="G2533" t="s">
        <v>59</v>
      </c>
      <c r="H2533" t="s">
        <v>60</v>
      </c>
      <c r="J2533">
        <v>32</v>
      </c>
      <c r="K2533" t="s">
        <v>61</v>
      </c>
      <c r="L2533" t="s">
        <v>74</v>
      </c>
      <c r="M2533" t="s">
        <v>63</v>
      </c>
      <c r="N2533" t="s">
        <v>64</v>
      </c>
      <c r="P2533" t="s">
        <v>65</v>
      </c>
      <c r="R2533">
        <v>8.31</v>
      </c>
      <c r="W2533" t="s">
        <v>66</v>
      </c>
      <c r="X2533" t="s">
        <v>67</v>
      </c>
      <c r="Y2533" t="s">
        <v>67</v>
      </c>
      <c r="Z2533" t="s">
        <v>68</v>
      </c>
      <c r="AB2533">
        <v>4</v>
      </c>
      <c r="AC2533" t="s">
        <v>61</v>
      </c>
      <c r="AJ2533" t="s">
        <v>69</v>
      </c>
      <c r="AY2533" t="s">
        <v>141</v>
      </c>
      <c r="AZ2533">
        <v>12447</v>
      </c>
      <c r="BA2533" t="s">
        <v>142</v>
      </c>
      <c r="BB2533" t="s">
        <v>143</v>
      </c>
      <c r="BC2533">
        <v>1985</v>
      </c>
      <c r="BD2533" t="s">
        <v>73</v>
      </c>
    </row>
    <row r="2534" spans="1:56" x14ac:dyDescent="0.35">
      <c r="A2534">
        <v>4403901</v>
      </c>
      <c r="B2534" t="s">
        <v>1905</v>
      </c>
      <c r="D2534" t="s">
        <v>85</v>
      </c>
      <c r="E2534" t="s">
        <v>86</v>
      </c>
      <c r="F2534" t="s">
        <v>58</v>
      </c>
      <c r="G2534" t="s">
        <v>59</v>
      </c>
      <c r="H2534" t="s">
        <v>60</v>
      </c>
      <c r="J2534" t="s">
        <v>86</v>
      </c>
      <c r="L2534" t="s">
        <v>62</v>
      </c>
      <c r="M2534" t="s">
        <v>63</v>
      </c>
      <c r="N2534" t="s">
        <v>64</v>
      </c>
      <c r="P2534" t="s">
        <v>100</v>
      </c>
      <c r="R2534">
        <v>6.2</v>
      </c>
      <c r="W2534" t="s">
        <v>66</v>
      </c>
      <c r="X2534" t="s">
        <v>67</v>
      </c>
      <c r="Y2534" t="s">
        <v>67</v>
      </c>
      <c r="Z2534" t="s">
        <v>68</v>
      </c>
      <c r="AB2534">
        <v>4</v>
      </c>
      <c r="AC2534" t="s">
        <v>61</v>
      </c>
      <c r="AJ2534" t="s">
        <v>69</v>
      </c>
      <c r="AY2534" t="s">
        <v>1243</v>
      </c>
      <c r="AZ2534">
        <v>5789</v>
      </c>
      <c r="BA2534" t="s">
        <v>1244</v>
      </c>
      <c r="BB2534" t="s">
        <v>1245</v>
      </c>
      <c r="BC2534">
        <v>1974</v>
      </c>
      <c r="BD2534" t="s">
        <v>90</v>
      </c>
    </row>
    <row r="2535" spans="1:56" x14ac:dyDescent="0.35">
      <c r="A2535">
        <v>4403901</v>
      </c>
      <c r="B2535" t="s">
        <v>1905</v>
      </c>
      <c r="D2535" t="s">
        <v>85</v>
      </c>
      <c r="E2535">
        <v>15</v>
      </c>
      <c r="F2535" t="s">
        <v>58</v>
      </c>
      <c r="G2535" t="s">
        <v>59</v>
      </c>
      <c r="H2535" t="s">
        <v>60</v>
      </c>
      <c r="J2535" t="s">
        <v>86</v>
      </c>
      <c r="L2535" t="s">
        <v>62</v>
      </c>
      <c r="M2535" t="s">
        <v>63</v>
      </c>
      <c r="N2535" t="s">
        <v>64</v>
      </c>
      <c r="P2535" t="s">
        <v>100</v>
      </c>
      <c r="R2535">
        <v>6.2</v>
      </c>
      <c r="W2535" t="s">
        <v>66</v>
      </c>
      <c r="X2535" t="s">
        <v>67</v>
      </c>
      <c r="Y2535" t="s">
        <v>67</v>
      </c>
      <c r="Z2535" t="s">
        <v>68</v>
      </c>
      <c r="AB2535">
        <v>4</v>
      </c>
      <c r="AC2535" t="s">
        <v>61</v>
      </c>
      <c r="AJ2535" t="s">
        <v>69</v>
      </c>
      <c r="AY2535" t="s">
        <v>1246</v>
      </c>
      <c r="AZ2535">
        <v>6969</v>
      </c>
      <c r="BA2535" t="s">
        <v>1247</v>
      </c>
      <c r="BB2535" t="s">
        <v>1248</v>
      </c>
      <c r="BC2535">
        <v>1973</v>
      </c>
      <c r="BD2535" t="s">
        <v>90</v>
      </c>
    </row>
    <row r="2536" spans="1:56" x14ac:dyDescent="0.35">
      <c r="A2536">
        <v>4404437</v>
      </c>
      <c r="B2536" t="s">
        <v>1906</v>
      </c>
      <c r="D2536" t="s">
        <v>85</v>
      </c>
      <c r="E2536" t="s">
        <v>86</v>
      </c>
      <c r="F2536" t="s">
        <v>58</v>
      </c>
      <c r="G2536" t="s">
        <v>59</v>
      </c>
      <c r="H2536" t="s">
        <v>60</v>
      </c>
      <c r="J2536" t="s">
        <v>86</v>
      </c>
      <c r="L2536" t="s">
        <v>62</v>
      </c>
      <c r="M2536" t="s">
        <v>63</v>
      </c>
      <c r="N2536" t="s">
        <v>64</v>
      </c>
      <c r="P2536" t="s">
        <v>100</v>
      </c>
      <c r="Q2536" t="s">
        <v>153</v>
      </c>
      <c r="R2536">
        <v>180</v>
      </c>
      <c r="W2536" t="s">
        <v>66</v>
      </c>
      <c r="X2536" t="s">
        <v>67</v>
      </c>
      <c r="Y2536" t="s">
        <v>67</v>
      </c>
      <c r="Z2536" t="s">
        <v>68</v>
      </c>
      <c r="AB2536">
        <v>4</v>
      </c>
      <c r="AC2536" t="s">
        <v>61</v>
      </c>
      <c r="AJ2536" t="s">
        <v>69</v>
      </c>
      <c r="AY2536" t="s">
        <v>1243</v>
      </c>
      <c r="AZ2536">
        <v>5789</v>
      </c>
      <c r="BA2536" t="s">
        <v>1244</v>
      </c>
      <c r="BB2536" t="s">
        <v>1245</v>
      </c>
      <c r="BC2536">
        <v>1974</v>
      </c>
      <c r="BD2536" t="s">
        <v>90</v>
      </c>
    </row>
    <row r="2537" spans="1:56" x14ac:dyDescent="0.35">
      <c r="A2537">
        <v>4404437</v>
      </c>
      <c r="B2537" t="s">
        <v>1906</v>
      </c>
      <c r="D2537" t="s">
        <v>85</v>
      </c>
      <c r="E2537">
        <v>15</v>
      </c>
      <c r="F2537" t="s">
        <v>58</v>
      </c>
      <c r="G2537" t="s">
        <v>59</v>
      </c>
      <c r="H2537" t="s">
        <v>60</v>
      </c>
      <c r="J2537" t="s">
        <v>86</v>
      </c>
      <c r="L2537" t="s">
        <v>62</v>
      </c>
      <c r="M2537" t="s">
        <v>63</v>
      </c>
      <c r="N2537" t="s">
        <v>64</v>
      </c>
      <c r="P2537" t="s">
        <v>100</v>
      </c>
      <c r="Q2537" t="s">
        <v>153</v>
      </c>
      <c r="R2537">
        <v>180</v>
      </c>
      <c r="W2537" t="s">
        <v>66</v>
      </c>
      <c r="X2537" t="s">
        <v>67</v>
      </c>
      <c r="Y2537" t="s">
        <v>67</v>
      </c>
      <c r="Z2537" t="s">
        <v>68</v>
      </c>
      <c r="AB2537">
        <v>4</v>
      </c>
      <c r="AC2537" t="s">
        <v>61</v>
      </c>
      <c r="AJ2537" t="s">
        <v>69</v>
      </c>
      <c r="AY2537" t="s">
        <v>1246</v>
      </c>
      <c r="AZ2537">
        <v>6969</v>
      </c>
      <c r="BA2537" t="s">
        <v>1247</v>
      </c>
      <c r="BB2537" t="s">
        <v>1248</v>
      </c>
      <c r="BC2537">
        <v>1973</v>
      </c>
      <c r="BD2537" t="s">
        <v>90</v>
      </c>
    </row>
    <row r="2538" spans="1:56" x14ac:dyDescent="0.35">
      <c r="A2538">
        <v>4412913</v>
      </c>
      <c r="B2538" t="s">
        <v>1907</v>
      </c>
      <c r="D2538" t="s">
        <v>57</v>
      </c>
      <c r="E2538">
        <v>99</v>
      </c>
      <c r="F2538" t="s">
        <v>58</v>
      </c>
      <c r="G2538" t="s">
        <v>59</v>
      </c>
      <c r="H2538" t="s">
        <v>60</v>
      </c>
      <c r="J2538">
        <v>30</v>
      </c>
      <c r="K2538" t="s">
        <v>61</v>
      </c>
      <c r="L2538" t="s">
        <v>190</v>
      </c>
      <c r="M2538" t="s">
        <v>63</v>
      </c>
      <c r="N2538" t="s">
        <v>64</v>
      </c>
      <c r="P2538" t="s">
        <v>65</v>
      </c>
      <c r="R2538">
        <v>508</v>
      </c>
      <c r="T2538">
        <v>439</v>
      </c>
      <c r="V2538">
        <v>588</v>
      </c>
      <c r="W2538" t="s">
        <v>66</v>
      </c>
      <c r="X2538" t="s">
        <v>67</v>
      </c>
      <c r="Y2538" t="s">
        <v>67</v>
      </c>
      <c r="Z2538" t="s">
        <v>68</v>
      </c>
      <c r="AB2538">
        <v>4</v>
      </c>
      <c r="AC2538" t="s">
        <v>61</v>
      </c>
      <c r="AJ2538" t="s">
        <v>69</v>
      </c>
      <c r="AY2538" t="s">
        <v>286</v>
      </c>
      <c r="AZ2538">
        <v>12448</v>
      </c>
      <c r="BA2538" t="s">
        <v>287</v>
      </c>
      <c r="BB2538" t="s">
        <v>288</v>
      </c>
      <c r="BC2538">
        <v>1984</v>
      </c>
      <c r="BD2538" t="s">
        <v>73</v>
      </c>
    </row>
    <row r="2539" spans="1:56" x14ac:dyDescent="0.35">
      <c r="A2539">
        <v>4460860</v>
      </c>
      <c r="B2539" t="s">
        <v>1908</v>
      </c>
      <c r="D2539" t="s">
        <v>57</v>
      </c>
      <c r="E2539">
        <v>98</v>
      </c>
      <c r="F2539" t="s">
        <v>58</v>
      </c>
      <c r="G2539" t="s">
        <v>59</v>
      </c>
      <c r="H2539" t="s">
        <v>60</v>
      </c>
      <c r="J2539">
        <v>34</v>
      </c>
      <c r="K2539" t="s">
        <v>61</v>
      </c>
      <c r="L2539" t="s">
        <v>74</v>
      </c>
      <c r="M2539" t="s">
        <v>63</v>
      </c>
      <c r="N2539" t="s">
        <v>64</v>
      </c>
      <c r="P2539" t="s">
        <v>65</v>
      </c>
      <c r="R2539">
        <v>49.5</v>
      </c>
      <c r="T2539">
        <v>45.5</v>
      </c>
      <c r="V2539">
        <v>53.8</v>
      </c>
      <c r="W2539" t="s">
        <v>66</v>
      </c>
      <c r="X2539" t="s">
        <v>67</v>
      </c>
      <c r="Y2539" t="s">
        <v>67</v>
      </c>
      <c r="Z2539" t="s">
        <v>68</v>
      </c>
      <c r="AB2539">
        <v>4</v>
      </c>
      <c r="AC2539" t="s">
        <v>61</v>
      </c>
      <c r="AJ2539" t="s">
        <v>69</v>
      </c>
      <c r="AY2539" t="s">
        <v>141</v>
      </c>
      <c r="AZ2539">
        <v>12447</v>
      </c>
      <c r="BA2539" t="s">
        <v>142</v>
      </c>
      <c r="BB2539" t="s">
        <v>143</v>
      </c>
      <c r="BC2539">
        <v>1985</v>
      </c>
      <c r="BD2539" t="s">
        <v>73</v>
      </c>
    </row>
    <row r="2540" spans="1:56" x14ac:dyDescent="0.35">
      <c r="A2540">
        <v>4654186</v>
      </c>
      <c r="B2540" t="s">
        <v>1909</v>
      </c>
      <c r="D2540" t="s">
        <v>637</v>
      </c>
      <c r="E2540" t="s">
        <v>86</v>
      </c>
      <c r="F2540" t="s">
        <v>58</v>
      </c>
      <c r="G2540" t="s">
        <v>59</v>
      </c>
      <c r="H2540" t="s">
        <v>60</v>
      </c>
      <c r="I2540" t="s">
        <v>129</v>
      </c>
      <c r="J2540" t="s">
        <v>86</v>
      </c>
      <c r="K2540" t="s">
        <v>61</v>
      </c>
      <c r="L2540" t="s">
        <v>74</v>
      </c>
      <c r="M2540" t="s">
        <v>63</v>
      </c>
      <c r="N2540" t="s">
        <v>64</v>
      </c>
      <c r="P2540" t="s">
        <v>65</v>
      </c>
      <c r="Q2540" t="s">
        <v>153</v>
      </c>
      <c r="R2540">
        <v>0.113</v>
      </c>
      <c r="W2540" t="s">
        <v>66</v>
      </c>
      <c r="X2540" t="s">
        <v>67</v>
      </c>
      <c r="Y2540" t="s">
        <v>67</v>
      </c>
      <c r="Z2540" t="s">
        <v>68</v>
      </c>
      <c r="AB2540">
        <v>4</v>
      </c>
      <c r="AC2540" t="s">
        <v>61</v>
      </c>
      <c r="AJ2540" t="s">
        <v>69</v>
      </c>
      <c r="AY2540" t="s">
        <v>639</v>
      </c>
      <c r="AZ2540">
        <v>180793</v>
      </c>
      <c r="BA2540" t="s">
        <v>640</v>
      </c>
      <c r="BB2540" t="s">
        <v>641</v>
      </c>
      <c r="BC2540">
        <v>1990</v>
      </c>
      <c r="BD2540" t="s">
        <v>642</v>
      </c>
    </row>
    <row r="2541" spans="1:56" x14ac:dyDescent="0.35">
      <c r="A2541">
        <v>4654266</v>
      </c>
      <c r="B2541" t="s">
        <v>1910</v>
      </c>
      <c r="D2541" t="s">
        <v>637</v>
      </c>
      <c r="E2541" t="s">
        <v>86</v>
      </c>
      <c r="F2541" t="s">
        <v>58</v>
      </c>
      <c r="G2541" t="s">
        <v>59</v>
      </c>
      <c r="H2541" t="s">
        <v>60</v>
      </c>
      <c r="I2541" t="s">
        <v>129</v>
      </c>
      <c r="J2541" t="s">
        <v>86</v>
      </c>
      <c r="K2541" t="s">
        <v>61</v>
      </c>
      <c r="L2541" t="s">
        <v>74</v>
      </c>
      <c r="M2541" t="s">
        <v>63</v>
      </c>
      <c r="N2541" t="s">
        <v>64</v>
      </c>
      <c r="P2541" t="s">
        <v>65</v>
      </c>
      <c r="Q2541" t="s">
        <v>153</v>
      </c>
      <c r="R2541">
        <v>9.1999999999999998E-2</v>
      </c>
      <c r="W2541" t="s">
        <v>66</v>
      </c>
      <c r="X2541" t="s">
        <v>67</v>
      </c>
      <c r="Y2541" t="s">
        <v>67</v>
      </c>
      <c r="Z2541" t="s">
        <v>68</v>
      </c>
      <c r="AB2541">
        <v>4</v>
      </c>
      <c r="AC2541" t="s">
        <v>61</v>
      </c>
      <c r="AJ2541" t="s">
        <v>69</v>
      </c>
      <c r="AY2541" t="s">
        <v>639</v>
      </c>
      <c r="AZ2541">
        <v>180793</v>
      </c>
      <c r="BA2541" t="s">
        <v>640</v>
      </c>
      <c r="BB2541" t="s">
        <v>641</v>
      </c>
      <c r="BC2541">
        <v>1990</v>
      </c>
      <c r="BD2541" t="s">
        <v>642</v>
      </c>
    </row>
    <row r="2542" spans="1:56" x14ac:dyDescent="0.35">
      <c r="A2542">
        <v>4655349</v>
      </c>
      <c r="B2542" t="s">
        <v>1911</v>
      </c>
      <c r="D2542" t="s">
        <v>57</v>
      </c>
      <c r="E2542" t="s">
        <v>810</v>
      </c>
      <c r="F2542" t="s">
        <v>58</v>
      </c>
      <c r="G2542" t="s">
        <v>59</v>
      </c>
      <c r="H2542" t="s">
        <v>60</v>
      </c>
      <c r="J2542">
        <v>33</v>
      </c>
      <c r="K2542" t="s">
        <v>61</v>
      </c>
      <c r="L2542" t="s">
        <v>74</v>
      </c>
      <c r="M2542" t="s">
        <v>63</v>
      </c>
      <c r="N2542" t="s">
        <v>64</v>
      </c>
      <c r="P2542" t="s">
        <v>65</v>
      </c>
      <c r="R2542">
        <v>38</v>
      </c>
      <c r="T2542">
        <v>34.299999999999997</v>
      </c>
      <c r="V2542">
        <v>42.2</v>
      </c>
      <c r="W2542" t="s">
        <v>66</v>
      </c>
      <c r="X2542" t="s">
        <v>67</v>
      </c>
      <c r="Y2542" t="s">
        <v>67</v>
      </c>
      <c r="Z2542" t="s">
        <v>68</v>
      </c>
      <c r="AB2542">
        <v>4</v>
      </c>
      <c r="AC2542" t="s">
        <v>61</v>
      </c>
      <c r="AJ2542" t="s">
        <v>69</v>
      </c>
      <c r="AY2542" t="s">
        <v>263</v>
      </c>
      <c r="AZ2542">
        <v>12858</v>
      </c>
      <c r="BA2542" t="s">
        <v>264</v>
      </c>
      <c r="BB2542" t="s">
        <v>265</v>
      </c>
      <c r="BC2542">
        <v>1986</v>
      </c>
      <c r="BD2542" t="s">
        <v>73</v>
      </c>
    </row>
    <row r="2543" spans="1:56" x14ac:dyDescent="0.35">
      <c r="A2543">
        <v>4655349</v>
      </c>
      <c r="B2543" t="s">
        <v>1911</v>
      </c>
      <c r="D2543" t="s">
        <v>57</v>
      </c>
      <c r="E2543" t="s">
        <v>810</v>
      </c>
      <c r="F2543" t="s">
        <v>58</v>
      </c>
      <c r="G2543" t="s">
        <v>59</v>
      </c>
      <c r="H2543" t="s">
        <v>60</v>
      </c>
      <c r="I2543" t="s">
        <v>129</v>
      </c>
      <c r="J2543" t="s">
        <v>86</v>
      </c>
      <c r="K2543" t="s">
        <v>61</v>
      </c>
      <c r="L2543" t="s">
        <v>74</v>
      </c>
      <c r="M2543" t="s">
        <v>63</v>
      </c>
      <c r="N2543" t="s">
        <v>64</v>
      </c>
      <c r="P2543" t="s">
        <v>65</v>
      </c>
      <c r="R2543">
        <v>38</v>
      </c>
      <c r="W2543" t="s">
        <v>66</v>
      </c>
      <c r="X2543" t="s">
        <v>67</v>
      </c>
      <c r="Y2543" t="s">
        <v>67</v>
      </c>
      <c r="Z2543" t="s">
        <v>68</v>
      </c>
      <c r="AB2543">
        <v>4</v>
      </c>
      <c r="AC2543" t="s">
        <v>61</v>
      </c>
      <c r="AJ2543" t="s">
        <v>69</v>
      </c>
      <c r="AY2543" t="s">
        <v>847</v>
      </c>
      <c r="AZ2543">
        <v>13120</v>
      </c>
      <c r="BA2543" t="s">
        <v>848</v>
      </c>
      <c r="BB2543" t="s">
        <v>849</v>
      </c>
      <c r="BC2543">
        <v>1988</v>
      </c>
      <c r="BD2543" t="s">
        <v>833</v>
      </c>
    </row>
    <row r="2544" spans="1:56" x14ac:dyDescent="0.35">
      <c r="A2544">
        <v>4798441</v>
      </c>
      <c r="B2544" t="s">
        <v>1912</v>
      </c>
      <c r="D2544" t="s">
        <v>57</v>
      </c>
      <c r="E2544" t="s">
        <v>128</v>
      </c>
      <c r="F2544" t="s">
        <v>58</v>
      </c>
      <c r="G2544" t="s">
        <v>59</v>
      </c>
      <c r="H2544" t="s">
        <v>60</v>
      </c>
      <c r="I2544" t="s">
        <v>129</v>
      </c>
      <c r="J2544" t="s">
        <v>86</v>
      </c>
      <c r="K2544" t="s">
        <v>61</v>
      </c>
      <c r="L2544" t="s">
        <v>74</v>
      </c>
      <c r="M2544" t="s">
        <v>63</v>
      </c>
      <c r="N2544" t="s">
        <v>64</v>
      </c>
      <c r="P2544" t="s">
        <v>65</v>
      </c>
      <c r="R2544">
        <v>30.4</v>
      </c>
      <c r="T2544">
        <v>27.3</v>
      </c>
      <c r="V2544">
        <v>33.9</v>
      </c>
      <c r="W2544" t="s">
        <v>66</v>
      </c>
      <c r="X2544" t="s">
        <v>67</v>
      </c>
      <c r="Y2544" t="s">
        <v>67</v>
      </c>
      <c r="Z2544" t="s">
        <v>68</v>
      </c>
      <c r="AB2544">
        <v>4</v>
      </c>
      <c r="AC2544" t="s">
        <v>61</v>
      </c>
      <c r="AJ2544" t="s">
        <v>69</v>
      </c>
      <c r="AY2544" t="s">
        <v>541</v>
      </c>
      <c r="AZ2544">
        <v>2721</v>
      </c>
      <c r="BA2544" t="s">
        <v>542</v>
      </c>
      <c r="BB2544" t="s">
        <v>543</v>
      </c>
      <c r="BC2544">
        <v>1989</v>
      </c>
      <c r="BD2544" t="s">
        <v>544</v>
      </c>
    </row>
    <row r="2545" spans="1:56" x14ac:dyDescent="0.35">
      <c r="A2545">
        <v>4798441</v>
      </c>
      <c r="B2545" t="s">
        <v>1912</v>
      </c>
      <c r="D2545" t="s">
        <v>57</v>
      </c>
      <c r="E2545">
        <v>98</v>
      </c>
      <c r="F2545" t="s">
        <v>58</v>
      </c>
      <c r="G2545" t="s">
        <v>59</v>
      </c>
      <c r="H2545" t="s">
        <v>60</v>
      </c>
      <c r="J2545">
        <v>32</v>
      </c>
      <c r="K2545" t="s">
        <v>61</v>
      </c>
      <c r="L2545" t="s">
        <v>74</v>
      </c>
      <c r="M2545" t="s">
        <v>63</v>
      </c>
      <c r="N2545" t="s">
        <v>64</v>
      </c>
      <c r="P2545" t="s">
        <v>65</v>
      </c>
      <c r="R2545">
        <v>30.4</v>
      </c>
      <c r="T2545">
        <v>27.3</v>
      </c>
      <c r="V2545">
        <v>33.9</v>
      </c>
      <c r="W2545" t="s">
        <v>66</v>
      </c>
      <c r="X2545" t="s">
        <v>67</v>
      </c>
      <c r="Y2545" t="s">
        <v>67</v>
      </c>
      <c r="Z2545" t="s">
        <v>68</v>
      </c>
      <c r="AB2545">
        <v>4</v>
      </c>
      <c r="AC2545" t="s">
        <v>61</v>
      </c>
      <c r="AJ2545" t="s">
        <v>69</v>
      </c>
      <c r="AY2545" t="s">
        <v>80</v>
      </c>
      <c r="AZ2545">
        <v>12859</v>
      </c>
      <c r="BA2545" t="s">
        <v>81</v>
      </c>
      <c r="BB2545" t="s">
        <v>82</v>
      </c>
      <c r="BC2545">
        <v>1988</v>
      </c>
      <c r="BD2545" t="s">
        <v>73</v>
      </c>
    </row>
    <row r="2546" spans="1:56" x14ac:dyDescent="0.35">
      <c r="A2546">
        <v>4839467</v>
      </c>
      <c r="B2546" t="s">
        <v>1913</v>
      </c>
      <c r="D2546" t="s">
        <v>57</v>
      </c>
      <c r="E2546">
        <v>98</v>
      </c>
      <c r="F2546" t="s">
        <v>58</v>
      </c>
      <c r="G2546" t="s">
        <v>59</v>
      </c>
      <c r="H2546" t="s">
        <v>60</v>
      </c>
      <c r="J2546">
        <v>32</v>
      </c>
      <c r="K2546" t="s">
        <v>61</v>
      </c>
      <c r="L2546" t="s">
        <v>62</v>
      </c>
      <c r="M2546" t="s">
        <v>63</v>
      </c>
      <c r="N2546" t="s">
        <v>64</v>
      </c>
      <c r="P2546" t="s">
        <v>65</v>
      </c>
      <c r="R2546">
        <v>14100</v>
      </c>
      <c r="W2546" t="s">
        <v>66</v>
      </c>
      <c r="X2546" t="s">
        <v>67</v>
      </c>
      <c r="Y2546" t="s">
        <v>67</v>
      </c>
      <c r="Z2546" t="s">
        <v>68</v>
      </c>
      <c r="AB2546">
        <v>4</v>
      </c>
      <c r="AC2546" t="s">
        <v>61</v>
      </c>
      <c r="AJ2546" t="s">
        <v>69</v>
      </c>
      <c r="AY2546" t="s">
        <v>75</v>
      </c>
      <c r="AZ2546">
        <v>3217</v>
      </c>
      <c r="BA2546" t="s">
        <v>76</v>
      </c>
      <c r="BB2546" t="s">
        <v>77</v>
      </c>
      <c r="BC2546">
        <v>1990</v>
      </c>
      <c r="BD2546" t="s">
        <v>73</v>
      </c>
    </row>
    <row r="2547" spans="1:56" x14ac:dyDescent="0.35">
      <c r="A2547">
        <v>4901513</v>
      </c>
      <c r="B2547" t="s">
        <v>1914</v>
      </c>
      <c r="D2547" t="s">
        <v>57</v>
      </c>
      <c r="E2547">
        <v>98</v>
      </c>
      <c r="F2547" t="s">
        <v>58</v>
      </c>
      <c r="G2547" t="s">
        <v>59</v>
      </c>
      <c r="H2547" t="s">
        <v>60</v>
      </c>
      <c r="J2547">
        <v>31</v>
      </c>
      <c r="K2547" t="s">
        <v>61</v>
      </c>
      <c r="L2547" t="s">
        <v>74</v>
      </c>
      <c r="M2547" t="s">
        <v>63</v>
      </c>
      <c r="N2547" t="s">
        <v>64</v>
      </c>
      <c r="P2547" t="s">
        <v>65</v>
      </c>
      <c r="R2547">
        <v>0.41</v>
      </c>
      <c r="T2547">
        <v>0.38</v>
      </c>
      <c r="V2547">
        <v>0.44</v>
      </c>
      <c r="W2547" t="s">
        <v>66</v>
      </c>
      <c r="X2547" t="s">
        <v>67</v>
      </c>
      <c r="Y2547" t="s">
        <v>67</v>
      </c>
      <c r="Z2547" t="s">
        <v>68</v>
      </c>
      <c r="AB2547">
        <v>4</v>
      </c>
      <c r="AC2547" t="s">
        <v>61</v>
      </c>
      <c r="AJ2547" t="s">
        <v>69</v>
      </c>
      <c r="AY2547" t="s">
        <v>141</v>
      </c>
      <c r="AZ2547">
        <v>12447</v>
      </c>
      <c r="BA2547" t="s">
        <v>142</v>
      </c>
      <c r="BB2547" t="s">
        <v>143</v>
      </c>
      <c r="BC2547">
        <v>1985</v>
      </c>
      <c r="BD2547" t="s">
        <v>73</v>
      </c>
    </row>
    <row r="2548" spans="1:56" x14ac:dyDescent="0.35">
      <c r="A2548">
        <v>4901513</v>
      </c>
      <c r="B2548" t="s">
        <v>1914</v>
      </c>
      <c r="D2548" t="s">
        <v>57</v>
      </c>
      <c r="E2548">
        <v>98</v>
      </c>
      <c r="F2548" t="s">
        <v>58</v>
      </c>
      <c r="G2548" t="s">
        <v>59</v>
      </c>
      <c r="H2548" t="s">
        <v>60</v>
      </c>
      <c r="J2548" t="s">
        <v>86</v>
      </c>
      <c r="K2548" t="s">
        <v>61</v>
      </c>
      <c r="L2548" t="s">
        <v>74</v>
      </c>
      <c r="M2548" t="s">
        <v>63</v>
      </c>
      <c r="N2548" t="s">
        <v>64</v>
      </c>
      <c r="P2548" t="s">
        <v>65</v>
      </c>
      <c r="R2548">
        <v>0.441</v>
      </c>
      <c r="T2548">
        <v>0.41</v>
      </c>
      <c r="V2548">
        <v>0.47499999999999998</v>
      </c>
      <c r="W2548" t="s">
        <v>66</v>
      </c>
      <c r="X2548" t="s">
        <v>67</v>
      </c>
      <c r="Y2548" t="s">
        <v>67</v>
      </c>
      <c r="Z2548" t="s">
        <v>68</v>
      </c>
      <c r="AB2548">
        <v>4</v>
      </c>
      <c r="AC2548" t="s">
        <v>61</v>
      </c>
      <c r="AJ2548" t="s">
        <v>69</v>
      </c>
      <c r="AY2548" t="s">
        <v>258</v>
      </c>
      <c r="AZ2548">
        <v>10954</v>
      </c>
      <c r="BA2548" t="s">
        <v>259</v>
      </c>
      <c r="BB2548" t="s">
        <v>260</v>
      </c>
      <c r="BC2548">
        <v>1984</v>
      </c>
      <c r="BD2548" t="s">
        <v>261</v>
      </c>
    </row>
    <row r="2549" spans="1:56" x14ac:dyDescent="0.35">
      <c r="A2549">
        <v>4916578</v>
      </c>
      <c r="B2549" t="s">
        <v>1915</v>
      </c>
      <c r="D2549" t="s">
        <v>57</v>
      </c>
      <c r="E2549">
        <v>97</v>
      </c>
      <c r="F2549" t="s">
        <v>58</v>
      </c>
      <c r="G2549" t="s">
        <v>59</v>
      </c>
      <c r="H2549" t="s">
        <v>60</v>
      </c>
      <c r="J2549">
        <v>31</v>
      </c>
      <c r="K2549" t="s">
        <v>61</v>
      </c>
      <c r="L2549" t="s">
        <v>74</v>
      </c>
      <c r="M2549" t="s">
        <v>63</v>
      </c>
      <c r="N2549" t="s">
        <v>64</v>
      </c>
      <c r="P2549" t="s">
        <v>65</v>
      </c>
      <c r="R2549">
        <v>151</v>
      </c>
      <c r="T2549">
        <v>138</v>
      </c>
      <c r="V2549">
        <v>165</v>
      </c>
      <c r="W2549" t="s">
        <v>66</v>
      </c>
      <c r="X2549" t="s">
        <v>67</v>
      </c>
      <c r="Y2549" t="s">
        <v>67</v>
      </c>
      <c r="Z2549" t="s">
        <v>68</v>
      </c>
      <c r="AB2549">
        <v>4</v>
      </c>
      <c r="AC2549" t="s">
        <v>61</v>
      </c>
      <c r="AJ2549" t="s">
        <v>69</v>
      </c>
      <c r="AY2549" t="s">
        <v>263</v>
      </c>
      <c r="AZ2549">
        <v>12858</v>
      </c>
      <c r="BA2549" t="s">
        <v>264</v>
      </c>
      <c r="BB2549" t="s">
        <v>265</v>
      </c>
      <c r="BC2549">
        <v>1986</v>
      </c>
      <c r="BD2549" t="s">
        <v>73</v>
      </c>
    </row>
    <row r="2550" spans="1:56" x14ac:dyDescent="0.35">
      <c r="A2550">
        <v>4920778</v>
      </c>
      <c r="B2550" t="s">
        <v>1916</v>
      </c>
      <c r="D2550" t="s">
        <v>85</v>
      </c>
      <c r="E2550" t="s">
        <v>86</v>
      </c>
      <c r="F2550" t="s">
        <v>58</v>
      </c>
      <c r="G2550" t="s">
        <v>59</v>
      </c>
      <c r="H2550" t="s">
        <v>60</v>
      </c>
      <c r="I2550" t="s">
        <v>129</v>
      </c>
      <c r="J2550" t="s">
        <v>86</v>
      </c>
      <c r="L2550" t="s">
        <v>62</v>
      </c>
      <c r="M2550" t="s">
        <v>63</v>
      </c>
      <c r="N2550" t="s">
        <v>64</v>
      </c>
      <c r="P2550" t="s">
        <v>100</v>
      </c>
      <c r="R2550">
        <v>46.1</v>
      </c>
      <c r="W2550" t="s">
        <v>66</v>
      </c>
      <c r="X2550" t="s">
        <v>67</v>
      </c>
      <c r="Y2550" t="s">
        <v>67</v>
      </c>
      <c r="Z2550" t="s">
        <v>68</v>
      </c>
      <c r="AB2550">
        <v>4</v>
      </c>
      <c r="AC2550" t="s">
        <v>61</v>
      </c>
      <c r="AJ2550" t="s">
        <v>69</v>
      </c>
      <c r="AY2550" t="s">
        <v>722</v>
      </c>
      <c r="AZ2550">
        <v>5087</v>
      </c>
      <c r="BA2550" t="s">
        <v>723</v>
      </c>
      <c r="BB2550" t="s">
        <v>724</v>
      </c>
      <c r="BC2550">
        <v>1979</v>
      </c>
      <c r="BD2550" t="s">
        <v>90</v>
      </c>
    </row>
    <row r="2551" spans="1:56" x14ac:dyDescent="0.35">
      <c r="A2551">
        <v>5064313</v>
      </c>
      <c r="B2551" t="s">
        <v>1917</v>
      </c>
      <c r="D2551" t="s">
        <v>85</v>
      </c>
      <c r="E2551" t="s">
        <v>86</v>
      </c>
      <c r="F2551" t="s">
        <v>58</v>
      </c>
      <c r="G2551" t="s">
        <v>59</v>
      </c>
      <c r="H2551" t="s">
        <v>60</v>
      </c>
      <c r="J2551" t="s">
        <v>86</v>
      </c>
      <c r="L2551" t="s">
        <v>74</v>
      </c>
      <c r="M2551" t="s">
        <v>63</v>
      </c>
      <c r="N2551" t="s">
        <v>64</v>
      </c>
      <c r="P2551" t="s">
        <v>100</v>
      </c>
      <c r="R2551">
        <v>127</v>
      </c>
      <c r="T2551">
        <v>93</v>
      </c>
      <c r="V2551">
        <v>170</v>
      </c>
      <c r="W2551" t="s">
        <v>66</v>
      </c>
      <c r="X2551" t="s">
        <v>67</v>
      </c>
      <c r="Y2551" t="s">
        <v>67</v>
      </c>
      <c r="Z2551" t="s">
        <v>68</v>
      </c>
      <c r="AB2551">
        <v>4</v>
      </c>
      <c r="AC2551" t="s">
        <v>61</v>
      </c>
      <c r="AJ2551" t="s">
        <v>69</v>
      </c>
      <c r="AY2551" t="s">
        <v>1918</v>
      </c>
      <c r="AZ2551">
        <v>8995</v>
      </c>
      <c r="BA2551" t="s">
        <v>1919</v>
      </c>
      <c r="BB2551" t="s">
        <v>1920</v>
      </c>
      <c r="BC2551">
        <v>1973</v>
      </c>
      <c r="BD2551" t="s">
        <v>90</v>
      </c>
    </row>
    <row r="2552" spans="1:56" x14ac:dyDescent="0.35">
      <c r="A2552">
        <v>5124254</v>
      </c>
      <c r="B2552" t="s">
        <v>1921</v>
      </c>
      <c r="D2552" t="s">
        <v>85</v>
      </c>
      <c r="E2552" t="s">
        <v>86</v>
      </c>
      <c r="F2552" t="s">
        <v>58</v>
      </c>
      <c r="G2552" t="s">
        <v>59</v>
      </c>
      <c r="H2552" t="s">
        <v>60</v>
      </c>
      <c r="J2552" t="s">
        <v>86</v>
      </c>
      <c r="L2552" t="s">
        <v>62</v>
      </c>
      <c r="M2552" t="s">
        <v>63</v>
      </c>
      <c r="N2552" t="s">
        <v>64</v>
      </c>
      <c r="P2552" t="s">
        <v>100</v>
      </c>
      <c r="Q2552" t="s">
        <v>153</v>
      </c>
      <c r="R2552">
        <v>180</v>
      </c>
      <c r="W2552" t="s">
        <v>66</v>
      </c>
      <c r="X2552" t="s">
        <v>67</v>
      </c>
      <c r="Y2552" t="s">
        <v>67</v>
      </c>
      <c r="Z2552" t="s">
        <v>68</v>
      </c>
      <c r="AB2552">
        <v>4</v>
      </c>
      <c r="AC2552" t="s">
        <v>61</v>
      </c>
      <c r="AJ2552" t="s">
        <v>69</v>
      </c>
      <c r="AY2552" t="s">
        <v>1243</v>
      </c>
      <c r="AZ2552">
        <v>5789</v>
      </c>
      <c r="BA2552" t="s">
        <v>1244</v>
      </c>
      <c r="BB2552" t="s">
        <v>1245</v>
      </c>
      <c r="BC2552">
        <v>1974</v>
      </c>
      <c r="BD2552" t="s">
        <v>90</v>
      </c>
    </row>
    <row r="2553" spans="1:56" x14ac:dyDescent="0.35">
      <c r="A2553">
        <v>5124254</v>
      </c>
      <c r="B2553" t="s">
        <v>1921</v>
      </c>
      <c r="D2553" t="s">
        <v>85</v>
      </c>
      <c r="E2553">
        <v>15</v>
      </c>
      <c r="F2553" t="s">
        <v>58</v>
      </c>
      <c r="G2553" t="s">
        <v>59</v>
      </c>
      <c r="H2553" t="s">
        <v>60</v>
      </c>
      <c r="J2553" t="s">
        <v>86</v>
      </c>
      <c r="L2553" t="s">
        <v>62</v>
      </c>
      <c r="M2553" t="s">
        <v>63</v>
      </c>
      <c r="N2553" t="s">
        <v>64</v>
      </c>
      <c r="P2553" t="s">
        <v>100</v>
      </c>
      <c r="Q2553" t="s">
        <v>153</v>
      </c>
      <c r="R2553">
        <v>180</v>
      </c>
      <c r="W2553" t="s">
        <v>66</v>
      </c>
      <c r="X2553" t="s">
        <v>67</v>
      </c>
      <c r="Y2553" t="s">
        <v>67</v>
      </c>
      <c r="Z2553" t="s">
        <v>68</v>
      </c>
      <c r="AB2553">
        <v>4</v>
      </c>
      <c r="AC2553" t="s">
        <v>61</v>
      </c>
      <c r="AJ2553" t="s">
        <v>69</v>
      </c>
      <c r="AY2553" t="s">
        <v>1246</v>
      </c>
      <c r="AZ2553">
        <v>6969</v>
      </c>
      <c r="BA2553" t="s">
        <v>1247</v>
      </c>
      <c r="BB2553" t="s">
        <v>1248</v>
      </c>
      <c r="BC2553">
        <v>1973</v>
      </c>
      <c r="BD2553" t="s">
        <v>90</v>
      </c>
    </row>
    <row r="2554" spans="1:56" x14ac:dyDescent="0.35">
      <c r="A2554">
        <v>5217470</v>
      </c>
      <c r="B2554" t="s">
        <v>1922</v>
      </c>
      <c r="D2554" t="s">
        <v>57</v>
      </c>
      <c r="E2554">
        <v>99</v>
      </c>
      <c r="F2554" t="s">
        <v>58</v>
      </c>
      <c r="G2554" t="s">
        <v>59</v>
      </c>
      <c r="H2554" t="s">
        <v>60</v>
      </c>
      <c r="J2554">
        <v>30</v>
      </c>
      <c r="K2554" t="s">
        <v>61</v>
      </c>
      <c r="L2554" t="s">
        <v>74</v>
      </c>
      <c r="M2554" t="s">
        <v>63</v>
      </c>
      <c r="N2554" t="s">
        <v>64</v>
      </c>
      <c r="P2554" t="s">
        <v>65</v>
      </c>
      <c r="R2554">
        <v>4510</v>
      </c>
      <c r="T2554">
        <v>4200</v>
      </c>
      <c r="V2554">
        <v>4840</v>
      </c>
      <c r="W2554" t="s">
        <v>66</v>
      </c>
      <c r="X2554" t="s">
        <v>67</v>
      </c>
      <c r="Y2554" t="s">
        <v>67</v>
      </c>
      <c r="Z2554" t="s">
        <v>68</v>
      </c>
      <c r="AB2554">
        <v>4</v>
      </c>
      <c r="AC2554" t="s">
        <v>61</v>
      </c>
      <c r="AJ2554" t="s">
        <v>69</v>
      </c>
      <c r="AY2554" t="s">
        <v>80</v>
      </c>
      <c r="AZ2554">
        <v>12859</v>
      </c>
      <c r="BA2554" t="s">
        <v>81</v>
      </c>
      <c r="BB2554" t="s">
        <v>82</v>
      </c>
      <c r="BC2554">
        <v>1988</v>
      </c>
      <c r="BD2554" t="s">
        <v>73</v>
      </c>
    </row>
    <row r="2555" spans="1:56" x14ac:dyDescent="0.35">
      <c r="A2555">
        <v>5267276</v>
      </c>
      <c r="B2555" t="s">
        <v>1923</v>
      </c>
      <c r="D2555" t="s">
        <v>85</v>
      </c>
      <c r="E2555" t="s">
        <v>86</v>
      </c>
      <c r="F2555" t="s">
        <v>58</v>
      </c>
      <c r="G2555" t="s">
        <v>59</v>
      </c>
      <c r="H2555" t="s">
        <v>60</v>
      </c>
      <c r="I2555" t="s">
        <v>129</v>
      </c>
      <c r="J2555" t="s">
        <v>86</v>
      </c>
      <c r="L2555" t="s">
        <v>62</v>
      </c>
      <c r="M2555" t="s">
        <v>63</v>
      </c>
      <c r="N2555" t="s">
        <v>64</v>
      </c>
      <c r="P2555" t="s">
        <v>100</v>
      </c>
      <c r="R2555">
        <v>2.4</v>
      </c>
      <c r="W2555" t="s">
        <v>66</v>
      </c>
      <c r="X2555" t="s">
        <v>67</v>
      </c>
      <c r="Y2555" t="s">
        <v>67</v>
      </c>
      <c r="Z2555" t="s">
        <v>68</v>
      </c>
      <c r="AB2555">
        <v>4</v>
      </c>
      <c r="AC2555" t="s">
        <v>61</v>
      </c>
      <c r="AJ2555" t="s">
        <v>69</v>
      </c>
      <c r="AY2555" t="s">
        <v>722</v>
      </c>
      <c r="AZ2555">
        <v>5087</v>
      </c>
      <c r="BA2555" t="s">
        <v>723</v>
      </c>
      <c r="BB2555" t="s">
        <v>724</v>
      </c>
      <c r="BC2555">
        <v>1979</v>
      </c>
      <c r="BD2555" t="s">
        <v>90</v>
      </c>
    </row>
    <row r="2556" spans="1:56" x14ac:dyDescent="0.35">
      <c r="A2556">
        <v>5267276</v>
      </c>
      <c r="B2556" t="s">
        <v>1923</v>
      </c>
      <c r="D2556" t="s">
        <v>85</v>
      </c>
      <c r="E2556" t="s">
        <v>86</v>
      </c>
      <c r="F2556" t="s">
        <v>58</v>
      </c>
      <c r="G2556" t="s">
        <v>59</v>
      </c>
      <c r="H2556" t="s">
        <v>60</v>
      </c>
      <c r="I2556" t="s">
        <v>129</v>
      </c>
      <c r="J2556" t="s">
        <v>86</v>
      </c>
      <c r="L2556" t="s">
        <v>62</v>
      </c>
      <c r="M2556" t="s">
        <v>63</v>
      </c>
      <c r="N2556" t="s">
        <v>64</v>
      </c>
      <c r="P2556" t="s">
        <v>65</v>
      </c>
      <c r="R2556">
        <v>2.4</v>
      </c>
      <c r="T2556">
        <v>1.9</v>
      </c>
      <c r="V2556">
        <v>3</v>
      </c>
      <c r="W2556" t="s">
        <v>66</v>
      </c>
      <c r="X2556" t="s">
        <v>67</v>
      </c>
      <c r="Y2556" t="s">
        <v>67</v>
      </c>
      <c r="Z2556" t="s">
        <v>68</v>
      </c>
      <c r="AB2556">
        <v>4</v>
      </c>
      <c r="AC2556" t="s">
        <v>61</v>
      </c>
      <c r="AJ2556" t="s">
        <v>69</v>
      </c>
      <c r="AY2556" t="s">
        <v>718</v>
      </c>
      <c r="AZ2556">
        <v>10141</v>
      </c>
      <c r="BA2556" t="s">
        <v>719</v>
      </c>
      <c r="BB2556" t="s">
        <v>720</v>
      </c>
      <c r="BC2556">
        <v>1983</v>
      </c>
      <c r="BD2556" t="s">
        <v>721</v>
      </c>
    </row>
    <row r="2557" spans="1:56" x14ac:dyDescent="0.35">
      <c r="A2557">
        <v>5292455</v>
      </c>
      <c r="B2557" t="s">
        <v>1924</v>
      </c>
      <c r="D2557" t="s">
        <v>57</v>
      </c>
      <c r="E2557">
        <v>98</v>
      </c>
      <c r="F2557" t="s">
        <v>58</v>
      </c>
      <c r="G2557" t="s">
        <v>59</v>
      </c>
      <c r="H2557" t="s">
        <v>60</v>
      </c>
      <c r="J2557">
        <v>31</v>
      </c>
      <c r="K2557" t="s">
        <v>61</v>
      </c>
      <c r="L2557" t="s">
        <v>74</v>
      </c>
      <c r="M2557" t="s">
        <v>63</v>
      </c>
      <c r="N2557" t="s">
        <v>64</v>
      </c>
      <c r="P2557" t="s">
        <v>65</v>
      </c>
      <c r="R2557">
        <v>6.52</v>
      </c>
      <c r="T2557">
        <v>5.71</v>
      </c>
      <c r="V2557">
        <v>7.44</v>
      </c>
      <c r="W2557" t="s">
        <v>66</v>
      </c>
      <c r="X2557" t="s">
        <v>67</v>
      </c>
      <c r="Y2557" t="s">
        <v>67</v>
      </c>
      <c r="Z2557" t="s">
        <v>68</v>
      </c>
      <c r="AB2557">
        <v>4</v>
      </c>
      <c r="AC2557" t="s">
        <v>61</v>
      </c>
      <c r="AJ2557" t="s">
        <v>69</v>
      </c>
      <c r="AY2557" t="s">
        <v>141</v>
      </c>
      <c r="AZ2557">
        <v>12447</v>
      </c>
      <c r="BA2557" t="s">
        <v>142</v>
      </c>
      <c r="BB2557" t="s">
        <v>143</v>
      </c>
      <c r="BC2557">
        <v>1985</v>
      </c>
      <c r="BD2557" t="s">
        <v>73</v>
      </c>
    </row>
    <row r="2558" spans="1:56" x14ac:dyDescent="0.35">
      <c r="A2558">
        <v>5329146</v>
      </c>
      <c r="B2558" t="s">
        <v>1925</v>
      </c>
      <c r="D2558" t="s">
        <v>57</v>
      </c>
      <c r="E2558" t="s">
        <v>86</v>
      </c>
      <c r="F2558" t="s">
        <v>58</v>
      </c>
      <c r="G2558" t="s">
        <v>59</v>
      </c>
      <c r="H2558" t="s">
        <v>60</v>
      </c>
      <c r="J2558" t="s">
        <v>86</v>
      </c>
      <c r="L2558" t="s">
        <v>62</v>
      </c>
      <c r="M2558" t="s">
        <v>63</v>
      </c>
      <c r="N2558" t="s">
        <v>64</v>
      </c>
      <c r="O2558" t="s">
        <v>267</v>
      </c>
      <c r="P2558" t="s">
        <v>65</v>
      </c>
      <c r="R2558">
        <v>70.3</v>
      </c>
      <c r="T2558">
        <v>58.8</v>
      </c>
      <c r="V2558">
        <v>84</v>
      </c>
      <c r="W2558" t="s">
        <v>66</v>
      </c>
      <c r="X2558" t="s">
        <v>67</v>
      </c>
      <c r="Y2558" t="s">
        <v>67</v>
      </c>
      <c r="Z2558" t="s">
        <v>68</v>
      </c>
      <c r="AB2558">
        <v>4</v>
      </c>
      <c r="AC2558" t="s">
        <v>61</v>
      </c>
      <c r="AJ2558" t="s">
        <v>69</v>
      </c>
      <c r="AY2558" t="s">
        <v>268</v>
      </c>
      <c r="AZ2558">
        <v>2965</v>
      </c>
      <c r="BA2558" t="s">
        <v>269</v>
      </c>
      <c r="BB2558" t="s">
        <v>270</v>
      </c>
      <c r="BC2558">
        <v>1981</v>
      </c>
      <c r="BD2558" t="s">
        <v>90</v>
      </c>
    </row>
    <row r="2559" spans="1:56" x14ac:dyDescent="0.35">
      <c r="A2559">
        <v>5329146</v>
      </c>
      <c r="B2559" t="s">
        <v>1925</v>
      </c>
      <c r="D2559" t="s">
        <v>57</v>
      </c>
      <c r="E2559" t="s">
        <v>86</v>
      </c>
      <c r="F2559" t="s">
        <v>58</v>
      </c>
      <c r="G2559" t="s">
        <v>59</v>
      </c>
      <c r="H2559" t="s">
        <v>60</v>
      </c>
      <c r="J2559" t="s">
        <v>86</v>
      </c>
      <c r="L2559" t="s">
        <v>62</v>
      </c>
      <c r="M2559" t="s">
        <v>63</v>
      </c>
      <c r="N2559" t="s">
        <v>64</v>
      </c>
      <c r="P2559" t="s">
        <v>65</v>
      </c>
      <c r="R2559">
        <v>14.2</v>
      </c>
      <c r="W2559" t="s">
        <v>66</v>
      </c>
      <c r="X2559" t="s">
        <v>67</v>
      </c>
      <c r="Y2559" t="s">
        <v>67</v>
      </c>
      <c r="Z2559" t="s">
        <v>68</v>
      </c>
      <c r="AB2559">
        <v>4</v>
      </c>
      <c r="AC2559" t="s">
        <v>61</v>
      </c>
      <c r="AJ2559" t="s">
        <v>69</v>
      </c>
      <c r="AY2559" t="s">
        <v>304</v>
      </c>
      <c r="AZ2559">
        <v>2966</v>
      </c>
      <c r="BA2559" t="s">
        <v>305</v>
      </c>
      <c r="BB2559" t="s">
        <v>306</v>
      </c>
      <c r="BC2559">
        <v>1981</v>
      </c>
      <c r="BD2559" t="s">
        <v>90</v>
      </c>
    </row>
    <row r="2560" spans="1:56" x14ac:dyDescent="0.35">
      <c r="A2560">
        <v>5331919</v>
      </c>
      <c r="B2560" t="s">
        <v>1926</v>
      </c>
      <c r="D2560" t="s">
        <v>57</v>
      </c>
      <c r="E2560" t="s">
        <v>1721</v>
      </c>
      <c r="F2560" t="s">
        <v>58</v>
      </c>
      <c r="G2560" t="s">
        <v>59</v>
      </c>
      <c r="H2560" t="s">
        <v>60</v>
      </c>
      <c r="J2560">
        <v>30</v>
      </c>
      <c r="K2560" t="s">
        <v>61</v>
      </c>
      <c r="L2560" t="s">
        <v>74</v>
      </c>
      <c r="M2560" t="s">
        <v>63</v>
      </c>
      <c r="N2560" t="s">
        <v>64</v>
      </c>
      <c r="P2560" t="s">
        <v>65</v>
      </c>
      <c r="R2560">
        <v>3.21</v>
      </c>
      <c r="T2560">
        <v>2.5</v>
      </c>
      <c r="V2560">
        <v>4.13</v>
      </c>
      <c r="W2560" t="s">
        <v>66</v>
      </c>
      <c r="X2560" t="s">
        <v>67</v>
      </c>
      <c r="Y2560" t="s">
        <v>67</v>
      </c>
      <c r="Z2560" t="s">
        <v>68</v>
      </c>
      <c r="AB2560">
        <v>4</v>
      </c>
      <c r="AC2560" t="s">
        <v>61</v>
      </c>
      <c r="AJ2560" t="s">
        <v>69</v>
      </c>
      <c r="AY2560" t="s">
        <v>286</v>
      </c>
      <c r="AZ2560">
        <v>12448</v>
      </c>
      <c r="BA2560" t="s">
        <v>287</v>
      </c>
      <c r="BB2560" t="s">
        <v>288</v>
      </c>
      <c r="BC2560">
        <v>1984</v>
      </c>
      <c r="BD2560" t="s">
        <v>73</v>
      </c>
    </row>
    <row r="2561" spans="1:56" x14ac:dyDescent="0.35">
      <c r="A2561">
        <v>5372816</v>
      </c>
      <c r="B2561" t="s">
        <v>1927</v>
      </c>
      <c r="D2561" t="s">
        <v>57</v>
      </c>
      <c r="E2561">
        <v>99</v>
      </c>
      <c r="F2561" t="s">
        <v>58</v>
      </c>
      <c r="G2561" t="s">
        <v>59</v>
      </c>
      <c r="H2561" t="s">
        <v>60</v>
      </c>
      <c r="J2561">
        <v>34</v>
      </c>
      <c r="K2561" t="s">
        <v>61</v>
      </c>
      <c r="L2561" t="s">
        <v>74</v>
      </c>
      <c r="M2561" t="s">
        <v>63</v>
      </c>
      <c r="N2561" t="s">
        <v>64</v>
      </c>
      <c r="P2561" t="s">
        <v>65</v>
      </c>
      <c r="R2561">
        <v>8.94</v>
      </c>
      <c r="T2561">
        <v>8.1199999999999992</v>
      </c>
      <c r="V2561">
        <v>9.84</v>
      </c>
      <c r="W2561" t="s">
        <v>66</v>
      </c>
      <c r="X2561" t="s">
        <v>67</v>
      </c>
      <c r="Y2561" t="s">
        <v>67</v>
      </c>
      <c r="Z2561" t="s">
        <v>68</v>
      </c>
      <c r="AB2561">
        <v>4</v>
      </c>
      <c r="AC2561" t="s">
        <v>61</v>
      </c>
      <c r="AJ2561" t="s">
        <v>69</v>
      </c>
      <c r="AY2561" t="s">
        <v>141</v>
      </c>
      <c r="AZ2561">
        <v>12447</v>
      </c>
      <c r="BA2561" t="s">
        <v>142</v>
      </c>
      <c r="BB2561" t="s">
        <v>143</v>
      </c>
      <c r="BC2561">
        <v>1985</v>
      </c>
      <c r="BD2561" t="s">
        <v>73</v>
      </c>
    </row>
    <row r="2562" spans="1:56" x14ac:dyDescent="0.35">
      <c r="A2562">
        <v>5395755</v>
      </c>
      <c r="B2562" t="s">
        <v>1928</v>
      </c>
      <c r="D2562" t="s">
        <v>57</v>
      </c>
      <c r="E2562" t="s">
        <v>86</v>
      </c>
      <c r="F2562" t="s">
        <v>58</v>
      </c>
      <c r="G2562" t="s">
        <v>59</v>
      </c>
      <c r="H2562" t="s">
        <v>60</v>
      </c>
      <c r="J2562">
        <v>30</v>
      </c>
      <c r="K2562" t="s">
        <v>61</v>
      </c>
      <c r="L2562" t="s">
        <v>74</v>
      </c>
      <c r="M2562" t="s">
        <v>63</v>
      </c>
      <c r="N2562" t="s">
        <v>64</v>
      </c>
      <c r="P2562" t="s">
        <v>65</v>
      </c>
      <c r="R2562">
        <v>60.2</v>
      </c>
      <c r="W2562" t="s">
        <v>66</v>
      </c>
      <c r="X2562" t="s">
        <v>67</v>
      </c>
      <c r="Y2562" t="s">
        <v>67</v>
      </c>
      <c r="Z2562" t="s">
        <v>68</v>
      </c>
      <c r="AB2562">
        <v>4</v>
      </c>
      <c r="AC2562" t="s">
        <v>61</v>
      </c>
      <c r="AJ2562" t="s">
        <v>69</v>
      </c>
      <c r="AY2562" t="s">
        <v>141</v>
      </c>
      <c r="AZ2562">
        <v>12447</v>
      </c>
      <c r="BA2562" t="s">
        <v>142</v>
      </c>
      <c r="BB2562" t="s">
        <v>143</v>
      </c>
      <c r="BC2562">
        <v>1985</v>
      </c>
      <c r="BD2562" t="s">
        <v>73</v>
      </c>
    </row>
    <row r="2563" spans="1:56" x14ac:dyDescent="0.35">
      <c r="A2563">
        <v>5407045</v>
      </c>
      <c r="B2563" t="s">
        <v>1929</v>
      </c>
      <c r="D2563" t="s">
        <v>57</v>
      </c>
      <c r="E2563">
        <v>96</v>
      </c>
      <c r="F2563" t="s">
        <v>58</v>
      </c>
      <c r="G2563" t="s">
        <v>59</v>
      </c>
      <c r="H2563" t="s">
        <v>60</v>
      </c>
      <c r="J2563">
        <v>31</v>
      </c>
      <c r="K2563" t="s">
        <v>61</v>
      </c>
      <c r="L2563" t="s">
        <v>74</v>
      </c>
      <c r="M2563" t="s">
        <v>63</v>
      </c>
      <c r="N2563" t="s">
        <v>64</v>
      </c>
      <c r="P2563" t="s">
        <v>65</v>
      </c>
      <c r="R2563">
        <v>133</v>
      </c>
      <c r="T2563">
        <v>122</v>
      </c>
      <c r="V2563">
        <v>146</v>
      </c>
      <c r="W2563" t="s">
        <v>66</v>
      </c>
      <c r="X2563" t="s">
        <v>67</v>
      </c>
      <c r="Y2563" t="s">
        <v>67</v>
      </c>
      <c r="Z2563" t="s">
        <v>68</v>
      </c>
      <c r="AB2563">
        <v>4</v>
      </c>
      <c r="AC2563" t="s">
        <v>61</v>
      </c>
      <c r="AJ2563" t="s">
        <v>69</v>
      </c>
      <c r="AY2563" t="s">
        <v>263</v>
      </c>
      <c r="AZ2563">
        <v>12858</v>
      </c>
      <c r="BA2563" t="s">
        <v>264</v>
      </c>
      <c r="BB2563" t="s">
        <v>265</v>
      </c>
      <c r="BC2563">
        <v>1986</v>
      </c>
      <c r="BD2563" t="s">
        <v>73</v>
      </c>
    </row>
    <row r="2564" spans="1:56" x14ac:dyDescent="0.35">
      <c r="A2564">
        <v>5450964</v>
      </c>
      <c r="B2564" t="s">
        <v>1930</v>
      </c>
      <c r="D2564" t="s">
        <v>85</v>
      </c>
      <c r="E2564" t="s">
        <v>86</v>
      </c>
      <c r="F2564" t="s">
        <v>58</v>
      </c>
      <c r="G2564" t="s">
        <v>59</v>
      </c>
      <c r="H2564" t="s">
        <v>60</v>
      </c>
      <c r="J2564" t="s">
        <v>86</v>
      </c>
      <c r="L2564" t="s">
        <v>62</v>
      </c>
      <c r="M2564" t="s">
        <v>63</v>
      </c>
      <c r="N2564" t="s">
        <v>64</v>
      </c>
      <c r="O2564">
        <v>4</v>
      </c>
      <c r="P2564" t="s">
        <v>100</v>
      </c>
      <c r="Q2564" t="s">
        <v>153</v>
      </c>
      <c r="R2564">
        <v>100</v>
      </c>
      <c r="W2564" t="s">
        <v>66</v>
      </c>
      <c r="X2564" t="s">
        <v>67</v>
      </c>
      <c r="Y2564" t="s">
        <v>67</v>
      </c>
      <c r="Z2564" t="s">
        <v>68</v>
      </c>
      <c r="AB2564">
        <v>4</v>
      </c>
      <c r="AC2564" t="s">
        <v>61</v>
      </c>
      <c r="AJ2564" t="s">
        <v>69</v>
      </c>
      <c r="AY2564" t="s">
        <v>173</v>
      </c>
      <c r="AZ2564">
        <v>167113</v>
      </c>
      <c r="BA2564" t="s">
        <v>174</v>
      </c>
      <c r="BB2564" t="s">
        <v>175</v>
      </c>
      <c r="BC2564">
        <v>1974</v>
      </c>
      <c r="BD2564" t="s">
        <v>90</v>
      </c>
    </row>
    <row r="2565" spans="1:56" x14ac:dyDescent="0.35">
      <c r="A2565">
        <v>5464711</v>
      </c>
      <c r="B2565" t="s">
        <v>1931</v>
      </c>
      <c r="D2565" t="s">
        <v>85</v>
      </c>
      <c r="E2565">
        <v>97</v>
      </c>
      <c r="F2565" t="s">
        <v>58</v>
      </c>
      <c r="G2565" t="s">
        <v>59</v>
      </c>
      <c r="H2565" t="s">
        <v>60</v>
      </c>
      <c r="J2565" t="s">
        <v>86</v>
      </c>
      <c r="L2565" t="s">
        <v>62</v>
      </c>
      <c r="M2565" t="s">
        <v>63</v>
      </c>
      <c r="N2565" t="s">
        <v>64</v>
      </c>
      <c r="P2565" t="s">
        <v>201</v>
      </c>
      <c r="R2565">
        <v>24</v>
      </c>
      <c r="T2565">
        <v>18</v>
      </c>
      <c r="V2565">
        <v>32</v>
      </c>
      <c r="W2565" t="s">
        <v>66</v>
      </c>
      <c r="X2565" t="s">
        <v>67</v>
      </c>
      <c r="Y2565" t="s">
        <v>67</v>
      </c>
      <c r="Z2565" t="s">
        <v>68</v>
      </c>
      <c r="AB2565">
        <v>4</v>
      </c>
      <c r="AC2565" t="s">
        <v>61</v>
      </c>
      <c r="AJ2565" t="s">
        <v>69</v>
      </c>
      <c r="AY2565" t="s">
        <v>1932</v>
      </c>
      <c r="AZ2565">
        <v>7324</v>
      </c>
      <c r="BA2565" t="s">
        <v>1933</v>
      </c>
      <c r="BB2565" t="s">
        <v>1934</v>
      </c>
      <c r="BC2565">
        <v>1998</v>
      </c>
      <c r="BD2565" t="s">
        <v>90</v>
      </c>
    </row>
    <row r="2566" spans="1:56" x14ac:dyDescent="0.35">
      <c r="A2566">
        <v>5465656</v>
      </c>
      <c r="B2566" t="s">
        <v>1935</v>
      </c>
      <c r="D2566" t="s">
        <v>57</v>
      </c>
      <c r="E2566" t="s">
        <v>79</v>
      </c>
      <c r="F2566" t="s">
        <v>58</v>
      </c>
      <c r="G2566" t="s">
        <v>59</v>
      </c>
      <c r="H2566" t="s">
        <v>60</v>
      </c>
      <c r="J2566">
        <v>33</v>
      </c>
      <c r="K2566" t="s">
        <v>61</v>
      </c>
      <c r="L2566" t="s">
        <v>74</v>
      </c>
      <c r="M2566" t="s">
        <v>63</v>
      </c>
      <c r="N2566" t="s">
        <v>64</v>
      </c>
      <c r="P2566" t="s">
        <v>65</v>
      </c>
      <c r="R2566">
        <v>5.5</v>
      </c>
      <c r="T2566">
        <v>5.4</v>
      </c>
      <c r="V2566">
        <v>5.6</v>
      </c>
      <c r="W2566" t="s">
        <v>66</v>
      </c>
      <c r="X2566" t="s">
        <v>67</v>
      </c>
      <c r="Y2566" t="s">
        <v>67</v>
      </c>
      <c r="Z2566" t="s">
        <v>68</v>
      </c>
      <c r="AB2566">
        <v>4</v>
      </c>
      <c r="AC2566" t="s">
        <v>61</v>
      </c>
      <c r="AJ2566" t="s">
        <v>69</v>
      </c>
      <c r="AY2566" t="s">
        <v>286</v>
      </c>
      <c r="AZ2566">
        <v>12448</v>
      </c>
      <c r="BA2566" t="s">
        <v>287</v>
      </c>
      <c r="BB2566" t="s">
        <v>288</v>
      </c>
      <c r="BC2566">
        <v>1984</v>
      </c>
      <c r="BD2566" t="s">
        <v>73</v>
      </c>
    </row>
    <row r="2567" spans="1:56" x14ac:dyDescent="0.35">
      <c r="A2567">
        <v>5465656</v>
      </c>
      <c r="B2567" t="s">
        <v>1935</v>
      </c>
      <c r="D2567" t="s">
        <v>57</v>
      </c>
      <c r="E2567" t="s">
        <v>128</v>
      </c>
      <c r="F2567" t="s">
        <v>58</v>
      </c>
      <c r="G2567" t="s">
        <v>59</v>
      </c>
      <c r="H2567" t="s">
        <v>60</v>
      </c>
      <c r="I2567" t="s">
        <v>129</v>
      </c>
      <c r="J2567" t="s">
        <v>86</v>
      </c>
      <c r="K2567" t="s">
        <v>61</v>
      </c>
      <c r="L2567" t="s">
        <v>74</v>
      </c>
      <c r="M2567" t="s">
        <v>63</v>
      </c>
      <c r="N2567" t="s">
        <v>64</v>
      </c>
      <c r="P2567" t="s">
        <v>65</v>
      </c>
      <c r="R2567">
        <v>5.51</v>
      </c>
      <c r="W2567" t="s">
        <v>66</v>
      </c>
      <c r="X2567" t="s">
        <v>67</v>
      </c>
      <c r="Y2567" t="s">
        <v>67</v>
      </c>
      <c r="Z2567" t="s">
        <v>68</v>
      </c>
      <c r="AB2567">
        <v>4</v>
      </c>
      <c r="AC2567" t="s">
        <v>61</v>
      </c>
      <c r="AJ2567" t="s">
        <v>69</v>
      </c>
      <c r="AY2567" t="s">
        <v>134</v>
      </c>
      <c r="AZ2567">
        <v>15031</v>
      </c>
      <c r="BA2567" t="s">
        <v>135</v>
      </c>
      <c r="BB2567" t="s">
        <v>136</v>
      </c>
      <c r="BC2567">
        <v>1995</v>
      </c>
      <c r="BD2567" t="s">
        <v>133</v>
      </c>
    </row>
    <row r="2568" spans="1:56" x14ac:dyDescent="0.35">
      <c r="A2568">
        <v>5471089</v>
      </c>
      <c r="B2568" t="s">
        <v>1936</v>
      </c>
      <c r="D2568" t="s">
        <v>85</v>
      </c>
      <c r="E2568" t="s">
        <v>86</v>
      </c>
      <c r="F2568" t="s">
        <v>58</v>
      </c>
      <c r="G2568" t="s">
        <v>59</v>
      </c>
      <c r="H2568" t="s">
        <v>60</v>
      </c>
      <c r="J2568" t="s">
        <v>86</v>
      </c>
      <c r="L2568" t="s">
        <v>62</v>
      </c>
      <c r="M2568" t="s">
        <v>63</v>
      </c>
      <c r="N2568" t="s">
        <v>64</v>
      </c>
      <c r="O2568">
        <v>4</v>
      </c>
      <c r="P2568" t="s">
        <v>100</v>
      </c>
      <c r="Q2568" t="s">
        <v>153</v>
      </c>
      <c r="R2568">
        <v>100</v>
      </c>
      <c r="W2568" t="s">
        <v>66</v>
      </c>
      <c r="X2568" t="s">
        <v>67</v>
      </c>
      <c r="Y2568" t="s">
        <v>67</v>
      </c>
      <c r="Z2568" t="s">
        <v>68</v>
      </c>
      <c r="AB2568">
        <v>4</v>
      </c>
      <c r="AC2568" t="s">
        <v>61</v>
      </c>
      <c r="AJ2568" t="s">
        <v>69</v>
      </c>
      <c r="AY2568" t="s">
        <v>173</v>
      </c>
      <c r="AZ2568">
        <v>167113</v>
      </c>
      <c r="BA2568" t="s">
        <v>174</v>
      </c>
      <c r="BB2568" t="s">
        <v>175</v>
      </c>
      <c r="BC2568">
        <v>1974</v>
      </c>
      <c r="BD2568" t="s">
        <v>90</v>
      </c>
    </row>
    <row r="2569" spans="1:56" x14ac:dyDescent="0.35">
      <c r="A2569">
        <v>5538943</v>
      </c>
      <c r="B2569" t="s">
        <v>1937</v>
      </c>
      <c r="E2569">
        <v>50</v>
      </c>
      <c r="F2569" t="s">
        <v>58</v>
      </c>
      <c r="G2569" t="s">
        <v>59</v>
      </c>
      <c r="H2569" t="s">
        <v>60</v>
      </c>
      <c r="J2569" t="s">
        <v>86</v>
      </c>
      <c r="L2569" t="s">
        <v>62</v>
      </c>
      <c r="M2569" t="s">
        <v>63</v>
      </c>
      <c r="N2569" t="s">
        <v>64</v>
      </c>
      <c r="R2569">
        <v>5.2</v>
      </c>
      <c r="W2569" t="s">
        <v>66</v>
      </c>
      <c r="X2569" t="s">
        <v>67</v>
      </c>
      <c r="Y2569" t="s">
        <v>67</v>
      </c>
      <c r="Z2569" t="s">
        <v>68</v>
      </c>
      <c r="AB2569">
        <v>4</v>
      </c>
      <c r="AC2569" t="s">
        <v>61</v>
      </c>
      <c r="AJ2569" t="s">
        <v>69</v>
      </c>
      <c r="AY2569" t="s">
        <v>116</v>
      </c>
      <c r="AZ2569">
        <v>344</v>
      </c>
      <c r="BA2569" t="s">
        <v>117</v>
      </c>
      <c r="BB2569" t="s">
        <v>118</v>
      </c>
      <c r="BC2569">
        <v>1992</v>
      </c>
      <c r="BD2569" t="s">
        <v>90</v>
      </c>
    </row>
    <row r="2570" spans="1:56" x14ac:dyDescent="0.35">
      <c r="A2570">
        <v>5598130</v>
      </c>
      <c r="B2570" t="s">
        <v>1938</v>
      </c>
      <c r="E2570">
        <v>98</v>
      </c>
      <c r="F2570" t="s">
        <v>58</v>
      </c>
      <c r="G2570" t="s">
        <v>59</v>
      </c>
      <c r="H2570" t="s">
        <v>60</v>
      </c>
      <c r="J2570" t="s">
        <v>86</v>
      </c>
      <c r="L2570" t="s">
        <v>62</v>
      </c>
      <c r="M2570" t="s">
        <v>63</v>
      </c>
      <c r="N2570" t="s">
        <v>64</v>
      </c>
      <c r="P2570" t="s">
        <v>65</v>
      </c>
      <c r="R2570">
        <v>0.67800000000000005</v>
      </c>
      <c r="T2570">
        <v>0.54200000000000004</v>
      </c>
      <c r="V2570">
        <v>0.84599999999999997</v>
      </c>
      <c r="W2570" t="s">
        <v>66</v>
      </c>
      <c r="X2570" t="s">
        <v>67</v>
      </c>
      <c r="Y2570" t="s">
        <v>67</v>
      </c>
      <c r="Z2570" t="s">
        <v>68</v>
      </c>
      <c r="AB2570">
        <v>4</v>
      </c>
      <c r="AC2570" t="s">
        <v>61</v>
      </c>
      <c r="AJ2570" t="s">
        <v>69</v>
      </c>
      <c r="AY2570" t="s">
        <v>96</v>
      </c>
      <c r="AZ2570">
        <v>6797</v>
      </c>
      <c r="BA2570" t="s">
        <v>97</v>
      </c>
      <c r="BB2570" t="s">
        <v>98</v>
      </c>
      <c r="BC2570">
        <v>1986</v>
      </c>
      <c r="BD2570" t="s">
        <v>90</v>
      </c>
    </row>
    <row r="2571" spans="1:56" x14ac:dyDescent="0.35">
      <c r="A2571">
        <v>5598527</v>
      </c>
      <c r="B2571" t="s">
        <v>1939</v>
      </c>
      <c r="E2571">
        <v>99</v>
      </c>
      <c r="F2571" t="s">
        <v>58</v>
      </c>
      <c r="G2571" t="s">
        <v>59</v>
      </c>
      <c r="H2571" t="s">
        <v>60</v>
      </c>
      <c r="J2571" t="s">
        <v>86</v>
      </c>
      <c r="L2571" t="s">
        <v>62</v>
      </c>
      <c r="M2571" t="s">
        <v>63</v>
      </c>
      <c r="N2571" t="s">
        <v>64</v>
      </c>
      <c r="P2571" t="s">
        <v>65</v>
      </c>
      <c r="R2571">
        <v>2.0999999999999999E-3</v>
      </c>
      <c r="T2571">
        <v>1.4E-3</v>
      </c>
      <c r="V2571">
        <v>3.0999999999999999E-3</v>
      </c>
      <c r="W2571" t="s">
        <v>66</v>
      </c>
      <c r="X2571" t="s">
        <v>67</v>
      </c>
      <c r="Y2571" t="s">
        <v>67</v>
      </c>
      <c r="Z2571" t="s">
        <v>68</v>
      </c>
      <c r="AB2571">
        <v>4</v>
      </c>
      <c r="AC2571" t="s">
        <v>61</v>
      </c>
      <c r="AJ2571" t="s">
        <v>69</v>
      </c>
      <c r="AY2571" t="s">
        <v>96</v>
      </c>
      <c r="AZ2571">
        <v>6797</v>
      </c>
      <c r="BA2571" t="s">
        <v>97</v>
      </c>
      <c r="BB2571" t="s">
        <v>98</v>
      </c>
      <c r="BC2571">
        <v>1986</v>
      </c>
      <c r="BD2571" t="s">
        <v>90</v>
      </c>
    </row>
    <row r="2572" spans="1:56" x14ac:dyDescent="0.35">
      <c r="A2572">
        <v>5600215</v>
      </c>
      <c r="B2572" t="s">
        <v>1940</v>
      </c>
      <c r="D2572" t="s">
        <v>57</v>
      </c>
      <c r="E2572">
        <v>98</v>
      </c>
      <c r="F2572" t="s">
        <v>58</v>
      </c>
      <c r="G2572" t="s">
        <v>59</v>
      </c>
      <c r="H2572" t="s">
        <v>60</v>
      </c>
      <c r="J2572">
        <v>29</v>
      </c>
      <c r="K2572" t="s">
        <v>61</v>
      </c>
      <c r="L2572" t="s">
        <v>74</v>
      </c>
      <c r="M2572" t="s">
        <v>63</v>
      </c>
      <c r="N2572" t="s">
        <v>64</v>
      </c>
      <c r="P2572" t="s">
        <v>65</v>
      </c>
      <c r="R2572">
        <v>136</v>
      </c>
      <c r="T2572">
        <v>127</v>
      </c>
      <c r="V2572">
        <v>146</v>
      </c>
      <c r="W2572" t="s">
        <v>66</v>
      </c>
      <c r="X2572" t="s">
        <v>67</v>
      </c>
      <c r="Y2572" t="s">
        <v>67</v>
      </c>
      <c r="Z2572" t="s">
        <v>68</v>
      </c>
      <c r="AB2572">
        <v>4</v>
      </c>
      <c r="AC2572" t="s">
        <v>61</v>
      </c>
      <c r="AJ2572" t="s">
        <v>69</v>
      </c>
      <c r="AY2572" t="s">
        <v>263</v>
      </c>
      <c r="AZ2572">
        <v>12858</v>
      </c>
      <c r="BA2572" t="s">
        <v>264</v>
      </c>
      <c r="BB2572" t="s">
        <v>265</v>
      </c>
      <c r="BC2572">
        <v>1986</v>
      </c>
      <c r="BD2572" t="s">
        <v>73</v>
      </c>
    </row>
    <row r="2573" spans="1:56" x14ac:dyDescent="0.35">
      <c r="A2573">
        <v>5600215</v>
      </c>
      <c r="B2573" t="s">
        <v>1940</v>
      </c>
      <c r="D2573" t="s">
        <v>57</v>
      </c>
      <c r="E2573">
        <v>98</v>
      </c>
      <c r="F2573" t="s">
        <v>58</v>
      </c>
      <c r="G2573" t="s">
        <v>59</v>
      </c>
      <c r="H2573" t="s">
        <v>60</v>
      </c>
      <c r="J2573">
        <v>31</v>
      </c>
      <c r="K2573" t="s">
        <v>61</v>
      </c>
      <c r="L2573" t="s">
        <v>74</v>
      </c>
      <c r="M2573" t="s">
        <v>63</v>
      </c>
      <c r="N2573" t="s">
        <v>64</v>
      </c>
      <c r="P2573" t="s">
        <v>65</v>
      </c>
      <c r="R2573">
        <v>147</v>
      </c>
      <c r="T2573">
        <v>139</v>
      </c>
      <c r="V2573">
        <v>155</v>
      </c>
      <c r="W2573" t="s">
        <v>66</v>
      </c>
      <c r="X2573" t="s">
        <v>67</v>
      </c>
      <c r="Y2573" t="s">
        <v>67</v>
      </c>
      <c r="Z2573" t="s">
        <v>68</v>
      </c>
      <c r="AB2573">
        <v>4</v>
      </c>
      <c r="AC2573" t="s">
        <v>61</v>
      </c>
      <c r="AJ2573" t="s">
        <v>69</v>
      </c>
      <c r="AY2573" t="s">
        <v>263</v>
      </c>
      <c r="AZ2573">
        <v>12858</v>
      </c>
      <c r="BA2573" t="s">
        <v>264</v>
      </c>
      <c r="BB2573" t="s">
        <v>265</v>
      </c>
      <c r="BC2573">
        <v>1986</v>
      </c>
      <c r="BD2573" t="s">
        <v>73</v>
      </c>
    </row>
    <row r="2574" spans="1:56" x14ac:dyDescent="0.35">
      <c r="A2574">
        <v>5610640</v>
      </c>
      <c r="B2574" t="s">
        <v>1941</v>
      </c>
      <c r="D2574" t="s">
        <v>85</v>
      </c>
      <c r="E2574">
        <v>15</v>
      </c>
      <c r="F2574" t="s">
        <v>58</v>
      </c>
      <c r="G2574" t="s">
        <v>59</v>
      </c>
      <c r="H2574" t="s">
        <v>60</v>
      </c>
      <c r="J2574" t="s">
        <v>86</v>
      </c>
      <c r="L2574" t="s">
        <v>62</v>
      </c>
      <c r="M2574" t="s">
        <v>63</v>
      </c>
      <c r="N2574" t="s">
        <v>64</v>
      </c>
      <c r="P2574" t="s">
        <v>100</v>
      </c>
      <c r="R2574">
        <v>7</v>
      </c>
      <c r="W2574" t="s">
        <v>66</v>
      </c>
      <c r="X2574" t="s">
        <v>67</v>
      </c>
      <c r="Y2574" t="s">
        <v>67</v>
      </c>
      <c r="Z2574" t="s">
        <v>68</v>
      </c>
      <c r="AB2574">
        <v>4</v>
      </c>
      <c r="AC2574" t="s">
        <v>61</v>
      </c>
      <c r="AJ2574" t="s">
        <v>69</v>
      </c>
      <c r="AY2574" t="s">
        <v>1246</v>
      </c>
      <c r="AZ2574">
        <v>6969</v>
      </c>
      <c r="BA2574" t="s">
        <v>1247</v>
      </c>
      <c r="BB2574" t="s">
        <v>1248</v>
      </c>
      <c r="BC2574">
        <v>1973</v>
      </c>
      <c r="BD2574" t="s">
        <v>90</v>
      </c>
    </row>
    <row r="2575" spans="1:56" x14ac:dyDescent="0.35">
      <c r="A2575">
        <v>5610640</v>
      </c>
      <c r="B2575" t="s">
        <v>1941</v>
      </c>
      <c r="D2575" t="s">
        <v>85</v>
      </c>
      <c r="E2575" t="s">
        <v>86</v>
      </c>
      <c r="F2575" t="s">
        <v>58</v>
      </c>
      <c r="G2575" t="s">
        <v>59</v>
      </c>
      <c r="H2575" t="s">
        <v>60</v>
      </c>
      <c r="J2575" t="s">
        <v>86</v>
      </c>
      <c r="L2575" t="s">
        <v>62</v>
      </c>
      <c r="M2575" t="s">
        <v>63</v>
      </c>
      <c r="N2575" t="s">
        <v>64</v>
      </c>
      <c r="P2575" t="s">
        <v>100</v>
      </c>
      <c r="R2575">
        <v>6.2</v>
      </c>
      <c r="W2575" t="s">
        <v>66</v>
      </c>
      <c r="X2575" t="s">
        <v>67</v>
      </c>
      <c r="Y2575" t="s">
        <v>67</v>
      </c>
      <c r="Z2575" t="s">
        <v>68</v>
      </c>
      <c r="AB2575">
        <v>4</v>
      </c>
      <c r="AC2575" t="s">
        <v>61</v>
      </c>
      <c r="AJ2575" t="s">
        <v>69</v>
      </c>
      <c r="AY2575" t="s">
        <v>1243</v>
      </c>
      <c r="AZ2575">
        <v>5789</v>
      </c>
      <c r="BA2575" t="s">
        <v>1244</v>
      </c>
      <c r="BB2575" t="s">
        <v>1245</v>
      </c>
      <c r="BC2575">
        <v>1974</v>
      </c>
      <c r="BD2575" t="s">
        <v>90</v>
      </c>
    </row>
    <row r="2576" spans="1:56" x14ac:dyDescent="0.35">
      <c r="A2576">
        <v>5673074</v>
      </c>
      <c r="B2576" t="s">
        <v>1942</v>
      </c>
      <c r="E2576" t="s">
        <v>86</v>
      </c>
      <c r="F2576" t="s">
        <v>58</v>
      </c>
      <c r="G2576" t="s">
        <v>59</v>
      </c>
      <c r="H2576" t="s">
        <v>60</v>
      </c>
      <c r="I2576" t="s">
        <v>129</v>
      </c>
      <c r="J2576" t="s">
        <v>86</v>
      </c>
      <c r="K2576" t="s">
        <v>61</v>
      </c>
      <c r="L2576" t="s">
        <v>74</v>
      </c>
      <c r="M2576" t="s">
        <v>63</v>
      </c>
      <c r="N2576" t="s">
        <v>64</v>
      </c>
      <c r="P2576" t="s">
        <v>100</v>
      </c>
      <c r="R2576">
        <v>20.2</v>
      </c>
      <c r="T2576">
        <v>13.8</v>
      </c>
      <c r="V2576">
        <v>29.7</v>
      </c>
      <c r="W2576" t="s">
        <v>66</v>
      </c>
      <c r="X2576" t="s">
        <v>67</v>
      </c>
      <c r="Y2576" t="s">
        <v>67</v>
      </c>
      <c r="Z2576" t="s">
        <v>68</v>
      </c>
      <c r="AB2576">
        <v>4</v>
      </c>
      <c r="AC2576" t="s">
        <v>61</v>
      </c>
      <c r="AJ2576" t="s">
        <v>69</v>
      </c>
      <c r="AY2576" t="s">
        <v>422</v>
      </c>
      <c r="AZ2576">
        <v>14128</v>
      </c>
      <c r="BA2576" t="s">
        <v>423</v>
      </c>
      <c r="BB2576" t="s">
        <v>424</v>
      </c>
      <c r="BC2576">
        <v>1985</v>
      </c>
      <c r="BD2576" t="s">
        <v>833</v>
      </c>
    </row>
    <row r="2577" spans="1:56" x14ac:dyDescent="0.35">
      <c r="A2577">
        <v>5673074</v>
      </c>
      <c r="B2577" t="s">
        <v>1942</v>
      </c>
      <c r="D2577" t="s">
        <v>57</v>
      </c>
      <c r="E2577">
        <v>99</v>
      </c>
      <c r="F2577" t="s">
        <v>58</v>
      </c>
      <c r="G2577" t="s">
        <v>59</v>
      </c>
      <c r="H2577" t="s">
        <v>60</v>
      </c>
      <c r="J2577">
        <v>31</v>
      </c>
      <c r="K2577" t="s">
        <v>61</v>
      </c>
      <c r="L2577" t="s">
        <v>74</v>
      </c>
      <c r="M2577" t="s">
        <v>63</v>
      </c>
      <c r="N2577" t="s">
        <v>64</v>
      </c>
      <c r="P2577" t="s">
        <v>65</v>
      </c>
      <c r="R2577">
        <v>20.2</v>
      </c>
      <c r="W2577" t="s">
        <v>66</v>
      </c>
      <c r="X2577" t="s">
        <v>67</v>
      </c>
      <c r="Y2577" t="s">
        <v>67</v>
      </c>
      <c r="Z2577" t="s">
        <v>68</v>
      </c>
      <c r="AB2577">
        <v>4</v>
      </c>
      <c r="AC2577" t="s">
        <v>61</v>
      </c>
      <c r="AJ2577" t="s">
        <v>69</v>
      </c>
      <c r="AY2577" t="s">
        <v>80</v>
      </c>
      <c r="AZ2577">
        <v>12859</v>
      </c>
      <c r="BA2577" t="s">
        <v>81</v>
      </c>
      <c r="BB2577" t="s">
        <v>82</v>
      </c>
      <c r="BC2577">
        <v>1988</v>
      </c>
      <c r="BD2577" t="s">
        <v>73</v>
      </c>
    </row>
    <row r="2578" spans="1:56" x14ac:dyDescent="0.35">
      <c r="A2578">
        <v>5683330</v>
      </c>
      <c r="B2578" t="s">
        <v>1943</v>
      </c>
      <c r="D2578" t="s">
        <v>57</v>
      </c>
      <c r="E2578">
        <v>97</v>
      </c>
      <c r="F2578" t="s">
        <v>58</v>
      </c>
      <c r="G2578" t="s">
        <v>59</v>
      </c>
      <c r="H2578" t="s">
        <v>60</v>
      </c>
      <c r="J2578">
        <v>31</v>
      </c>
      <c r="K2578" t="s">
        <v>61</v>
      </c>
      <c r="L2578" t="s">
        <v>74</v>
      </c>
      <c r="M2578" t="s">
        <v>63</v>
      </c>
      <c r="N2578" t="s">
        <v>64</v>
      </c>
      <c r="P2578" t="s">
        <v>65</v>
      </c>
      <c r="R2578">
        <v>127</v>
      </c>
      <c r="W2578" t="s">
        <v>66</v>
      </c>
      <c r="X2578" t="s">
        <v>67</v>
      </c>
      <c r="Y2578" t="s">
        <v>67</v>
      </c>
      <c r="Z2578" t="s">
        <v>68</v>
      </c>
      <c r="AB2578">
        <v>4</v>
      </c>
      <c r="AC2578" t="s">
        <v>61</v>
      </c>
      <c r="AJ2578" t="s">
        <v>69</v>
      </c>
      <c r="AY2578" t="s">
        <v>263</v>
      </c>
      <c r="AZ2578">
        <v>12858</v>
      </c>
      <c r="BA2578" t="s">
        <v>264</v>
      </c>
      <c r="BB2578" t="s">
        <v>265</v>
      </c>
      <c r="BC2578">
        <v>1986</v>
      </c>
      <c r="BD2578" t="s">
        <v>73</v>
      </c>
    </row>
    <row r="2579" spans="1:56" x14ac:dyDescent="0.35">
      <c r="A2579">
        <v>5742176</v>
      </c>
      <c r="B2579" t="s">
        <v>1944</v>
      </c>
      <c r="E2579">
        <v>48.7</v>
      </c>
      <c r="F2579" t="s">
        <v>58</v>
      </c>
      <c r="G2579" t="s">
        <v>59</v>
      </c>
      <c r="H2579" t="s">
        <v>60</v>
      </c>
      <c r="J2579" t="s">
        <v>86</v>
      </c>
      <c r="L2579" t="s">
        <v>62</v>
      </c>
      <c r="M2579" t="s">
        <v>63</v>
      </c>
      <c r="N2579" t="s">
        <v>64</v>
      </c>
      <c r="P2579" t="s">
        <v>100</v>
      </c>
      <c r="R2579">
        <v>2180</v>
      </c>
      <c r="T2579">
        <v>1910</v>
      </c>
      <c r="V2579">
        <v>2500</v>
      </c>
      <c r="W2579" t="s">
        <v>66</v>
      </c>
      <c r="X2579" t="s">
        <v>67</v>
      </c>
      <c r="Y2579" t="s">
        <v>67</v>
      </c>
      <c r="Z2579" t="s">
        <v>68</v>
      </c>
      <c r="AB2579">
        <v>4</v>
      </c>
      <c r="AC2579" t="s">
        <v>61</v>
      </c>
      <c r="AJ2579" t="s">
        <v>69</v>
      </c>
      <c r="AY2579" t="s">
        <v>116</v>
      </c>
      <c r="AZ2579">
        <v>344</v>
      </c>
      <c r="BA2579" t="s">
        <v>117</v>
      </c>
      <c r="BB2579" t="s">
        <v>118</v>
      </c>
      <c r="BC2579">
        <v>1992</v>
      </c>
      <c r="BD2579" t="s">
        <v>90</v>
      </c>
    </row>
    <row r="2580" spans="1:56" x14ac:dyDescent="0.35">
      <c r="A2580">
        <v>5813649</v>
      </c>
      <c r="B2580" t="s">
        <v>1945</v>
      </c>
      <c r="D2580" t="s">
        <v>57</v>
      </c>
      <c r="E2580">
        <v>98</v>
      </c>
      <c r="F2580" t="s">
        <v>58</v>
      </c>
      <c r="G2580" t="s">
        <v>59</v>
      </c>
      <c r="H2580" t="s">
        <v>60</v>
      </c>
      <c r="J2580">
        <v>31</v>
      </c>
      <c r="K2580" t="s">
        <v>61</v>
      </c>
      <c r="L2580" t="s">
        <v>74</v>
      </c>
      <c r="M2580" t="s">
        <v>63</v>
      </c>
      <c r="N2580" t="s">
        <v>64</v>
      </c>
      <c r="P2580" t="s">
        <v>65</v>
      </c>
      <c r="R2580">
        <v>475</v>
      </c>
      <c r="T2580">
        <v>456</v>
      </c>
      <c r="V2580">
        <v>495</v>
      </c>
      <c r="W2580" t="s">
        <v>66</v>
      </c>
      <c r="X2580" t="s">
        <v>67</v>
      </c>
      <c r="Y2580" t="s">
        <v>67</v>
      </c>
      <c r="Z2580" t="s">
        <v>68</v>
      </c>
      <c r="AB2580">
        <v>4</v>
      </c>
      <c r="AC2580" t="s">
        <v>61</v>
      </c>
      <c r="AJ2580" t="s">
        <v>69</v>
      </c>
      <c r="AY2580" t="s">
        <v>263</v>
      </c>
      <c r="AZ2580">
        <v>12858</v>
      </c>
      <c r="BA2580" t="s">
        <v>264</v>
      </c>
      <c r="BB2580" t="s">
        <v>265</v>
      </c>
      <c r="BC2580">
        <v>1986</v>
      </c>
      <c r="BD2580" t="s">
        <v>73</v>
      </c>
    </row>
    <row r="2581" spans="1:56" x14ac:dyDescent="0.35">
      <c r="A2581">
        <v>5835267</v>
      </c>
      <c r="B2581" t="s">
        <v>1946</v>
      </c>
      <c r="D2581" t="s">
        <v>57</v>
      </c>
      <c r="E2581" t="s">
        <v>79</v>
      </c>
      <c r="F2581" t="s">
        <v>58</v>
      </c>
      <c r="G2581" t="s">
        <v>59</v>
      </c>
      <c r="H2581" t="s">
        <v>60</v>
      </c>
      <c r="J2581" t="s">
        <v>86</v>
      </c>
      <c r="K2581" t="s">
        <v>61</v>
      </c>
      <c r="L2581" t="s">
        <v>74</v>
      </c>
      <c r="M2581" t="s">
        <v>63</v>
      </c>
      <c r="N2581" t="s">
        <v>64</v>
      </c>
      <c r="P2581" t="s">
        <v>65</v>
      </c>
      <c r="R2581">
        <v>0.87</v>
      </c>
      <c r="T2581">
        <v>0.76</v>
      </c>
      <c r="V2581">
        <v>1.01</v>
      </c>
      <c r="W2581" t="s">
        <v>66</v>
      </c>
      <c r="X2581" t="s">
        <v>67</v>
      </c>
      <c r="Y2581" t="s">
        <v>67</v>
      </c>
      <c r="Z2581" t="s">
        <v>68</v>
      </c>
      <c r="AB2581">
        <v>4</v>
      </c>
      <c r="AC2581" t="s">
        <v>61</v>
      </c>
      <c r="AJ2581" t="s">
        <v>69</v>
      </c>
      <c r="AY2581" t="s">
        <v>141</v>
      </c>
      <c r="AZ2581">
        <v>12447</v>
      </c>
      <c r="BA2581" t="s">
        <v>142</v>
      </c>
      <c r="BB2581" t="s">
        <v>143</v>
      </c>
      <c r="BC2581">
        <v>1985</v>
      </c>
      <c r="BD2581" t="s">
        <v>1559</v>
      </c>
    </row>
    <row r="2582" spans="1:56" x14ac:dyDescent="0.35">
      <c r="A2582">
        <v>5922601</v>
      </c>
      <c r="B2582" t="s">
        <v>1947</v>
      </c>
      <c r="D2582" t="s">
        <v>57</v>
      </c>
      <c r="E2582" t="s">
        <v>407</v>
      </c>
      <c r="F2582" t="s">
        <v>58</v>
      </c>
      <c r="G2582" t="s">
        <v>59</v>
      </c>
      <c r="H2582" t="s">
        <v>60</v>
      </c>
      <c r="J2582">
        <v>27</v>
      </c>
      <c r="K2582" t="s">
        <v>61</v>
      </c>
      <c r="L2582" t="s">
        <v>74</v>
      </c>
      <c r="M2582" t="s">
        <v>63</v>
      </c>
      <c r="N2582" t="s">
        <v>64</v>
      </c>
      <c r="P2582" t="s">
        <v>65</v>
      </c>
      <c r="R2582">
        <v>28.6</v>
      </c>
      <c r="T2582">
        <v>27.4</v>
      </c>
      <c r="V2582">
        <v>30</v>
      </c>
      <c r="W2582" t="s">
        <v>66</v>
      </c>
      <c r="X2582" t="s">
        <v>67</v>
      </c>
      <c r="Y2582" t="s">
        <v>67</v>
      </c>
      <c r="Z2582" t="s">
        <v>68</v>
      </c>
      <c r="AB2582">
        <v>4</v>
      </c>
      <c r="AC2582" t="s">
        <v>61</v>
      </c>
      <c r="AJ2582" t="s">
        <v>69</v>
      </c>
      <c r="AY2582" t="s">
        <v>286</v>
      </c>
      <c r="AZ2582">
        <v>12448</v>
      </c>
      <c r="BA2582" t="s">
        <v>287</v>
      </c>
      <c r="BB2582" t="s">
        <v>288</v>
      </c>
      <c r="BC2582">
        <v>1984</v>
      </c>
      <c r="BD2582" t="s">
        <v>73</v>
      </c>
    </row>
    <row r="2583" spans="1:56" x14ac:dyDescent="0.35">
      <c r="A2583">
        <v>5989275</v>
      </c>
      <c r="B2583" t="s">
        <v>1948</v>
      </c>
      <c r="D2583" t="s">
        <v>57</v>
      </c>
      <c r="E2583" t="s">
        <v>79</v>
      </c>
      <c r="F2583" t="s">
        <v>58</v>
      </c>
      <c r="G2583" t="s">
        <v>59</v>
      </c>
      <c r="H2583" t="s">
        <v>60</v>
      </c>
      <c r="I2583" t="s">
        <v>129</v>
      </c>
      <c r="J2583">
        <v>34</v>
      </c>
      <c r="K2583" t="s">
        <v>61</v>
      </c>
      <c r="L2583" t="s">
        <v>74</v>
      </c>
      <c r="M2583" t="s">
        <v>63</v>
      </c>
      <c r="N2583" t="s">
        <v>64</v>
      </c>
      <c r="O2583">
        <v>6</v>
      </c>
      <c r="P2583" t="s">
        <v>65</v>
      </c>
      <c r="R2583">
        <v>0.72</v>
      </c>
      <c r="T2583">
        <v>0.61799999999999999</v>
      </c>
      <c r="V2583">
        <v>0.83899999999999997</v>
      </c>
      <c r="W2583" t="s">
        <v>66</v>
      </c>
      <c r="X2583" t="s">
        <v>67</v>
      </c>
      <c r="Y2583" t="s">
        <v>67</v>
      </c>
      <c r="Z2583" t="s">
        <v>68</v>
      </c>
      <c r="AB2583">
        <v>4</v>
      </c>
      <c r="AC2583" t="s">
        <v>61</v>
      </c>
      <c r="AJ2583" t="s">
        <v>69</v>
      </c>
      <c r="AY2583" t="s">
        <v>884</v>
      </c>
      <c r="AZ2583">
        <v>97161</v>
      </c>
      <c r="BA2583" t="s">
        <v>885</v>
      </c>
      <c r="BB2583" t="s">
        <v>886</v>
      </c>
      <c r="BC2583">
        <v>1990</v>
      </c>
      <c r="BD2583" t="s">
        <v>73</v>
      </c>
    </row>
    <row r="2584" spans="1:56" x14ac:dyDescent="0.35">
      <c r="A2584">
        <v>5989275</v>
      </c>
      <c r="B2584" t="s">
        <v>1948</v>
      </c>
      <c r="D2584" t="s">
        <v>57</v>
      </c>
      <c r="E2584">
        <v>97</v>
      </c>
      <c r="F2584" t="s">
        <v>58</v>
      </c>
      <c r="G2584" t="s">
        <v>59</v>
      </c>
      <c r="H2584" t="s">
        <v>60</v>
      </c>
      <c r="J2584" t="s">
        <v>86</v>
      </c>
      <c r="K2584" t="s">
        <v>61</v>
      </c>
      <c r="L2584" t="s">
        <v>74</v>
      </c>
      <c r="M2584" t="s">
        <v>63</v>
      </c>
      <c r="N2584" t="s">
        <v>64</v>
      </c>
      <c r="P2584" t="s">
        <v>65</v>
      </c>
      <c r="R2584">
        <v>0.70199999999999996</v>
      </c>
      <c r="T2584">
        <v>0.61899999999999999</v>
      </c>
      <c r="V2584">
        <v>0.79600000000000004</v>
      </c>
      <c r="W2584" t="s">
        <v>66</v>
      </c>
      <c r="X2584" t="s">
        <v>67</v>
      </c>
      <c r="Y2584" t="s">
        <v>67</v>
      </c>
      <c r="Z2584" t="s">
        <v>68</v>
      </c>
      <c r="AB2584">
        <v>4</v>
      </c>
      <c r="AC2584" t="s">
        <v>61</v>
      </c>
      <c r="AJ2584" t="s">
        <v>69</v>
      </c>
      <c r="AY2584" t="s">
        <v>75</v>
      </c>
      <c r="AZ2584">
        <v>3217</v>
      </c>
      <c r="BA2584" t="s">
        <v>76</v>
      </c>
      <c r="BB2584" t="s">
        <v>77</v>
      </c>
      <c r="BC2584">
        <v>1990</v>
      </c>
      <c r="BD2584" t="s">
        <v>1559</v>
      </c>
    </row>
    <row r="2585" spans="1:56" x14ac:dyDescent="0.35">
      <c r="A2585">
        <v>6175491</v>
      </c>
      <c r="B2585" t="s">
        <v>1949</v>
      </c>
      <c r="D2585" t="s">
        <v>57</v>
      </c>
      <c r="E2585">
        <v>99</v>
      </c>
      <c r="F2585" t="s">
        <v>58</v>
      </c>
      <c r="G2585" t="s">
        <v>59</v>
      </c>
      <c r="H2585" t="s">
        <v>60</v>
      </c>
      <c r="J2585">
        <v>33</v>
      </c>
      <c r="K2585" t="s">
        <v>61</v>
      </c>
      <c r="L2585" t="s">
        <v>74</v>
      </c>
      <c r="M2585" t="s">
        <v>63</v>
      </c>
      <c r="N2585" t="s">
        <v>64</v>
      </c>
      <c r="P2585" t="s">
        <v>65</v>
      </c>
      <c r="R2585">
        <v>1.18</v>
      </c>
      <c r="T2585">
        <v>1.02</v>
      </c>
      <c r="V2585">
        <v>1.37</v>
      </c>
      <c r="W2585" t="s">
        <v>66</v>
      </c>
      <c r="X2585" t="s">
        <v>67</v>
      </c>
      <c r="Y2585" t="s">
        <v>67</v>
      </c>
      <c r="Z2585" t="s">
        <v>68</v>
      </c>
      <c r="AB2585">
        <v>4</v>
      </c>
      <c r="AC2585" t="s">
        <v>61</v>
      </c>
      <c r="AJ2585" t="s">
        <v>69</v>
      </c>
      <c r="AY2585" t="s">
        <v>80</v>
      </c>
      <c r="AZ2585">
        <v>12859</v>
      </c>
      <c r="BA2585" t="s">
        <v>81</v>
      </c>
      <c r="BB2585" t="s">
        <v>82</v>
      </c>
      <c r="BC2585">
        <v>1988</v>
      </c>
      <c r="BD2585" t="s">
        <v>73</v>
      </c>
    </row>
    <row r="2586" spans="1:56" x14ac:dyDescent="0.35">
      <c r="A2586">
        <v>6203185</v>
      </c>
      <c r="B2586" t="s">
        <v>1950</v>
      </c>
      <c r="D2586" t="s">
        <v>57</v>
      </c>
      <c r="E2586">
        <v>98</v>
      </c>
      <c r="F2586" t="s">
        <v>58</v>
      </c>
      <c r="G2586" t="s">
        <v>59</v>
      </c>
      <c r="H2586" t="s">
        <v>60</v>
      </c>
      <c r="J2586">
        <v>33</v>
      </c>
      <c r="K2586" t="s">
        <v>61</v>
      </c>
      <c r="L2586" t="s">
        <v>74</v>
      </c>
      <c r="M2586" t="s">
        <v>63</v>
      </c>
      <c r="N2586" t="s">
        <v>64</v>
      </c>
      <c r="P2586" t="s">
        <v>65</v>
      </c>
      <c r="R2586">
        <v>5.9</v>
      </c>
      <c r="T2586">
        <v>5.38</v>
      </c>
      <c r="V2586">
        <v>6.47</v>
      </c>
      <c r="W2586" t="s">
        <v>66</v>
      </c>
      <c r="X2586" t="s">
        <v>67</v>
      </c>
      <c r="Y2586" t="s">
        <v>67</v>
      </c>
      <c r="Z2586" t="s">
        <v>68</v>
      </c>
      <c r="AB2586">
        <v>4</v>
      </c>
      <c r="AC2586" t="s">
        <v>61</v>
      </c>
      <c r="AJ2586" t="s">
        <v>69</v>
      </c>
      <c r="AY2586" t="s">
        <v>141</v>
      </c>
      <c r="AZ2586">
        <v>12447</v>
      </c>
      <c r="BA2586" t="s">
        <v>142</v>
      </c>
      <c r="BB2586" t="s">
        <v>143</v>
      </c>
      <c r="BC2586">
        <v>1985</v>
      </c>
      <c r="BD2586" t="s">
        <v>73</v>
      </c>
    </row>
    <row r="2587" spans="1:56" x14ac:dyDescent="0.35">
      <c r="A2587">
        <v>6266235</v>
      </c>
      <c r="B2587" t="s">
        <v>1951</v>
      </c>
      <c r="D2587" t="s">
        <v>57</v>
      </c>
      <c r="E2587">
        <v>98</v>
      </c>
      <c r="F2587" t="s">
        <v>58</v>
      </c>
      <c r="G2587" t="s">
        <v>59</v>
      </c>
      <c r="H2587" t="s">
        <v>60</v>
      </c>
      <c r="J2587">
        <v>28</v>
      </c>
      <c r="K2587" t="s">
        <v>61</v>
      </c>
      <c r="L2587" t="s">
        <v>74</v>
      </c>
      <c r="M2587" t="s">
        <v>63</v>
      </c>
      <c r="N2587" t="s">
        <v>64</v>
      </c>
      <c r="P2587" t="s">
        <v>65</v>
      </c>
      <c r="R2587">
        <v>162</v>
      </c>
      <c r="T2587">
        <v>143</v>
      </c>
      <c r="V2587">
        <v>184</v>
      </c>
      <c r="W2587" t="s">
        <v>66</v>
      </c>
      <c r="X2587" t="s">
        <v>67</v>
      </c>
      <c r="Y2587" t="s">
        <v>67</v>
      </c>
      <c r="Z2587" t="s">
        <v>68</v>
      </c>
      <c r="AB2587">
        <v>4</v>
      </c>
      <c r="AC2587" t="s">
        <v>61</v>
      </c>
      <c r="AJ2587" t="s">
        <v>69</v>
      </c>
      <c r="AY2587" t="s">
        <v>80</v>
      </c>
      <c r="AZ2587">
        <v>12859</v>
      </c>
      <c r="BA2587" t="s">
        <v>81</v>
      </c>
      <c r="BB2587" t="s">
        <v>82</v>
      </c>
      <c r="BC2587">
        <v>1988</v>
      </c>
      <c r="BD2587" t="s">
        <v>73</v>
      </c>
    </row>
    <row r="2588" spans="1:56" x14ac:dyDescent="0.35">
      <c r="A2588">
        <v>6284839</v>
      </c>
      <c r="B2588" t="s">
        <v>1952</v>
      </c>
      <c r="D2588" t="s">
        <v>57</v>
      </c>
      <c r="E2588" t="s">
        <v>86</v>
      </c>
      <c r="F2588" t="s">
        <v>58</v>
      </c>
      <c r="G2588" t="s">
        <v>59</v>
      </c>
      <c r="H2588" t="s">
        <v>60</v>
      </c>
      <c r="J2588">
        <v>33</v>
      </c>
      <c r="K2588" t="s">
        <v>61</v>
      </c>
      <c r="L2588" t="s">
        <v>74</v>
      </c>
      <c r="M2588" t="s">
        <v>63</v>
      </c>
      <c r="N2588" t="s">
        <v>64</v>
      </c>
      <c r="P2588" t="s">
        <v>65</v>
      </c>
      <c r="R2588">
        <v>0.222</v>
      </c>
      <c r="W2588" t="s">
        <v>66</v>
      </c>
      <c r="X2588" t="s">
        <v>67</v>
      </c>
      <c r="Y2588" t="s">
        <v>67</v>
      </c>
      <c r="Z2588" t="s">
        <v>68</v>
      </c>
      <c r="AB2588">
        <v>4</v>
      </c>
      <c r="AC2588" t="s">
        <v>61</v>
      </c>
      <c r="AJ2588" t="s">
        <v>69</v>
      </c>
      <c r="AY2588" t="s">
        <v>286</v>
      </c>
      <c r="AZ2588">
        <v>12448</v>
      </c>
      <c r="BA2588" t="s">
        <v>287</v>
      </c>
      <c r="BB2588" t="s">
        <v>288</v>
      </c>
      <c r="BC2588">
        <v>1984</v>
      </c>
      <c r="BD2588" t="s">
        <v>73</v>
      </c>
    </row>
    <row r="2589" spans="1:56" x14ac:dyDescent="0.35">
      <c r="A2589">
        <v>6359984</v>
      </c>
      <c r="B2589" t="s">
        <v>1953</v>
      </c>
      <c r="D2589" t="s">
        <v>85</v>
      </c>
      <c r="E2589">
        <v>15</v>
      </c>
      <c r="F2589" t="s">
        <v>58</v>
      </c>
      <c r="G2589" t="s">
        <v>59</v>
      </c>
      <c r="H2589" t="s">
        <v>60</v>
      </c>
      <c r="J2589" t="s">
        <v>86</v>
      </c>
      <c r="L2589" t="s">
        <v>62</v>
      </c>
      <c r="M2589" t="s">
        <v>63</v>
      </c>
      <c r="N2589" t="s">
        <v>64</v>
      </c>
      <c r="P2589" t="s">
        <v>100</v>
      </c>
      <c r="Q2589" t="s">
        <v>153</v>
      </c>
      <c r="R2589">
        <v>180</v>
      </c>
      <c r="W2589" t="s">
        <v>66</v>
      </c>
      <c r="X2589" t="s">
        <v>67</v>
      </c>
      <c r="Y2589" t="s">
        <v>67</v>
      </c>
      <c r="Z2589" t="s">
        <v>68</v>
      </c>
      <c r="AB2589">
        <v>4</v>
      </c>
      <c r="AC2589" t="s">
        <v>61</v>
      </c>
      <c r="AJ2589" t="s">
        <v>69</v>
      </c>
      <c r="AY2589" t="s">
        <v>1246</v>
      </c>
      <c r="AZ2589">
        <v>6969</v>
      </c>
      <c r="BA2589" t="s">
        <v>1247</v>
      </c>
      <c r="BB2589" t="s">
        <v>1248</v>
      </c>
      <c r="BC2589">
        <v>1973</v>
      </c>
      <c r="BD2589" t="s">
        <v>90</v>
      </c>
    </row>
    <row r="2590" spans="1:56" x14ac:dyDescent="0.35">
      <c r="A2590">
        <v>6359984</v>
      </c>
      <c r="B2590" t="s">
        <v>1953</v>
      </c>
      <c r="D2590" t="s">
        <v>85</v>
      </c>
      <c r="E2590" t="s">
        <v>86</v>
      </c>
      <c r="F2590" t="s">
        <v>58</v>
      </c>
      <c r="G2590" t="s">
        <v>59</v>
      </c>
      <c r="H2590" t="s">
        <v>60</v>
      </c>
      <c r="J2590" t="s">
        <v>86</v>
      </c>
      <c r="L2590" t="s">
        <v>62</v>
      </c>
      <c r="M2590" t="s">
        <v>63</v>
      </c>
      <c r="N2590" t="s">
        <v>64</v>
      </c>
      <c r="P2590" t="s">
        <v>100</v>
      </c>
      <c r="Q2590" t="s">
        <v>153</v>
      </c>
      <c r="R2590">
        <v>180</v>
      </c>
      <c r="W2590" t="s">
        <v>66</v>
      </c>
      <c r="X2590" t="s">
        <v>67</v>
      </c>
      <c r="Y2590" t="s">
        <v>67</v>
      </c>
      <c r="Z2590" t="s">
        <v>68</v>
      </c>
      <c r="AB2590">
        <v>4</v>
      </c>
      <c r="AC2590" t="s">
        <v>61</v>
      </c>
      <c r="AJ2590" t="s">
        <v>69</v>
      </c>
      <c r="AY2590" t="s">
        <v>1243</v>
      </c>
      <c r="AZ2590">
        <v>5789</v>
      </c>
      <c r="BA2590" t="s">
        <v>1244</v>
      </c>
      <c r="BB2590" t="s">
        <v>1245</v>
      </c>
      <c r="BC2590">
        <v>1974</v>
      </c>
      <c r="BD2590" t="s">
        <v>90</v>
      </c>
    </row>
    <row r="2591" spans="1:56" x14ac:dyDescent="0.35">
      <c r="A2591">
        <v>6361213</v>
      </c>
      <c r="B2591" t="s">
        <v>1954</v>
      </c>
      <c r="D2591" t="s">
        <v>57</v>
      </c>
      <c r="E2591">
        <v>96</v>
      </c>
      <c r="F2591" t="s">
        <v>58</v>
      </c>
      <c r="G2591" t="s">
        <v>59</v>
      </c>
      <c r="H2591" t="s">
        <v>60</v>
      </c>
      <c r="J2591">
        <v>31</v>
      </c>
      <c r="K2591" t="s">
        <v>61</v>
      </c>
      <c r="L2591" t="s">
        <v>74</v>
      </c>
      <c r="M2591" t="s">
        <v>63</v>
      </c>
      <c r="N2591" t="s">
        <v>64</v>
      </c>
      <c r="P2591" t="s">
        <v>65</v>
      </c>
      <c r="R2591">
        <v>3.24</v>
      </c>
      <c r="T2591">
        <v>3.01</v>
      </c>
      <c r="V2591">
        <v>3.48</v>
      </c>
      <c r="W2591" t="s">
        <v>66</v>
      </c>
      <c r="X2591" t="s">
        <v>67</v>
      </c>
      <c r="Y2591" t="s">
        <v>67</v>
      </c>
      <c r="Z2591" t="s">
        <v>68</v>
      </c>
      <c r="AB2591">
        <v>4</v>
      </c>
      <c r="AC2591" t="s">
        <v>61</v>
      </c>
      <c r="AJ2591" t="s">
        <v>69</v>
      </c>
      <c r="AY2591" t="s">
        <v>286</v>
      </c>
      <c r="AZ2591">
        <v>12448</v>
      </c>
      <c r="BA2591" t="s">
        <v>287</v>
      </c>
      <c r="BB2591" t="s">
        <v>288</v>
      </c>
      <c r="BC2591">
        <v>1984</v>
      </c>
      <c r="BD2591" t="s">
        <v>73</v>
      </c>
    </row>
    <row r="2592" spans="1:56" x14ac:dyDescent="0.35">
      <c r="A2592">
        <v>6361213</v>
      </c>
      <c r="B2592" t="s">
        <v>1954</v>
      </c>
      <c r="D2592" t="s">
        <v>57</v>
      </c>
      <c r="E2592">
        <v>96</v>
      </c>
      <c r="F2592" t="s">
        <v>58</v>
      </c>
      <c r="G2592" t="s">
        <v>59</v>
      </c>
      <c r="H2592" t="s">
        <v>60</v>
      </c>
      <c r="J2592">
        <v>30</v>
      </c>
      <c r="K2592" t="s">
        <v>61</v>
      </c>
      <c r="L2592" t="s">
        <v>74</v>
      </c>
      <c r="M2592" t="s">
        <v>63</v>
      </c>
      <c r="N2592" t="s">
        <v>64</v>
      </c>
      <c r="P2592" t="s">
        <v>65</v>
      </c>
      <c r="R2592">
        <v>3.95</v>
      </c>
      <c r="T2592">
        <v>3.55</v>
      </c>
      <c r="V2592">
        <v>4.3899999999999997</v>
      </c>
      <c r="W2592" t="s">
        <v>66</v>
      </c>
      <c r="X2592" t="s">
        <v>67</v>
      </c>
      <c r="Y2592" t="s">
        <v>67</v>
      </c>
      <c r="Z2592" t="s">
        <v>68</v>
      </c>
      <c r="AB2592">
        <v>4</v>
      </c>
      <c r="AC2592" t="s">
        <v>61</v>
      </c>
      <c r="AJ2592" t="s">
        <v>69</v>
      </c>
      <c r="AY2592" t="s">
        <v>286</v>
      </c>
      <c r="AZ2592">
        <v>12448</v>
      </c>
      <c r="BA2592" t="s">
        <v>287</v>
      </c>
      <c r="BB2592" t="s">
        <v>288</v>
      </c>
      <c r="BC2592">
        <v>1984</v>
      </c>
      <c r="BD2592" t="s">
        <v>73</v>
      </c>
    </row>
    <row r="2593" spans="1:56" x14ac:dyDescent="0.35">
      <c r="A2593">
        <v>6361213</v>
      </c>
      <c r="B2593" t="s">
        <v>1954</v>
      </c>
      <c r="D2593" t="s">
        <v>57</v>
      </c>
      <c r="E2593" t="s">
        <v>128</v>
      </c>
      <c r="F2593" t="s">
        <v>58</v>
      </c>
      <c r="G2593" t="s">
        <v>59</v>
      </c>
      <c r="H2593" t="s">
        <v>60</v>
      </c>
      <c r="I2593" t="s">
        <v>129</v>
      </c>
      <c r="J2593" t="s">
        <v>86</v>
      </c>
      <c r="K2593" t="s">
        <v>61</v>
      </c>
      <c r="L2593" t="s">
        <v>74</v>
      </c>
      <c r="M2593" t="s">
        <v>63</v>
      </c>
      <c r="N2593" t="s">
        <v>64</v>
      </c>
      <c r="P2593" t="s">
        <v>65</v>
      </c>
      <c r="R2593">
        <v>4.1900000000000004</v>
      </c>
      <c r="W2593" t="s">
        <v>66</v>
      </c>
      <c r="X2593" t="s">
        <v>67</v>
      </c>
      <c r="Y2593" t="s">
        <v>67</v>
      </c>
      <c r="Z2593" t="s">
        <v>68</v>
      </c>
      <c r="AB2593">
        <v>4</v>
      </c>
      <c r="AC2593" t="s">
        <v>61</v>
      </c>
      <c r="AJ2593" t="s">
        <v>69</v>
      </c>
      <c r="AY2593" t="s">
        <v>134</v>
      </c>
      <c r="AZ2593">
        <v>15031</v>
      </c>
      <c r="BA2593" t="s">
        <v>135</v>
      </c>
      <c r="BB2593" t="s">
        <v>136</v>
      </c>
      <c r="BC2593">
        <v>1995</v>
      </c>
      <c r="BD2593" t="s">
        <v>133</v>
      </c>
    </row>
    <row r="2594" spans="1:56" x14ac:dyDescent="0.35">
      <c r="A2594">
        <v>6393426</v>
      </c>
      <c r="B2594" t="s">
        <v>1955</v>
      </c>
      <c r="D2594" t="s">
        <v>85</v>
      </c>
      <c r="E2594" t="s">
        <v>86</v>
      </c>
      <c r="F2594" t="s">
        <v>58</v>
      </c>
      <c r="G2594" t="s">
        <v>59</v>
      </c>
      <c r="H2594" t="s">
        <v>60</v>
      </c>
      <c r="I2594" t="s">
        <v>129</v>
      </c>
      <c r="J2594" t="s">
        <v>86</v>
      </c>
      <c r="L2594" t="s">
        <v>62</v>
      </c>
      <c r="M2594" t="s">
        <v>63</v>
      </c>
      <c r="N2594" t="s">
        <v>64</v>
      </c>
      <c r="P2594" t="s">
        <v>65</v>
      </c>
      <c r="Q2594" t="s">
        <v>153</v>
      </c>
      <c r="R2594">
        <v>13</v>
      </c>
      <c r="W2594" t="s">
        <v>66</v>
      </c>
      <c r="X2594" t="s">
        <v>67</v>
      </c>
      <c r="Y2594" t="s">
        <v>67</v>
      </c>
      <c r="Z2594" t="s">
        <v>68</v>
      </c>
      <c r="AB2594">
        <v>4</v>
      </c>
      <c r="AC2594" t="s">
        <v>61</v>
      </c>
      <c r="AJ2594" t="s">
        <v>69</v>
      </c>
      <c r="AY2594" t="s">
        <v>718</v>
      </c>
      <c r="AZ2594">
        <v>10141</v>
      </c>
      <c r="BA2594" t="s">
        <v>719</v>
      </c>
      <c r="BB2594" t="s">
        <v>720</v>
      </c>
      <c r="BC2594">
        <v>1983</v>
      </c>
      <c r="BD2594" t="s">
        <v>721</v>
      </c>
    </row>
    <row r="2595" spans="1:56" x14ac:dyDescent="0.35">
      <c r="A2595">
        <v>6393426</v>
      </c>
      <c r="B2595" t="s">
        <v>1955</v>
      </c>
      <c r="D2595" t="s">
        <v>85</v>
      </c>
      <c r="E2595" t="s">
        <v>86</v>
      </c>
      <c r="F2595" t="s">
        <v>58</v>
      </c>
      <c r="G2595" t="s">
        <v>59</v>
      </c>
      <c r="H2595" t="s">
        <v>60</v>
      </c>
      <c r="I2595" t="s">
        <v>129</v>
      </c>
      <c r="J2595" t="s">
        <v>86</v>
      </c>
      <c r="L2595" t="s">
        <v>62</v>
      </c>
      <c r="M2595" t="s">
        <v>63</v>
      </c>
      <c r="N2595" t="s">
        <v>64</v>
      </c>
      <c r="P2595" t="s">
        <v>100</v>
      </c>
      <c r="Q2595" t="s">
        <v>153</v>
      </c>
      <c r="R2595">
        <v>13.1</v>
      </c>
      <c r="W2595" t="s">
        <v>66</v>
      </c>
      <c r="X2595" t="s">
        <v>67</v>
      </c>
      <c r="Y2595" t="s">
        <v>67</v>
      </c>
      <c r="Z2595" t="s">
        <v>68</v>
      </c>
      <c r="AB2595">
        <v>4</v>
      </c>
      <c r="AC2595" t="s">
        <v>61</v>
      </c>
      <c r="AJ2595" t="s">
        <v>69</v>
      </c>
      <c r="AY2595" t="s">
        <v>722</v>
      </c>
      <c r="AZ2595">
        <v>5087</v>
      </c>
      <c r="BA2595" t="s">
        <v>723</v>
      </c>
      <c r="BB2595" t="s">
        <v>724</v>
      </c>
      <c r="BC2595">
        <v>1979</v>
      </c>
      <c r="BD2595" t="s">
        <v>90</v>
      </c>
    </row>
    <row r="2596" spans="1:56" x14ac:dyDescent="0.35">
      <c r="A2596">
        <v>6408782</v>
      </c>
      <c r="B2596" t="s">
        <v>1956</v>
      </c>
      <c r="D2596" t="s">
        <v>85</v>
      </c>
      <c r="E2596" t="s">
        <v>86</v>
      </c>
      <c r="F2596" t="s">
        <v>58</v>
      </c>
      <c r="G2596" t="s">
        <v>59</v>
      </c>
      <c r="H2596" t="s">
        <v>60</v>
      </c>
      <c r="J2596" t="s">
        <v>86</v>
      </c>
      <c r="L2596" t="s">
        <v>62</v>
      </c>
      <c r="M2596" t="s">
        <v>63</v>
      </c>
      <c r="N2596" t="s">
        <v>64</v>
      </c>
      <c r="P2596" t="s">
        <v>100</v>
      </c>
      <c r="R2596">
        <v>12</v>
      </c>
      <c r="W2596" t="s">
        <v>66</v>
      </c>
      <c r="X2596" t="s">
        <v>67</v>
      </c>
      <c r="Y2596" t="s">
        <v>67</v>
      </c>
      <c r="Z2596" t="s">
        <v>68</v>
      </c>
      <c r="AB2596">
        <v>4</v>
      </c>
      <c r="AC2596" t="s">
        <v>61</v>
      </c>
      <c r="AJ2596" t="s">
        <v>69</v>
      </c>
      <c r="AY2596" t="s">
        <v>1243</v>
      </c>
      <c r="AZ2596">
        <v>5789</v>
      </c>
      <c r="BA2596" t="s">
        <v>1244</v>
      </c>
      <c r="BB2596" t="s">
        <v>1245</v>
      </c>
      <c r="BC2596">
        <v>1974</v>
      </c>
      <c r="BD2596" t="s">
        <v>90</v>
      </c>
    </row>
    <row r="2597" spans="1:56" x14ac:dyDescent="0.35">
      <c r="A2597">
        <v>6408782</v>
      </c>
      <c r="B2597" t="s">
        <v>1956</v>
      </c>
      <c r="D2597" t="s">
        <v>85</v>
      </c>
      <c r="E2597">
        <v>15</v>
      </c>
      <c r="F2597" t="s">
        <v>58</v>
      </c>
      <c r="G2597" t="s">
        <v>59</v>
      </c>
      <c r="H2597" t="s">
        <v>60</v>
      </c>
      <c r="J2597" t="s">
        <v>86</v>
      </c>
      <c r="L2597" t="s">
        <v>62</v>
      </c>
      <c r="M2597" t="s">
        <v>63</v>
      </c>
      <c r="N2597" t="s">
        <v>64</v>
      </c>
      <c r="P2597" t="s">
        <v>100</v>
      </c>
      <c r="R2597">
        <v>12</v>
      </c>
      <c r="W2597" t="s">
        <v>66</v>
      </c>
      <c r="X2597" t="s">
        <v>67</v>
      </c>
      <c r="Y2597" t="s">
        <v>67</v>
      </c>
      <c r="Z2597" t="s">
        <v>68</v>
      </c>
      <c r="AB2597">
        <v>4</v>
      </c>
      <c r="AC2597" t="s">
        <v>61</v>
      </c>
      <c r="AJ2597" t="s">
        <v>69</v>
      </c>
      <c r="AY2597" t="s">
        <v>1246</v>
      </c>
      <c r="AZ2597">
        <v>6969</v>
      </c>
      <c r="BA2597" t="s">
        <v>1247</v>
      </c>
      <c r="BB2597" t="s">
        <v>1248</v>
      </c>
      <c r="BC2597">
        <v>1973</v>
      </c>
      <c r="BD2597" t="s">
        <v>90</v>
      </c>
    </row>
    <row r="2598" spans="1:56" x14ac:dyDescent="0.35">
      <c r="A2598">
        <v>6485401</v>
      </c>
      <c r="B2598" t="s">
        <v>1957</v>
      </c>
      <c r="D2598" t="s">
        <v>85</v>
      </c>
      <c r="E2598" t="s">
        <v>86</v>
      </c>
      <c r="F2598" t="s">
        <v>58</v>
      </c>
      <c r="G2598" t="s">
        <v>59</v>
      </c>
      <c r="H2598" t="s">
        <v>60</v>
      </c>
      <c r="I2598" t="s">
        <v>188</v>
      </c>
      <c r="J2598" t="s">
        <v>289</v>
      </c>
      <c r="K2598" t="s">
        <v>495</v>
      </c>
      <c r="M2598" t="s">
        <v>63</v>
      </c>
      <c r="N2598" t="s">
        <v>64</v>
      </c>
      <c r="P2598" t="s">
        <v>100</v>
      </c>
      <c r="R2598">
        <v>58.6</v>
      </c>
      <c r="W2598" t="s">
        <v>66</v>
      </c>
      <c r="X2598" t="s">
        <v>67</v>
      </c>
      <c r="Y2598" t="s">
        <v>67</v>
      </c>
      <c r="Z2598" t="s">
        <v>68</v>
      </c>
      <c r="AB2598">
        <v>4</v>
      </c>
      <c r="AC2598" t="s">
        <v>61</v>
      </c>
      <c r="AJ2598" t="s">
        <v>69</v>
      </c>
      <c r="AY2598" t="s">
        <v>496</v>
      </c>
      <c r="AZ2598">
        <v>177136</v>
      </c>
      <c r="BA2598" t="s">
        <v>497</v>
      </c>
      <c r="BB2598" t="s">
        <v>498</v>
      </c>
      <c r="BC2598">
        <v>2017</v>
      </c>
      <c r="BD2598" t="s">
        <v>499</v>
      </c>
    </row>
    <row r="2599" spans="1:56" x14ac:dyDescent="0.35">
      <c r="A2599">
        <v>6491027</v>
      </c>
      <c r="B2599" t="s">
        <v>1958</v>
      </c>
      <c r="D2599" t="s">
        <v>85</v>
      </c>
      <c r="E2599" t="s">
        <v>86</v>
      </c>
      <c r="F2599" t="s">
        <v>58</v>
      </c>
      <c r="G2599" t="s">
        <v>59</v>
      </c>
      <c r="H2599" t="s">
        <v>60</v>
      </c>
      <c r="J2599" t="s">
        <v>86</v>
      </c>
      <c r="L2599" t="s">
        <v>62</v>
      </c>
      <c r="M2599" t="s">
        <v>63</v>
      </c>
      <c r="N2599" t="s">
        <v>64</v>
      </c>
      <c r="P2599" t="s">
        <v>100</v>
      </c>
      <c r="R2599">
        <v>0.245</v>
      </c>
      <c r="T2599">
        <v>0.19400000000000001</v>
      </c>
      <c r="V2599">
        <v>0.309</v>
      </c>
      <c r="W2599" t="s">
        <v>66</v>
      </c>
      <c r="X2599" t="s">
        <v>67</v>
      </c>
      <c r="Y2599" t="s">
        <v>67</v>
      </c>
      <c r="Z2599" t="s">
        <v>68</v>
      </c>
      <c r="AB2599">
        <v>4</v>
      </c>
      <c r="AC2599" t="s">
        <v>61</v>
      </c>
      <c r="AJ2599" t="s">
        <v>69</v>
      </c>
      <c r="AY2599" t="s">
        <v>1959</v>
      </c>
      <c r="AZ2599">
        <v>9129</v>
      </c>
      <c r="BA2599" t="s">
        <v>1960</v>
      </c>
      <c r="BB2599" t="s">
        <v>1961</v>
      </c>
      <c r="BC2599">
        <v>1970</v>
      </c>
      <c r="BD2599" t="s">
        <v>90</v>
      </c>
    </row>
    <row r="2600" spans="1:56" x14ac:dyDescent="0.35">
      <c r="A2600">
        <v>6575093</v>
      </c>
      <c r="B2600" t="s">
        <v>1962</v>
      </c>
      <c r="D2600" t="s">
        <v>57</v>
      </c>
      <c r="E2600">
        <v>97</v>
      </c>
      <c r="F2600" t="s">
        <v>58</v>
      </c>
      <c r="G2600" t="s">
        <v>59</v>
      </c>
      <c r="H2600" t="s">
        <v>60</v>
      </c>
      <c r="J2600">
        <v>29</v>
      </c>
      <c r="K2600" t="s">
        <v>61</v>
      </c>
      <c r="L2600" t="s">
        <v>74</v>
      </c>
      <c r="M2600" t="s">
        <v>63</v>
      </c>
      <c r="N2600" t="s">
        <v>64</v>
      </c>
      <c r="P2600" t="s">
        <v>65</v>
      </c>
      <c r="R2600">
        <v>15.1</v>
      </c>
      <c r="W2600" t="s">
        <v>66</v>
      </c>
      <c r="X2600" t="s">
        <v>67</v>
      </c>
      <c r="Y2600" t="s">
        <v>67</v>
      </c>
      <c r="Z2600" t="s">
        <v>68</v>
      </c>
      <c r="AB2600">
        <v>4</v>
      </c>
      <c r="AC2600" t="s">
        <v>61</v>
      </c>
      <c r="AJ2600" t="s">
        <v>69</v>
      </c>
      <c r="AY2600" t="s">
        <v>286</v>
      </c>
      <c r="AZ2600">
        <v>12448</v>
      </c>
      <c r="BA2600" t="s">
        <v>287</v>
      </c>
      <c r="BB2600" t="s">
        <v>288</v>
      </c>
      <c r="BC2600">
        <v>1984</v>
      </c>
      <c r="BD2600" t="s">
        <v>73</v>
      </c>
    </row>
    <row r="2601" spans="1:56" x14ac:dyDescent="0.35">
      <c r="A2601">
        <v>6602320</v>
      </c>
      <c r="B2601" t="s">
        <v>1963</v>
      </c>
      <c r="D2601" t="s">
        <v>57</v>
      </c>
      <c r="E2601">
        <v>99</v>
      </c>
      <c r="F2601" t="s">
        <v>58</v>
      </c>
      <c r="G2601" t="s">
        <v>59</v>
      </c>
      <c r="H2601" t="s">
        <v>60</v>
      </c>
      <c r="J2601">
        <v>30</v>
      </c>
      <c r="K2601" t="s">
        <v>61</v>
      </c>
      <c r="L2601" t="s">
        <v>74</v>
      </c>
      <c r="M2601" t="s">
        <v>63</v>
      </c>
      <c r="N2601" t="s">
        <v>64</v>
      </c>
      <c r="P2601" t="s">
        <v>65</v>
      </c>
      <c r="R2601">
        <v>469</v>
      </c>
      <c r="T2601">
        <v>390</v>
      </c>
      <c r="V2601">
        <v>563</v>
      </c>
      <c r="W2601" t="s">
        <v>66</v>
      </c>
      <c r="X2601" t="s">
        <v>67</v>
      </c>
      <c r="Y2601" t="s">
        <v>67</v>
      </c>
      <c r="Z2601" t="s">
        <v>68</v>
      </c>
      <c r="AB2601">
        <v>4</v>
      </c>
      <c r="AC2601" t="s">
        <v>61</v>
      </c>
      <c r="AJ2601" t="s">
        <v>69</v>
      </c>
      <c r="AY2601" t="s">
        <v>263</v>
      </c>
      <c r="AZ2601">
        <v>12858</v>
      </c>
      <c r="BA2601" t="s">
        <v>264</v>
      </c>
      <c r="BB2601" t="s">
        <v>265</v>
      </c>
      <c r="BC2601">
        <v>1986</v>
      </c>
      <c r="BD2601" t="s">
        <v>73</v>
      </c>
    </row>
    <row r="2602" spans="1:56" x14ac:dyDescent="0.35">
      <c r="A2602">
        <v>6636788</v>
      </c>
      <c r="B2602" t="s">
        <v>1964</v>
      </c>
      <c r="D2602" t="s">
        <v>57</v>
      </c>
      <c r="E2602">
        <v>98</v>
      </c>
      <c r="F2602" t="s">
        <v>58</v>
      </c>
      <c r="G2602" t="s">
        <v>59</v>
      </c>
      <c r="H2602" t="s">
        <v>60</v>
      </c>
      <c r="J2602">
        <v>31</v>
      </c>
      <c r="K2602" t="s">
        <v>61</v>
      </c>
      <c r="L2602" t="s">
        <v>74</v>
      </c>
      <c r="M2602" t="s">
        <v>63</v>
      </c>
      <c r="N2602" t="s">
        <v>64</v>
      </c>
      <c r="P2602" t="s">
        <v>65</v>
      </c>
      <c r="R2602">
        <v>622</v>
      </c>
      <c r="W2602" t="s">
        <v>66</v>
      </c>
      <c r="X2602" t="s">
        <v>67</v>
      </c>
      <c r="Y2602" t="s">
        <v>67</v>
      </c>
      <c r="Z2602" t="s">
        <v>68</v>
      </c>
      <c r="AB2602">
        <v>4</v>
      </c>
      <c r="AC2602" t="s">
        <v>61</v>
      </c>
      <c r="AJ2602" t="s">
        <v>69</v>
      </c>
      <c r="AY2602" t="s">
        <v>263</v>
      </c>
      <c r="AZ2602">
        <v>12858</v>
      </c>
      <c r="BA2602" t="s">
        <v>264</v>
      </c>
      <c r="BB2602" t="s">
        <v>265</v>
      </c>
      <c r="BC2602">
        <v>1986</v>
      </c>
      <c r="BD2602" t="s">
        <v>73</v>
      </c>
    </row>
    <row r="2603" spans="1:56" x14ac:dyDescent="0.35">
      <c r="A2603">
        <v>6753475</v>
      </c>
      <c r="B2603" t="s">
        <v>1965</v>
      </c>
      <c r="D2603" t="s">
        <v>85</v>
      </c>
      <c r="E2603">
        <v>65.2</v>
      </c>
      <c r="F2603" t="s">
        <v>58</v>
      </c>
      <c r="G2603" t="s">
        <v>59</v>
      </c>
      <c r="H2603" t="s">
        <v>60</v>
      </c>
      <c r="J2603" t="s">
        <v>86</v>
      </c>
      <c r="L2603" t="s">
        <v>62</v>
      </c>
      <c r="M2603" t="s">
        <v>63</v>
      </c>
      <c r="N2603" t="s">
        <v>64</v>
      </c>
      <c r="P2603" t="s">
        <v>100</v>
      </c>
      <c r="R2603">
        <v>150</v>
      </c>
      <c r="T2603">
        <v>132</v>
      </c>
      <c r="V2603">
        <v>176</v>
      </c>
      <c r="W2603" t="s">
        <v>66</v>
      </c>
      <c r="X2603" t="s">
        <v>67</v>
      </c>
      <c r="Y2603" t="s">
        <v>67</v>
      </c>
      <c r="Z2603" t="s">
        <v>68</v>
      </c>
      <c r="AB2603">
        <v>4</v>
      </c>
      <c r="AC2603" t="s">
        <v>61</v>
      </c>
      <c r="AJ2603" t="s">
        <v>69</v>
      </c>
      <c r="AY2603" t="s">
        <v>1755</v>
      </c>
      <c r="AZ2603">
        <v>10698</v>
      </c>
      <c r="BA2603" t="s">
        <v>1756</v>
      </c>
      <c r="BB2603" t="s">
        <v>1757</v>
      </c>
      <c r="BC2603">
        <v>1984</v>
      </c>
      <c r="BD2603" t="s">
        <v>90</v>
      </c>
    </row>
    <row r="2604" spans="1:56" x14ac:dyDescent="0.35">
      <c r="A2604">
        <v>6753475</v>
      </c>
      <c r="B2604" t="s">
        <v>1965</v>
      </c>
      <c r="D2604" t="s">
        <v>85</v>
      </c>
      <c r="E2604">
        <v>36.9</v>
      </c>
      <c r="F2604" t="s">
        <v>58</v>
      </c>
      <c r="G2604" t="s">
        <v>59</v>
      </c>
      <c r="H2604" t="s">
        <v>60</v>
      </c>
      <c r="J2604" t="s">
        <v>86</v>
      </c>
      <c r="L2604" t="s">
        <v>74</v>
      </c>
      <c r="M2604" t="s">
        <v>63</v>
      </c>
      <c r="N2604" t="s">
        <v>64</v>
      </c>
      <c r="P2604" t="s">
        <v>100</v>
      </c>
      <c r="R2604">
        <v>81.5</v>
      </c>
      <c r="T2604">
        <v>10.199999999999999</v>
      </c>
      <c r="V2604">
        <v>632</v>
      </c>
      <c r="W2604" t="s">
        <v>66</v>
      </c>
      <c r="X2604" t="s">
        <v>67</v>
      </c>
      <c r="Y2604" t="s">
        <v>67</v>
      </c>
      <c r="Z2604" t="s">
        <v>68</v>
      </c>
      <c r="AB2604">
        <v>4</v>
      </c>
      <c r="AC2604" t="s">
        <v>61</v>
      </c>
      <c r="AJ2604" t="s">
        <v>69</v>
      </c>
      <c r="AY2604" t="s">
        <v>1966</v>
      </c>
      <c r="AZ2604">
        <v>9330</v>
      </c>
      <c r="BA2604" t="s">
        <v>1967</v>
      </c>
      <c r="BB2604" t="s">
        <v>1968</v>
      </c>
      <c r="BC2604">
        <v>1985</v>
      </c>
      <c r="BD2604" t="s">
        <v>90</v>
      </c>
    </row>
    <row r="2605" spans="1:56" x14ac:dyDescent="0.35">
      <c r="A2605">
        <v>6921295</v>
      </c>
      <c r="B2605" t="s">
        <v>1969</v>
      </c>
      <c r="D2605" t="s">
        <v>57</v>
      </c>
      <c r="E2605">
        <v>98</v>
      </c>
      <c r="F2605" t="s">
        <v>58</v>
      </c>
      <c r="G2605" t="s">
        <v>59</v>
      </c>
      <c r="H2605" t="s">
        <v>60</v>
      </c>
      <c r="J2605" t="s">
        <v>86</v>
      </c>
      <c r="K2605" t="s">
        <v>61</v>
      </c>
      <c r="L2605" t="s">
        <v>74</v>
      </c>
      <c r="M2605" t="s">
        <v>63</v>
      </c>
      <c r="N2605" t="s">
        <v>64</v>
      </c>
      <c r="P2605" t="s">
        <v>65</v>
      </c>
      <c r="R2605">
        <v>296</v>
      </c>
      <c r="T2605">
        <v>280</v>
      </c>
      <c r="V2605">
        <v>313</v>
      </c>
      <c r="W2605" t="s">
        <v>66</v>
      </c>
      <c r="X2605" t="s">
        <v>67</v>
      </c>
      <c r="Y2605" t="s">
        <v>67</v>
      </c>
      <c r="Z2605" t="s">
        <v>68</v>
      </c>
      <c r="AB2605">
        <v>4</v>
      </c>
      <c r="AC2605" t="s">
        <v>61</v>
      </c>
      <c r="AJ2605" t="s">
        <v>69</v>
      </c>
      <c r="AY2605" t="s">
        <v>263</v>
      </c>
      <c r="AZ2605">
        <v>12858</v>
      </c>
      <c r="BA2605" t="s">
        <v>264</v>
      </c>
      <c r="BB2605" t="s">
        <v>265</v>
      </c>
      <c r="BC2605">
        <v>1986</v>
      </c>
      <c r="BD2605" t="s">
        <v>161</v>
      </c>
    </row>
    <row r="2606" spans="1:56" x14ac:dyDescent="0.35">
      <c r="A2606">
        <v>6923224</v>
      </c>
      <c r="B2606" t="s">
        <v>1970</v>
      </c>
      <c r="E2606">
        <v>100</v>
      </c>
      <c r="F2606" t="s">
        <v>58</v>
      </c>
      <c r="G2606" t="s">
        <v>59</v>
      </c>
      <c r="H2606" t="s">
        <v>60</v>
      </c>
      <c r="J2606" t="s">
        <v>86</v>
      </c>
      <c r="L2606" t="s">
        <v>62</v>
      </c>
      <c r="M2606" t="s">
        <v>63</v>
      </c>
      <c r="N2606" t="s">
        <v>64</v>
      </c>
      <c r="P2606" t="s">
        <v>65</v>
      </c>
      <c r="Q2606" t="s">
        <v>153</v>
      </c>
      <c r="R2606">
        <v>50</v>
      </c>
      <c r="W2606" t="s">
        <v>66</v>
      </c>
      <c r="X2606" t="s">
        <v>67</v>
      </c>
      <c r="Y2606" t="s">
        <v>67</v>
      </c>
      <c r="Z2606" t="s">
        <v>68</v>
      </c>
      <c r="AB2606">
        <v>4</v>
      </c>
      <c r="AC2606" t="s">
        <v>61</v>
      </c>
      <c r="AJ2606" t="s">
        <v>69</v>
      </c>
      <c r="AY2606" t="s">
        <v>96</v>
      </c>
      <c r="AZ2606">
        <v>6797</v>
      </c>
      <c r="BA2606" t="s">
        <v>97</v>
      </c>
      <c r="BB2606" t="s">
        <v>98</v>
      </c>
      <c r="BC2606">
        <v>1986</v>
      </c>
      <c r="BD2606" t="s">
        <v>90</v>
      </c>
    </row>
    <row r="2607" spans="1:56" x14ac:dyDescent="0.35">
      <c r="A2607">
        <v>6948863</v>
      </c>
      <c r="B2607" t="s">
        <v>1971</v>
      </c>
      <c r="D2607" t="s">
        <v>57</v>
      </c>
      <c r="E2607">
        <v>97</v>
      </c>
      <c r="F2607" t="s">
        <v>58</v>
      </c>
      <c r="G2607" t="s">
        <v>59</v>
      </c>
      <c r="H2607" t="s">
        <v>60</v>
      </c>
      <c r="J2607" t="s">
        <v>86</v>
      </c>
      <c r="K2607" t="s">
        <v>61</v>
      </c>
      <c r="L2607" t="s">
        <v>74</v>
      </c>
      <c r="M2607" t="s">
        <v>63</v>
      </c>
      <c r="N2607" t="s">
        <v>64</v>
      </c>
      <c r="P2607" t="s">
        <v>65</v>
      </c>
      <c r="R2607">
        <v>634</v>
      </c>
      <c r="T2607">
        <v>591</v>
      </c>
      <c r="V2607">
        <v>680</v>
      </c>
      <c r="W2607" t="s">
        <v>66</v>
      </c>
      <c r="X2607" t="s">
        <v>67</v>
      </c>
      <c r="Y2607" t="s">
        <v>67</v>
      </c>
      <c r="Z2607" t="s">
        <v>68</v>
      </c>
      <c r="AB2607">
        <v>4</v>
      </c>
      <c r="AC2607" t="s">
        <v>61</v>
      </c>
      <c r="AJ2607" t="s">
        <v>69</v>
      </c>
      <c r="AY2607" t="s">
        <v>263</v>
      </c>
      <c r="AZ2607">
        <v>12858</v>
      </c>
      <c r="BA2607" t="s">
        <v>264</v>
      </c>
      <c r="BB2607" t="s">
        <v>265</v>
      </c>
      <c r="BC2607">
        <v>1986</v>
      </c>
      <c r="BD2607" t="s">
        <v>363</v>
      </c>
    </row>
    <row r="2608" spans="1:56" x14ac:dyDescent="0.35">
      <c r="A2608">
        <v>6948863</v>
      </c>
      <c r="B2608" t="s">
        <v>1971</v>
      </c>
      <c r="D2608" t="s">
        <v>57</v>
      </c>
      <c r="E2608">
        <v>97</v>
      </c>
      <c r="F2608" t="s">
        <v>58</v>
      </c>
      <c r="G2608" t="s">
        <v>59</v>
      </c>
      <c r="H2608" t="s">
        <v>60</v>
      </c>
      <c r="J2608" t="s">
        <v>86</v>
      </c>
      <c r="K2608" t="s">
        <v>61</v>
      </c>
      <c r="L2608" t="s">
        <v>74</v>
      </c>
      <c r="M2608" t="s">
        <v>63</v>
      </c>
      <c r="N2608" t="s">
        <v>64</v>
      </c>
      <c r="P2608" t="s">
        <v>65</v>
      </c>
      <c r="R2608">
        <v>637</v>
      </c>
      <c r="W2608" t="s">
        <v>66</v>
      </c>
      <c r="X2608" t="s">
        <v>67</v>
      </c>
      <c r="Y2608" t="s">
        <v>67</v>
      </c>
      <c r="Z2608" t="s">
        <v>68</v>
      </c>
      <c r="AB2608">
        <v>4</v>
      </c>
      <c r="AC2608" t="s">
        <v>61</v>
      </c>
      <c r="AJ2608" t="s">
        <v>69</v>
      </c>
      <c r="AY2608" t="s">
        <v>263</v>
      </c>
      <c r="AZ2608">
        <v>12858</v>
      </c>
      <c r="BA2608" t="s">
        <v>264</v>
      </c>
      <c r="BB2608" t="s">
        <v>265</v>
      </c>
      <c r="BC2608">
        <v>1986</v>
      </c>
      <c r="BD2608" t="s">
        <v>148</v>
      </c>
    </row>
    <row r="2609" spans="1:56" x14ac:dyDescent="0.35">
      <c r="A2609">
        <v>7012375</v>
      </c>
      <c r="B2609" t="s">
        <v>1972</v>
      </c>
      <c r="D2609" t="s">
        <v>85</v>
      </c>
      <c r="E2609" t="s">
        <v>86</v>
      </c>
      <c r="F2609" t="s">
        <v>58</v>
      </c>
      <c r="G2609" t="s">
        <v>59</v>
      </c>
      <c r="H2609" t="s">
        <v>60</v>
      </c>
      <c r="I2609" t="s">
        <v>188</v>
      </c>
      <c r="J2609" t="s">
        <v>86</v>
      </c>
      <c r="L2609" t="s">
        <v>190</v>
      </c>
      <c r="M2609" t="s">
        <v>63</v>
      </c>
      <c r="N2609" t="s">
        <v>64</v>
      </c>
      <c r="P2609" t="s">
        <v>100</v>
      </c>
      <c r="Q2609" t="s">
        <v>153</v>
      </c>
      <c r="R2609">
        <v>0.16</v>
      </c>
      <c r="W2609" t="s">
        <v>66</v>
      </c>
      <c r="X2609" t="s">
        <v>67</v>
      </c>
      <c r="Y2609" t="s">
        <v>67</v>
      </c>
      <c r="Z2609" t="s">
        <v>68</v>
      </c>
      <c r="AB2609">
        <v>4</v>
      </c>
      <c r="AC2609" t="s">
        <v>61</v>
      </c>
      <c r="AJ2609" t="s">
        <v>69</v>
      </c>
      <c r="AY2609" t="s">
        <v>1973</v>
      </c>
      <c r="AZ2609">
        <v>16467</v>
      </c>
      <c r="BA2609" t="s">
        <v>1974</v>
      </c>
      <c r="BB2609" t="s">
        <v>1975</v>
      </c>
      <c r="BC2609">
        <v>1993</v>
      </c>
      <c r="BD2609" t="s">
        <v>90</v>
      </c>
    </row>
    <row r="2610" spans="1:56" x14ac:dyDescent="0.35">
      <c r="A2610">
        <v>7173515</v>
      </c>
      <c r="B2610" t="s">
        <v>1976</v>
      </c>
      <c r="E2610">
        <v>80.540000000000006</v>
      </c>
      <c r="F2610" t="s">
        <v>58</v>
      </c>
      <c r="G2610" t="s">
        <v>59</v>
      </c>
      <c r="H2610" t="s">
        <v>60</v>
      </c>
      <c r="J2610" t="s">
        <v>86</v>
      </c>
      <c r="L2610" t="s">
        <v>190</v>
      </c>
      <c r="M2610" t="s">
        <v>63</v>
      </c>
      <c r="N2610" t="s">
        <v>64</v>
      </c>
      <c r="R2610">
        <v>1.2</v>
      </c>
      <c r="T2610">
        <v>0.94</v>
      </c>
      <c r="V2610">
        <v>1.6</v>
      </c>
      <c r="W2610" t="s">
        <v>66</v>
      </c>
      <c r="X2610" t="s">
        <v>67</v>
      </c>
      <c r="Y2610" t="s">
        <v>67</v>
      </c>
      <c r="Z2610" t="s">
        <v>68</v>
      </c>
      <c r="AB2610">
        <v>4</v>
      </c>
      <c r="AC2610" t="s">
        <v>61</v>
      </c>
      <c r="AJ2610" t="s">
        <v>69</v>
      </c>
      <c r="AY2610" t="s">
        <v>116</v>
      </c>
      <c r="AZ2610">
        <v>344</v>
      </c>
      <c r="BA2610" t="s">
        <v>117</v>
      </c>
      <c r="BB2610" t="s">
        <v>118</v>
      </c>
      <c r="BC2610">
        <v>1992</v>
      </c>
      <c r="BD2610" t="s">
        <v>90</v>
      </c>
    </row>
    <row r="2611" spans="1:56" x14ac:dyDescent="0.35">
      <c r="A2611">
        <v>7173515</v>
      </c>
      <c r="B2611" t="s">
        <v>1976</v>
      </c>
      <c r="E2611">
        <v>80.540000000000006</v>
      </c>
      <c r="F2611" t="s">
        <v>58</v>
      </c>
      <c r="G2611" t="s">
        <v>59</v>
      </c>
      <c r="H2611" t="s">
        <v>60</v>
      </c>
      <c r="J2611" t="s">
        <v>86</v>
      </c>
      <c r="L2611" t="s">
        <v>190</v>
      </c>
      <c r="M2611" t="s">
        <v>63</v>
      </c>
      <c r="N2611" t="s">
        <v>64</v>
      </c>
      <c r="R2611">
        <v>0.77</v>
      </c>
      <c r="T2611">
        <v>0.65</v>
      </c>
      <c r="V2611">
        <v>1</v>
      </c>
      <c r="W2611" t="s">
        <v>66</v>
      </c>
      <c r="X2611" t="s">
        <v>67</v>
      </c>
      <c r="Y2611" t="s">
        <v>67</v>
      </c>
      <c r="Z2611" t="s">
        <v>68</v>
      </c>
      <c r="AB2611">
        <v>4</v>
      </c>
      <c r="AC2611" t="s">
        <v>61</v>
      </c>
      <c r="AJ2611" t="s">
        <v>69</v>
      </c>
      <c r="AY2611" t="s">
        <v>116</v>
      </c>
      <c r="AZ2611">
        <v>344</v>
      </c>
      <c r="BA2611" t="s">
        <v>117</v>
      </c>
      <c r="BB2611" t="s">
        <v>118</v>
      </c>
      <c r="BC2611">
        <v>1992</v>
      </c>
      <c r="BD2611" t="s">
        <v>90</v>
      </c>
    </row>
    <row r="2612" spans="1:56" x14ac:dyDescent="0.35">
      <c r="A2612">
        <v>7173515</v>
      </c>
      <c r="B2612" t="s">
        <v>1976</v>
      </c>
      <c r="D2612" t="s">
        <v>57</v>
      </c>
      <c r="E2612" t="s">
        <v>86</v>
      </c>
      <c r="F2612" t="s">
        <v>58</v>
      </c>
      <c r="G2612" t="s">
        <v>59</v>
      </c>
      <c r="H2612" t="s">
        <v>60</v>
      </c>
      <c r="J2612" t="s">
        <v>86</v>
      </c>
      <c r="L2612" t="s">
        <v>190</v>
      </c>
      <c r="M2612" t="s">
        <v>63</v>
      </c>
      <c r="N2612" t="s">
        <v>64</v>
      </c>
      <c r="P2612" t="s">
        <v>65</v>
      </c>
      <c r="R2612">
        <v>0.33</v>
      </c>
      <c r="T2612">
        <v>0.2</v>
      </c>
      <c r="V2612">
        <v>0.5</v>
      </c>
      <c r="W2612" t="s">
        <v>66</v>
      </c>
      <c r="X2612" t="s">
        <v>67</v>
      </c>
      <c r="Y2612" t="s">
        <v>67</v>
      </c>
      <c r="Z2612" t="s">
        <v>68</v>
      </c>
      <c r="AB2612">
        <v>4</v>
      </c>
      <c r="AC2612" t="s">
        <v>61</v>
      </c>
      <c r="AJ2612" t="s">
        <v>69</v>
      </c>
      <c r="AY2612" t="s">
        <v>1977</v>
      </c>
      <c r="AZ2612">
        <v>18386</v>
      </c>
      <c r="BA2612" t="s">
        <v>1978</v>
      </c>
      <c r="BB2612" t="s">
        <v>1979</v>
      </c>
      <c r="BC2612">
        <v>1998</v>
      </c>
      <c r="BD2612" t="s">
        <v>1980</v>
      </c>
    </row>
    <row r="2613" spans="1:56" x14ac:dyDescent="0.35">
      <c r="A2613">
        <v>7173515</v>
      </c>
      <c r="B2613" t="s">
        <v>1976</v>
      </c>
      <c r="E2613">
        <v>80.540000000000006</v>
      </c>
      <c r="F2613" t="s">
        <v>58</v>
      </c>
      <c r="G2613" t="s">
        <v>59</v>
      </c>
      <c r="H2613" t="s">
        <v>60</v>
      </c>
      <c r="J2613" t="s">
        <v>86</v>
      </c>
      <c r="L2613" t="s">
        <v>190</v>
      </c>
      <c r="M2613" t="s">
        <v>63</v>
      </c>
      <c r="N2613" t="s">
        <v>64</v>
      </c>
      <c r="R2613">
        <v>0.19</v>
      </c>
      <c r="T2613">
        <v>0.16</v>
      </c>
      <c r="V2613">
        <v>0.27</v>
      </c>
      <c r="W2613" t="s">
        <v>66</v>
      </c>
      <c r="X2613" t="s">
        <v>67</v>
      </c>
      <c r="Y2613" t="s">
        <v>67</v>
      </c>
      <c r="Z2613" t="s">
        <v>68</v>
      </c>
      <c r="AB2613">
        <v>4</v>
      </c>
      <c r="AC2613" t="s">
        <v>61</v>
      </c>
      <c r="AJ2613" t="s">
        <v>69</v>
      </c>
      <c r="AY2613" t="s">
        <v>116</v>
      </c>
      <c r="AZ2613">
        <v>344</v>
      </c>
      <c r="BA2613" t="s">
        <v>117</v>
      </c>
      <c r="BB2613" t="s">
        <v>118</v>
      </c>
      <c r="BC2613">
        <v>1992</v>
      </c>
      <c r="BD2613" t="s">
        <v>90</v>
      </c>
    </row>
    <row r="2614" spans="1:56" x14ac:dyDescent="0.35">
      <c r="A2614">
        <v>7209383</v>
      </c>
      <c r="B2614" t="s">
        <v>1981</v>
      </c>
      <c r="D2614" t="s">
        <v>57</v>
      </c>
      <c r="E2614" t="s">
        <v>79</v>
      </c>
      <c r="F2614" t="s">
        <v>58</v>
      </c>
      <c r="G2614" t="s">
        <v>59</v>
      </c>
      <c r="H2614" t="s">
        <v>60</v>
      </c>
      <c r="J2614">
        <v>29</v>
      </c>
      <c r="K2614" t="s">
        <v>61</v>
      </c>
      <c r="L2614" t="s">
        <v>74</v>
      </c>
      <c r="M2614" t="s">
        <v>63</v>
      </c>
      <c r="N2614" t="s">
        <v>64</v>
      </c>
      <c r="P2614" t="s">
        <v>65</v>
      </c>
      <c r="R2614">
        <v>3100</v>
      </c>
      <c r="T2614">
        <v>2970</v>
      </c>
      <c r="V2614">
        <v>3240</v>
      </c>
      <c r="W2614" t="s">
        <v>66</v>
      </c>
      <c r="X2614" t="s">
        <v>67</v>
      </c>
      <c r="Y2614" t="s">
        <v>67</v>
      </c>
      <c r="Z2614" t="s">
        <v>68</v>
      </c>
      <c r="AB2614">
        <v>4</v>
      </c>
      <c r="AC2614" t="s">
        <v>61</v>
      </c>
      <c r="AJ2614" t="s">
        <v>69</v>
      </c>
      <c r="AY2614" t="s">
        <v>75</v>
      </c>
      <c r="AZ2614">
        <v>3217</v>
      </c>
      <c r="BA2614" t="s">
        <v>76</v>
      </c>
      <c r="BB2614" t="s">
        <v>77</v>
      </c>
      <c r="BC2614">
        <v>1990</v>
      </c>
      <c r="BD2614" t="s">
        <v>73</v>
      </c>
    </row>
    <row r="2615" spans="1:56" x14ac:dyDescent="0.35">
      <c r="A2615">
        <v>7212444</v>
      </c>
      <c r="B2615" t="s">
        <v>1982</v>
      </c>
      <c r="D2615" t="s">
        <v>57</v>
      </c>
      <c r="E2615">
        <v>98.5</v>
      </c>
      <c r="F2615" t="s">
        <v>58</v>
      </c>
      <c r="G2615" t="s">
        <v>59</v>
      </c>
      <c r="H2615" t="s">
        <v>60</v>
      </c>
      <c r="J2615">
        <v>32</v>
      </c>
      <c r="K2615" t="s">
        <v>61</v>
      </c>
      <c r="L2615" t="s">
        <v>74</v>
      </c>
      <c r="M2615" t="s">
        <v>63</v>
      </c>
      <c r="N2615" t="s">
        <v>64</v>
      </c>
      <c r="P2615" t="s">
        <v>65</v>
      </c>
      <c r="R2615">
        <v>1.43</v>
      </c>
      <c r="T2615">
        <v>1.3</v>
      </c>
      <c r="V2615">
        <v>1.58</v>
      </c>
      <c r="W2615" t="s">
        <v>66</v>
      </c>
      <c r="X2615" t="s">
        <v>67</v>
      </c>
      <c r="Y2615" t="s">
        <v>67</v>
      </c>
      <c r="Z2615" t="s">
        <v>68</v>
      </c>
      <c r="AB2615">
        <v>4</v>
      </c>
      <c r="AC2615" t="s">
        <v>61</v>
      </c>
      <c r="AJ2615" t="s">
        <v>69</v>
      </c>
      <c r="AY2615" t="s">
        <v>80</v>
      </c>
      <c r="AZ2615">
        <v>12859</v>
      </c>
      <c r="BA2615" t="s">
        <v>81</v>
      </c>
      <c r="BB2615" t="s">
        <v>82</v>
      </c>
      <c r="BC2615">
        <v>1988</v>
      </c>
      <c r="BD2615" t="s">
        <v>73</v>
      </c>
    </row>
    <row r="2616" spans="1:56" x14ac:dyDescent="0.35">
      <c r="A2616">
        <v>7250671</v>
      </c>
      <c r="B2616" t="s">
        <v>1983</v>
      </c>
      <c r="D2616" t="s">
        <v>57</v>
      </c>
      <c r="E2616">
        <v>98</v>
      </c>
      <c r="F2616" t="s">
        <v>58</v>
      </c>
      <c r="G2616" t="s">
        <v>59</v>
      </c>
      <c r="H2616" t="s">
        <v>60</v>
      </c>
      <c r="J2616">
        <v>31</v>
      </c>
      <c r="K2616" t="s">
        <v>61</v>
      </c>
      <c r="L2616" t="s">
        <v>74</v>
      </c>
      <c r="M2616" t="s">
        <v>63</v>
      </c>
      <c r="N2616" t="s">
        <v>64</v>
      </c>
      <c r="P2616" t="s">
        <v>65</v>
      </c>
      <c r="R2616">
        <v>153</v>
      </c>
      <c r="T2616">
        <v>135</v>
      </c>
      <c r="V2616">
        <v>174</v>
      </c>
      <c r="W2616" t="s">
        <v>66</v>
      </c>
      <c r="X2616" t="s">
        <v>67</v>
      </c>
      <c r="Y2616" t="s">
        <v>67</v>
      </c>
      <c r="Z2616" t="s">
        <v>68</v>
      </c>
      <c r="AB2616">
        <v>4</v>
      </c>
      <c r="AC2616" t="s">
        <v>61</v>
      </c>
      <c r="AJ2616" t="s">
        <v>69</v>
      </c>
      <c r="AY2616" t="s">
        <v>263</v>
      </c>
      <c r="AZ2616">
        <v>12858</v>
      </c>
      <c r="BA2616" t="s">
        <v>264</v>
      </c>
      <c r="BB2616" t="s">
        <v>265</v>
      </c>
      <c r="BC2616">
        <v>1986</v>
      </c>
      <c r="BD2616" t="s">
        <v>73</v>
      </c>
    </row>
    <row r="2617" spans="1:56" x14ac:dyDescent="0.35">
      <c r="A2617">
        <v>7307553</v>
      </c>
      <c r="B2617" t="s">
        <v>1984</v>
      </c>
      <c r="D2617" t="s">
        <v>57</v>
      </c>
      <c r="E2617">
        <v>98</v>
      </c>
      <c r="F2617" t="s">
        <v>58</v>
      </c>
      <c r="G2617" t="s">
        <v>59</v>
      </c>
      <c r="H2617" t="s">
        <v>60</v>
      </c>
      <c r="J2617">
        <v>32</v>
      </c>
      <c r="K2617" t="s">
        <v>61</v>
      </c>
      <c r="L2617" t="s">
        <v>74</v>
      </c>
      <c r="M2617" t="s">
        <v>63</v>
      </c>
      <c r="N2617" t="s">
        <v>64</v>
      </c>
      <c r="P2617" t="s">
        <v>65</v>
      </c>
      <c r="R2617">
        <v>0.21</v>
      </c>
      <c r="W2617" t="s">
        <v>66</v>
      </c>
      <c r="X2617" t="s">
        <v>67</v>
      </c>
      <c r="Y2617" t="s">
        <v>67</v>
      </c>
      <c r="Z2617" t="s">
        <v>68</v>
      </c>
      <c r="AB2617">
        <v>4</v>
      </c>
      <c r="AC2617" t="s">
        <v>61</v>
      </c>
      <c r="AJ2617" t="s">
        <v>69</v>
      </c>
      <c r="AY2617" t="s">
        <v>75</v>
      </c>
      <c r="AZ2617">
        <v>3217</v>
      </c>
      <c r="BA2617" t="s">
        <v>76</v>
      </c>
      <c r="BB2617" t="s">
        <v>77</v>
      </c>
      <c r="BC2617">
        <v>1990</v>
      </c>
      <c r="BD2617" t="s">
        <v>73</v>
      </c>
    </row>
    <row r="2618" spans="1:56" x14ac:dyDescent="0.35">
      <c r="A2618">
        <v>7337453</v>
      </c>
      <c r="B2618" t="s">
        <v>1985</v>
      </c>
      <c r="D2618" t="s">
        <v>85</v>
      </c>
      <c r="E2618" t="s">
        <v>86</v>
      </c>
      <c r="F2618" t="s">
        <v>58</v>
      </c>
      <c r="G2618" t="s">
        <v>59</v>
      </c>
      <c r="H2618" t="s">
        <v>60</v>
      </c>
      <c r="J2618" t="s">
        <v>86</v>
      </c>
      <c r="L2618" t="s">
        <v>62</v>
      </c>
      <c r="M2618" t="s">
        <v>63</v>
      </c>
      <c r="N2618" t="s">
        <v>64</v>
      </c>
      <c r="O2618">
        <v>6</v>
      </c>
      <c r="P2618" t="s">
        <v>201</v>
      </c>
      <c r="T2618">
        <v>10</v>
      </c>
      <c r="V2618">
        <v>18</v>
      </c>
      <c r="W2618" t="s">
        <v>66</v>
      </c>
      <c r="X2618" t="s">
        <v>67</v>
      </c>
      <c r="Y2618" t="s">
        <v>67</v>
      </c>
      <c r="Z2618" t="s">
        <v>68</v>
      </c>
      <c r="AB2618">
        <v>4</v>
      </c>
      <c r="AC2618" t="s">
        <v>61</v>
      </c>
      <c r="AJ2618" t="s">
        <v>69</v>
      </c>
      <c r="AY2618" t="s">
        <v>173</v>
      </c>
      <c r="AZ2618">
        <v>167113</v>
      </c>
      <c r="BA2618" t="s">
        <v>174</v>
      </c>
      <c r="BB2618" t="s">
        <v>175</v>
      </c>
      <c r="BC2618">
        <v>1974</v>
      </c>
      <c r="BD2618" t="s">
        <v>90</v>
      </c>
    </row>
    <row r="2619" spans="1:56" x14ac:dyDescent="0.35">
      <c r="A2619">
        <v>7383199</v>
      </c>
      <c r="B2619" t="s">
        <v>1986</v>
      </c>
      <c r="D2619" t="s">
        <v>57</v>
      </c>
      <c r="E2619">
        <v>99</v>
      </c>
      <c r="F2619" t="s">
        <v>58</v>
      </c>
      <c r="G2619" t="s">
        <v>59</v>
      </c>
      <c r="H2619" t="s">
        <v>60</v>
      </c>
      <c r="J2619">
        <v>32</v>
      </c>
      <c r="K2619" t="s">
        <v>61</v>
      </c>
      <c r="L2619" t="s">
        <v>74</v>
      </c>
      <c r="M2619" t="s">
        <v>63</v>
      </c>
      <c r="N2619" t="s">
        <v>64</v>
      </c>
      <c r="P2619" t="s">
        <v>65</v>
      </c>
      <c r="R2619">
        <v>1.76</v>
      </c>
      <c r="T2619">
        <v>1.61</v>
      </c>
      <c r="V2619">
        <v>1.93</v>
      </c>
      <c r="W2619" t="s">
        <v>66</v>
      </c>
      <c r="X2619" t="s">
        <v>67</v>
      </c>
      <c r="Y2619" t="s">
        <v>67</v>
      </c>
      <c r="Z2619" t="s">
        <v>68</v>
      </c>
      <c r="AB2619">
        <v>4</v>
      </c>
      <c r="AC2619" t="s">
        <v>61</v>
      </c>
      <c r="AJ2619" t="s">
        <v>69</v>
      </c>
      <c r="AY2619" t="s">
        <v>80</v>
      </c>
      <c r="AZ2619">
        <v>12859</v>
      </c>
      <c r="BA2619" t="s">
        <v>81</v>
      </c>
      <c r="BB2619" t="s">
        <v>82</v>
      </c>
      <c r="BC2619">
        <v>1988</v>
      </c>
      <c r="BD2619" t="s">
        <v>73</v>
      </c>
    </row>
    <row r="2620" spans="1:56" x14ac:dyDescent="0.35">
      <c r="A2620">
        <v>7383199</v>
      </c>
      <c r="B2620" t="s">
        <v>1986</v>
      </c>
      <c r="D2620" t="s">
        <v>57</v>
      </c>
      <c r="E2620" t="s">
        <v>128</v>
      </c>
      <c r="F2620" t="s">
        <v>58</v>
      </c>
      <c r="G2620" t="s">
        <v>59</v>
      </c>
      <c r="H2620" t="s">
        <v>60</v>
      </c>
      <c r="I2620" t="s">
        <v>129</v>
      </c>
      <c r="J2620" t="s">
        <v>86</v>
      </c>
      <c r="K2620" t="s">
        <v>61</v>
      </c>
      <c r="L2620" t="s">
        <v>74</v>
      </c>
      <c r="M2620" t="s">
        <v>63</v>
      </c>
      <c r="N2620" t="s">
        <v>64</v>
      </c>
      <c r="P2620" t="s">
        <v>65</v>
      </c>
      <c r="R2620">
        <v>1.76</v>
      </c>
      <c r="T2620">
        <v>1.61</v>
      </c>
      <c r="V2620">
        <v>1.93</v>
      </c>
      <c r="W2620" t="s">
        <v>66</v>
      </c>
      <c r="X2620" t="s">
        <v>67</v>
      </c>
      <c r="Y2620" t="s">
        <v>67</v>
      </c>
      <c r="Z2620" t="s">
        <v>68</v>
      </c>
      <c r="AB2620">
        <v>4</v>
      </c>
      <c r="AC2620" t="s">
        <v>61</v>
      </c>
      <c r="AJ2620" t="s">
        <v>69</v>
      </c>
      <c r="AY2620" t="s">
        <v>541</v>
      </c>
      <c r="AZ2620">
        <v>2721</v>
      </c>
      <c r="BA2620" t="s">
        <v>542</v>
      </c>
      <c r="BB2620" t="s">
        <v>543</v>
      </c>
      <c r="BC2620">
        <v>1989</v>
      </c>
      <c r="BD2620" t="s">
        <v>544</v>
      </c>
    </row>
    <row r="2621" spans="1:56" x14ac:dyDescent="0.35">
      <c r="A2621">
        <v>7420895</v>
      </c>
      <c r="B2621" t="s">
        <v>1987</v>
      </c>
      <c r="D2621" t="s">
        <v>85</v>
      </c>
      <c r="E2621" t="s">
        <v>86</v>
      </c>
      <c r="F2621" t="s">
        <v>58</v>
      </c>
      <c r="G2621" t="s">
        <v>59</v>
      </c>
      <c r="H2621" t="s">
        <v>60</v>
      </c>
      <c r="J2621" t="s">
        <v>86</v>
      </c>
      <c r="L2621" t="s">
        <v>62</v>
      </c>
      <c r="M2621" t="s">
        <v>63</v>
      </c>
      <c r="N2621" t="s">
        <v>64</v>
      </c>
      <c r="O2621">
        <v>4</v>
      </c>
      <c r="P2621" t="s">
        <v>100</v>
      </c>
      <c r="Q2621" t="s">
        <v>153</v>
      </c>
      <c r="R2621">
        <v>100</v>
      </c>
      <c r="W2621" t="s">
        <v>66</v>
      </c>
      <c r="X2621" t="s">
        <v>67</v>
      </c>
      <c r="Y2621" t="s">
        <v>67</v>
      </c>
      <c r="Z2621" t="s">
        <v>68</v>
      </c>
      <c r="AB2621">
        <v>4</v>
      </c>
      <c r="AC2621" t="s">
        <v>61</v>
      </c>
      <c r="AJ2621" t="s">
        <v>69</v>
      </c>
      <c r="AY2621" t="s">
        <v>173</v>
      </c>
      <c r="AZ2621">
        <v>167113</v>
      </c>
      <c r="BA2621" t="s">
        <v>174</v>
      </c>
      <c r="BB2621" t="s">
        <v>175</v>
      </c>
      <c r="BC2621">
        <v>1974</v>
      </c>
      <c r="BD2621" t="s">
        <v>90</v>
      </c>
    </row>
    <row r="2622" spans="1:56" x14ac:dyDescent="0.35">
      <c r="A2622">
        <v>7439965</v>
      </c>
      <c r="B2622" t="s">
        <v>1988</v>
      </c>
      <c r="D2622" t="s">
        <v>57</v>
      </c>
      <c r="E2622" t="s">
        <v>86</v>
      </c>
      <c r="F2622" t="s">
        <v>58</v>
      </c>
      <c r="G2622" t="s">
        <v>59</v>
      </c>
      <c r="H2622" t="s">
        <v>60</v>
      </c>
      <c r="J2622" t="s">
        <v>86</v>
      </c>
      <c r="L2622" t="s">
        <v>74</v>
      </c>
      <c r="M2622" t="s">
        <v>63</v>
      </c>
      <c r="N2622" t="s">
        <v>64</v>
      </c>
      <c r="P2622" t="s">
        <v>201</v>
      </c>
      <c r="R2622">
        <v>28</v>
      </c>
      <c r="W2622" t="s">
        <v>66</v>
      </c>
      <c r="X2622" t="s">
        <v>67</v>
      </c>
      <c r="Y2622" t="s">
        <v>67</v>
      </c>
      <c r="Z2622" t="s">
        <v>68</v>
      </c>
      <c r="AB2622">
        <v>4</v>
      </c>
      <c r="AC2622" t="s">
        <v>61</v>
      </c>
      <c r="AJ2622" t="s">
        <v>69</v>
      </c>
      <c r="AY2622" t="s">
        <v>1989</v>
      </c>
      <c r="AZ2622">
        <v>120966</v>
      </c>
      <c r="BA2622" t="s">
        <v>1990</v>
      </c>
      <c r="BB2622" t="s">
        <v>1991</v>
      </c>
      <c r="BC2622">
        <v>1978</v>
      </c>
      <c r="BD2622" t="s">
        <v>90</v>
      </c>
    </row>
    <row r="2623" spans="1:56" x14ac:dyDescent="0.35">
      <c r="A2623">
        <v>7439976</v>
      </c>
      <c r="B2623" t="s">
        <v>1992</v>
      </c>
      <c r="D2623" t="s">
        <v>57</v>
      </c>
      <c r="E2623" t="s">
        <v>86</v>
      </c>
      <c r="F2623" t="s">
        <v>58</v>
      </c>
      <c r="G2623" t="s">
        <v>59</v>
      </c>
      <c r="H2623" t="s">
        <v>60</v>
      </c>
      <c r="J2623" t="s">
        <v>86</v>
      </c>
      <c r="M2623" t="s">
        <v>63</v>
      </c>
      <c r="N2623" t="s">
        <v>64</v>
      </c>
      <c r="O2623">
        <v>6</v>
      </c>
      <c r="P2623" t="s">
        <v>201</v>
      </c>
      <c r="R2623">
        <v>0.55000000000000004</v>
      </c>
      <c r="W2623" t="s">
        <v>66</v>
      </c>
      <c r="X2623" t="s">
        <v>67</v>
      </c>
      <c r="Y2623" t="s">
        <v>67</v>
      </c>
      <c r="Z2623" t="s">
        <v>68</v>
      </c>
      <c r="AB2623">
        <v>4</v>
      </c>
      <c r="AC2623" t="s">
        <v>61</v>
      </c>
      <c r="AJ2623" t="s">
        <v>69</v>
      </c>
      <c r="AY2623" t="s">
        <v>138</v>
      </c>
      <c r="AZ2623">
        <v>120926</v>
      </c>
      <c r="BA2623" t="s">
        <v>139</v>
      </c>
      <c r="BB2623" t="s">
        <v>140</v>
      </c>
      <c r="BC2623">
        <v>1980</v>
      </c>
      <c r="BD2623" t="s">
        <v>90</v>
      </c>
    </row>
    <row r="2624" spans="1:56" x14ac:dyDescent="0.35">
      <c r="A2624">
        <v>7440224</v>
      </c>
      <c r="B2624" t="s">
        <v>1993</v>
      </c>
      <c r="C2624" t="s">
        <v>195</v>
      </c>
      <c r="D2624" t="s">
        <v>85</v>
      </c>
      <c r="E2624" t="s">
        <v>86</v>
      </c>
      <c r="F2624" t="s">
        <v>58</v>
      </c>
      <c r="G2624" t="s">
        <v>59</v>
      </c>
      <c r="H2624" t="s">
        <v>60</v>
      </c>
      <c r="J2624" t="s">
        <v>289</v>
      </c>
      <c r="K2624" t="s">
        <v>184</v>
      </c>
      <c r="L2624" t="s">
        <v>62</v>
      </c>
      <c r="M2624" t="s">
        <v>63</v>
      </c>
      <c r="N2624" t="s">
        <v>64</v>
      </c>
      <c r="P2624" t="s">
        <v>201</v>
      </c>
      <c r="R2624">
        <v>2.1299999999999999E-3</v>
      </c>
      <c r="T2624">
        <v>1.5499999999999999E-3</v>
      </c>
      <c r="V2624">
        <v>2.9299999999999999E-3</v>
      </c>
      <c r="W2624" t="s">
        <v>66</v>
      </c>
      <c r="X2624" t="s">
        <v>67</v>
      </c>
      <c r="Y2624" t="s">
        <v>67</v>
      </c>
      <c r="Z2624" t="s">
        <v>68</v>
      </c>
      <c r="AB2624">
        <v>4</v>
      </c>
      <c r="AC2624" t="s">
        <v>61</v>
      </c>
      <c r="AJ2624" t="s">
        <v>69</v>
      </c>
      <c r="AY2624" t="s">
        <v>1994</v>
      </c>
      <c r="AZ2624">
        <v>20261</v>
      </c>
      <c r="BA2624" t="s">
        <v>1995</v>
      </c>
      <c r="BB2624" t="s">
        <v>1996</v>
      </c>
      <c r="BC2624">
        <v>1996</v>
      </c>
      <c r="BD2624" t="s">
        <v>185</v>
      </c>
    </row>
    <row r="2625" spans="1:56" x14ac:dyDescent="0.35">
      <c r="A2625">
        <v>7440224</v>
      </c>
      <c r="B2625" t="s">
        <v>1993</v>
      </c>
      <c r="C2625" t="s">
        <v>195</v>
      </c>
      <c r="D2625" t="s">
        <v>85</v>
      </c>
      <c r="E2625" t="s">
        <v>86</v>
      </c>
      <c r="F2625" t="s">
        <v>58</v>
      </c>
      <c r="G2625" t="s">
        <v>59</v>
      </c>
      <c r="H2625" t="s">
        <v>60</v>
      </c>
      <c r="J2625" t="s">
        <v>289</v>
      </c>
      <c r="K2625" t="s">
        <v>184</v>
      </c>
      <c r="L2625" t="s">
        <v>62</v>
      </c>
      <c r="M2625" t="s">
        <v>63</v>
      </c>
      <c r="N2625" t="s">
        <v>64</v>
      </c>
      <c r="P2625" t="s">
        <v>201</v>
      </c>
      <c r="R2625">
        <v>3.4199999999999999E-3</v>
      </c>
      <c r="T2625">
        <v>2.8900000000000002E-3</v>
      </c>
      <c r="V2625">
        <v>4.0499999999999998E-3</v>
      </c>
      <c r="W2625" t="s">
        <v>66</v>
      </c>
      <c r="X2625" t="s">
        <v>67</v>
      </c>
      <c r="Y2625" t="s">
        <v>67</v>
      </c>
      <c r="Z2625" t="s">
        <v>68</v>
      </c>
      <c r="AB2625">
        <v>4</v>
      </c>
      <c r="AC2625" t="s">
        <v>61</v>
      </c>
      <c r="AJ2625" t="s">
        <v>69</v>
      </c>
      <c r="AY2625" t="s">
        <v>1994</v>
      </c>
      <c r="AZ2625">
        <v>20261</v>
      </c>
      <c r="BA2625" t="s">
        <v>1995</v>
      </c>
      <c r="BB2625" t="s">
        <v>1996</v>
      </c>
      <c r="BC2625">
        <v>1996</v>
      </c>
      <c r="BD2625" t="s">
        <v>185</v>
      </c>
    </row>
    <row r="2626" spans="1:56" x14ac:dyDescent="0.35">
      <c r="A2626">
        <v>7440224</v>
      </c>
      <c r="B2626" t="s">
        <v>1993</v>
      </c>
      <c r="C2626" t="s">
        <v>195</v>
      </c>
      <c r="D2626" t="s">
        <v>85</v>
      </c>
      <c r="E2626" t="s">
        <v>86</v>
      </c>
      <c r="F2626" t="s">
        <v>58</v>
      </c>
      <c r="G2626" t="s">
        <v>59</v>
      </c>
      <c r="H2626" t="s">
        <v>60</v>
      </c>
      <c r="J2626" t="s">
        <v>289</v>
      </c>
      <c r="K2626" t="s">
        <v>184</v>
      </c>
      <c r="L2626" t="s">
        <v>62</v>
      </c>
      <c r="M2626" t="s">
        <v>63</v>
      </c>
      <c r="N2626" t="s">
        <v>64</v>
      </c>
      <c r="P2626" t="s">
        <v>201</v>
      </c>
      <c r="R2626">
        <v>6.2500000000000003E-3</v>
      </c>
      <c r="T2626">
        <v>5.3600000000000002E-3</v>
      </c>
      <c r="V2626">
        <v>7.3000000000000001E-3</v>
      </c>
      <c r="W2626" t="s">
        <v>66</v>
      </c>
      <c r="X2626" t="s">
        <v>67</v>
      </c>
      <c r="Y2626" t="s">
        <v>67</v>
      </c>
      <c r="Z2626" t="s">
        <v>68</v>
      </c>
      <c r="AB2626">
        <v>4</v>
      </c>
      <c r="AC2626" t="s">
        <v>61</v>
      </c>
      <c r="AJ2626" t="s">
        <v>69</v>
      </c>
      <c r="AY2626" t="s">
        <v>1994</v>
      </c>
      <c r="AZ2626">
        <v>20261</v>
      </c>
      <c r="BA2626" t="s">
        <v>1995</v>
      </c>
      <c r="BB2626" t="s">
        <v>1996</v>
      </c>
      <c r="BC2626">
        <v>1996</v>
      </c>
      <c r="BD2626" t="s">
        <v>185</v>
      </c>
    </row>
    <row r="2627" spans="1:56" x14ac:dyDescent="0.35">
      <c r="A2627">
        <v>7440224</v>
      </c>
      <c r="B2627" t="s">
        <v>1993</v>
      </c>
      <c r="C2627" t="s">
        <v>195</v>
      </c>
      <c r="D2627" t="s">
        <v>85</v>
      </c>
      <c r="E2627" t="s">
        <v>86</v>
      </c>
      <c r="F2627" t="s">
        <v>58</v>
      </c>
      <c r="G2627" t="s">
        <v>59</v>
      </c>
      <c r="H2627" t="s">
        <v>60</v>
      </c>
      <c r="J2627" t="s">
        <v>289</v>
      </c>
      <c r="K2627" t="s">
        <v>184</v>
      </c>
      <c r="L2627" t="s">
        <v>62</v>
      </c>
      <c r="M2627" t="s">
        <v>63</v>
      </c>
      <c r="N2627" t="s">
        <v>64</v>
      </c>
      <c r="P2627" t="s">
        <v>201</v>
      </c>
      <c r="R2627">
        <v>3.1199999999999999E-3</v>
      </c>
      <c r="T2627">
        <v>2.5999999999999999E-3</v>
      </c>
      <c r="V2627">
        <v>3.7299999999999998E-3</v>
      </c>
      <c r="W2627" t="s">
        <v>66</v>
      </c>
      <c r="X2627" t="s">
        <v>67</v>
      </c>
      <c r="Y2627" t="s">
        <v>67</v>
      </c>
      <c r="Z2627" t="s">
        <v>68</v>
      </c>
      <c r="AB2627">
        <v>4</v>
      </c>
      <c r="AC2627" t="s">
        <v>61</v>
      </c>
      <c r="AJ2627" t="s">
        <v>69</v>
      </c>
      <c r="AY2627" t="s">
        <v>1994</v>
      </c>
      <c r="AZ2627">
        <v>20261</v>
      </c>
      <c r="BA2627" t="s">
        <v>1995</v>
      </c>
      <c r="BB2627" t="s">
        <v>1996</v>
      </c>
      <c r="BC2627">
        <v>1996</v>
      </c>
      <c r="BD2627" t="s">
        <v>185</v>
      </c>
    </row>
    <row r="2628" spans="1:56" x14ac:dyDescent="0.35">
      <c r="A2628">
        <v>7440224</v>
      </c>
      <c r="B2628" t="s">
        <v>1993</v>
      </c>
      <c r="C2628" t="s">
        <v>195</v>
      </c>
      <c r="D2628" t="s">
        <v>85</v>
      </c>
      <c r="E2628" t="s">
        <v>86</v>
      </c>
      <c r="F2628" t="s">
        <v>58</v>
      </c>
      <c r="G2628" t="s">
        <v>59</v>
      </c>
      <c r="H2628" t="s">
        <v>60</v>
      </c>
      <c r="J2628" t="s">
        <v>289</v>
      </c>
      <c r="K2628" t="s">
        <v>184</v>
      </c>
      <c r="L2628" t="s">
        <v>62</v>
      </c>
      <c r="M2628" t="s">
        <v>63</v>
      </c>
      <c r="N2628" t="s">
        <v>64</v>
      </c>
      <c r="P2628" t="s">
        <v>201</v>
      </c>
      <c r="R2628">
        <v>7.0499999999999998E-3</v>
      </c>
      <c r="T2628">
        <v>5.7400000000000003E-3</v>
      </c>
      <c r="V2628">
        <v>8.6700000000000006E-3</v>
      </c>
      <c r="W2628" t="s">
        <v>66</v>
      </c>
      <c r="X2628" t="s">
        <v>67</v>
      </c>
      <c r="Y2628" t="s">
        <v>67</v>
      </c>
      <c r="Z2628" t="s">
        <v>68</v>
      </c>
      <c r="AB2628">
        <v>4</v>
      </c>
      <c r="AC2628" t="s">
        <v>61</v>
      </c>
      <c r="AJ2628" t="s">
        <v>69</v>
      </c>
      <c r="AY2628" t="s">
        <v>1994</v>
      </c>
      <c r="AZ2628">
        <v>20261</v>
      </c>
      <c r="BA2628" t="s">
        <v>1995</v>
      </c>
      <c r="BB2628" t="s">
        <v>1996</v>
      </c>
      <c r="BC2628">
        <v>1996</v>
      </c>
      <c r="BD2628" t="s">
        <v>185</v>
      </c>
    </row>
    <row r="2629" spans="1:56" x14ac:dyDescent="0.35">
      <c r="A2629">
        <v>7440224</v>
      </c>
      <c r="B2629" t="s">
        <v>1993</v>
      </c>
      <c r="C2629" t="s">
        <v>195</v>
      </c>
      <c r="D2629" t="s">
        <v>85</v>
      </c>
      <c r="E2629" t="s">
        <v>86</v>
      </c>
      <c r="F2629" t="s">
        <v>58</v>
      </c>
      <c r="G2629" t="s">
        <v>59</v>
      </c>
      <c r="H2629" t="s">
        <v>60</v>
      </c>
      <c r="J2629" t="s">
        <v>289</v>
      </c>
      <c r="K2629" t="s">
        <v>184</v>
      </c>
      <c r="L2629" t="s">
        <v>62</v>
      </c>
      <c r="M2629" t="s">
        <v>63</v>
      </c>
      <c r="N2629" t="s">
        <v>64</v>
      </c>
      <c r="P2629" t="s">
        <v>201</v>
      </c>
      <c r="R2629">
        <v>8.0499999999999999E-3</v>
      </c>
      <c r="T2629">
        <v>6.8199999999999997E-3</v>
      </c>
      <c r="V2629">
        <v>9.5099999999999994E-3</v>
      </c>
      <c r="W2629" t="s">
        <v>66</v>
      </c>
      <c r="X2629" t="s">
        <v>67</v>
      </c>
      <c r="Y2629" t="s">
        <v>67</v>
      </c>
      <c r="Z2629" t="s">
        <v>68</v>
      </c>
      <c r="AB2629">
        <v>4</v>
      </c>
      <c r="AC2629" t="s">
        <v>61</v>
      </c>
      <c r="AJ2629" t="s">
        <v>69</v>
      </c>
      <c r="AY2629" t="s">
        <v>1994</v>
      </c>
      <c r="AZ2629">
        <v>20261</v>
      </c>
      <c r="BA2629" t="s">
        <v>1995</v>
      </c>
      <c r="BB2629" t="s">
        <v>1996</v>
      </c>
      <c r="BC2629">
        <v>1996</v>
      </c>
      <c r="BD2629" t="s">
        <v>185</v>
      </c>
    </row>
    <row r="2630" spans="1:56" x14ac:dyDescent="0.35">
      <c r="A2630">
        <v>7440224</v>
      </c>
      <c r="B2630" t="s">
        <v>1993</v>
      </c>
      <c r="E2630" t="s">
        <v>86</v>
      </c>
      <c r="F2630" t="s">
        <v>58</v>
      </c>
      <c r="G2630" t="s">
        <v>59</v>
      </c>
      <c r="H2630" t="s">
        <v>60</v>
      </c>
      <c r="J2630" t="s">
        <v>86</v>
      </c>
      <c r="L2630" t="s">
        <v>62</v>
      </c>
      <c r="M2630" t="s">
        <v>63</v>
      </c>
      <c r="N2630" t="s">
        <v>64</v>
      </c>
      <c r="R2630">
        <v>3.6249999999999998E-2</v>
      </c>
      <c r="W2630" t="s">
        <v>66</v>
      </c>
      <c r="X2630" t="s">
        <v>67</v>
      </c>
      <c r="Y2630" t="s">
        <v>67</v>
      </c>
      <c r="Z2630" t="s">
        <v>68</v>
      </c>
      <c r="AB2630">
        <v>4</v>
      </c>
      <c r="AC2630" t="s">
        <v>61</v>
      </c>
      <c r="AJ2630" t="s">
        <v>69</v>
      </c>
      <c r="AY2630" t="s">
        <v>116</v>
      </c>
      <c r="AZ2630">
        <v>344</v>
      </c>
      <c r="BA2630" t="s">
        <v>117</v>
      </c>
      <c r="BB2630" t="s">
        <v>118</v>
      </c>
      <c r="BC2630">
        <v>1992</v>
      </c>
      <c r="BD2630" t="s">
        <v>90</v>
      </c>
    </row>
    <row r="2631" spans="1:56" x14ac:dyDescent="0.35">
      <c r="A2631">
        <v>7440224</v>
      </c>
      <c r="B2631" t="s">
        <v>1993</v>
      </c>
      <c r="C2631" t="s">
        <v>195</v>
      </c>
      <c r="D2631" t="s">
        <v>85</v>
      </c>
      <c r="E2631" t="s">
        <v>86</v>
      </c>
      <c r="F2631" t="s">
        <v>58</v>
      </c>
      <c r="G2631" t="s">
        <v>59</v>
      </c>
      <c r="H2631" t="s">
        <v>60</v>
      </c>
      <c r="J2631" t="s">
        <v>289</v>
      </c>
      <c r="K2631" t="s">
        <v>184</v>
      </c>
      <c r="L2631" t="s">
        <v>62</v>
      </c>
      <c r="M2631" t="s">
        <v>63</v>
      </c>
      <c r="N2631" t="s">
        <v>64</v>
      </c>
      <c r="P2631" t="s">
        <v>201</v>
      </c>
      <c r="R2631">
        <v>6.28E-3</v>
      </c>
      <c r="T2631">
        <v>5.13E-3</v>
      </c>
      <c r="V2631">
        <v>7.7000000000000002E-3</v>
      </c>
      <c r="W2631" t="s">
        <v>66</v>
      </c>
      <c r="X2631" t="s">
        <v>67</v>
      </c>
      <c r="Y2631" t="s">
        <v>67</v>
      </c>
      <c r="Z2631" t="s">
        <v>68</v>
      </c>
      <c r="AB2631">
        <v>4</v>
      </c>
      <c r="AC2631" t="s">
        <v>61</v>
      </c>
      <c r="AJ2631" t="s">
        <v>69</v>
      </c>
      <c r="AY2631" t="s">
        <v>1994</v>
      </c>
      <c r="AZ2631">
        <v>20261</v>
      </c>
      <c r="BA2631" t="s">
        <v>1995</v>
      </c>
      <c r="BB2631" t="s">
        <v>1996</v>
      </c>
      <c r="BC2631">
        <v>1996</v>
      </c>
      <c r="BD2631" t="s">
        <v>185</v>
      </c>
    </row>
    <row r="2632" spans="1:56" x14ac:dyDescent="0.35">
      <c r="A2632">
        <v>7440224</v>
      </c>
      <c r="B2632" t="s">
        <v>1993</v>
      </c>
      <c r="C2632" t="s">
        <v>195</v>
      </c>
      <c r="D2632" t="s">
        <v>85</v>
      </c>
      <c r="E2632" t="s">
        <v>86</v>
      </c>
      <c r="F2632" t="s">
        <v>58</v>
      </c>
      <c r="G2632" t="s">
        <v>59</v>
      </c>
      <c r="H2632" t="s">
        <v>60</v>
      </c>
      <c r="J2632" t="s">
        <v>289</v>
      </c>
      <c r="K2632" t="s">
        <v>184</v>
      </c>
      <c r="L2632" t="s">
        <v>62</v>
      </c>
      <c r="M2632" t="s">
        <v>63</v>
      </c>
      <c r="N2632" t="s">
        <v>64</v>
      </c>
      <c r="P2632" t="s">
        <v>201</v>
      </c>
      <c r="R2632">
        <v>8.5000000000000006E-3</v>
      </c>
      <c r="T2632">
        <v>7.1199999999999996E-3</v>
      </c>
      <c r="V2632">
        <v>1.014E-2</v>
      </c>
      <c r="W2632" t="s">
        <v>66</v>
      </c>
      <c r="X2632" t="s">
        <v>67</v>
      </c>
      <c r="Y2632" t="s">
        <v>67</v>
      </c>
      <c r="Z2632" t="s">
        <v>68</v>
      </c>
      <c r="AB2632">
        <v>4</v>
      </c>
      <c r="AC2632" t="s">
        <v>61</v>
      </c>
      <c r="AJ2632" t="s">
        <v>69</v>
      </c>
      <c r="AY2632" t="s">
        <v>1994</v>
      </c>
      <c r="AZ2632">
        <v>20261</v>
      </c>
      <c r="BA2632" t="s">
        <v>1995</v>
      </c>
      <c r="BB2632" t="s">
        <v>1996</v>
      </c>
      <c r="BC2632">
        <v>1996</v>
      </c>
      <c r="BD2632" t="s">
        <v>185</v>
      </c>
    </row>
    <row r="2633" spans="1:56" x14ac:dyDescent="0.35">
      <c r="A2633">
        <v>7440224</v>
      </c>
      <c r="B2633" t="s">
        <v>1993</v>
      </c>
      <c r="C2633" t="s">
        <v>195</v>
      </c>
      <c r="D2633" t="s">
        <v>85</v>
      </c>
      <c r="E2633" t="s">
        <v>86</v>
      </c>
      <c r="F2633" t="s">
        <v>58</v>
      </c>
      <c r="G2633" t="s">
        <v>59</v>
      </c>
      <c r="H2633" t="s">
        <v>60</v>
      </c>
      <c r="J2633" t="s">
        <v>289</v>
      </c>
      <c r="K2633" t="s">
        <v>184</v>
      </c>
      <c r="L2633" t="s">
        <v>62</v>
      </c>
      <c r="M2633" t="s">
        <v>63</v>
      </c>
      <c r="N2633" t="s">
        <v>64</v>
      </c>
      <c r="P2633" t="s">
        <v>201</v>
      </c>
      <c r="R2633">
        <v>6.9100000000000003E-3</v>
      </c>
      <c r="T2633">
        <v>5.6600000000000001E-3</v>
      </c>
      <c r="V2633">
        <v>8.43E-3</v>
      </c>
      <c r="W2633" t="s">
        <v>66</v>
      </c>
      <c r="X2633" t="s">
        <v>67</v>
      </c>
      <c r="Y2633" t="s">
        <v>67</v>
      </c>
      <c r="Z2633" t="s">
        <v>68</v>
      </c>
      <c r="AB2633">
        <v>4</v>
      </c>
      <c r="AC2633" t="s">
        <v>61</v>
      </c>
      <c r="AJ2633" t="s">
        <v>69</v>
      </c>
      <c r="AY2633" t="s">
        <v>1994</v>
      </c>
      <c r="AZ2633">
        <v>20261</v>
      </c>
      <c r="BA2633" t="s">
        <v>1995</v>
      </c>
      <c r="BB2633" t="s">
        <v>1996</v>
      </c>
      <c r="BC2633">
        <v>1996</v>
      </c>
      <c r="BD2633" t="s">
        <v>185</v>
      </c>
    </row>
    <row r="2634" spans="1:56" x14ac:dyDescent="0.35">
      <c r="A2634">
        <v>7440224</v>
      </c>
      <c r="B2634" t="s">
        <v>1993</v>
      </c>
      <c r="C2634" t="s">
        <v>195</v>
      </c>
      <c r="D2634" t="s">
        <v>85</v>
      </c>
      <c r="E2634" t="s">
        <v>86</v>
      </c>
      <c r="F2634" t="s">
        <v>58</v>
      </c>
      <c r="G2634" t="s">
        <v>59</v>
      </c>
      <c r="H2634" t="s">
        <v>60</v>
      </c>
      <c r="J2634" t="s">
        <v>289</v>
      </c>
      <c r="K2634" t="s">
        <v>184</v>
      </c>
      <c r="L2634" t="s">
        <v>62</v>
      </c>
      <c r="M2634" t="s">
        <v>63</v>
      </c>
      <c r="N2634" t="s">
        <v>64</v>
      </c>
      <c r="P2634" t="s">
        <v>201</v>
      </c>
      <c r="R2634">
        <v>6.4200000000000004E-3</v>
      </c>
      <c r="T2634">
        <v>5.13E-3</v>
      </c>
      <c r="V2634">
        <v>8.0400000000000003E-3</v>
      </c>
      <c r="W2634" t="s">
        <v>66</v>
      </c>
      <c r="X2634" t="s">
        <v>67</v>
      </c>
      <c r="Y2634" t="s">
        <v>67</v>
      </c>
      <c r="Z2634" t="s">
        <v>68</v>
      </c>
      <c r="AB2634">
        <v>4</v>
      </c>
      <c r="AC2634" t="s">
        <v>61</v>
      </c>
      <c r="AJ2634" t="s">
        <v>69</v>
      </c>
      <c r="AY2634" t="s">
        <v>1994</v>
      </c>
      <c r="AZ2634">
        <v>20261</v>
      </c>
      <c r="BA2634" t="s">
        <v>1995</v>
      </c>
      <c r="BB2634" t="s">
        <v>1996</v>
      </c>
      <c r="BC2634">
        <v>1996</v>
      </c>
      <c r="BD2634" t="s">
        <v>185</v>
      </c>
    </row>
    <row r="2635" spans="1:56" x14ac:dyDescent="0.35">
      <c r="A2635">
        <v>7440224</v>
      </c>
      <c r="B2635" t="s">
        <v>1993</v>
      </c>
      <c r="C2635" t="s">
        <v>195</v>
      </c>
      <c r="D2635" t="s">
        <v>85</v>
      </c>
      <c r="E2635" t="s">
        <v>86</v>
      </c>
      <c r="F2635" t="s">
        <v>58</v>
      </c>
      <c r="G2635" t="s">
        <v>59</v>
      </c>
      <c r="H2635" t="s">
        <v>60</v>
      </c>
      <c r="J2635" t="s">
        <v>289</v>
      </c>
      <c r="K2635" t="s">
        <v>184</v>
      </c>
      <c r="L2635" t="s">
        <v>62</v>
      </c>
      <c r="M2635" t="s">
        <v>63</v>
      </c>
      <c r="N2635" t="s">
        <v>64</v>
      </c>
      <c r="P2635" t="s">
        <v>201</v>
      </c>
      <c r="R2635">
        <v>4.7000000000000002E-3</v>
      </c>
      <c r="T2635">
        <v>3.9399999999999999E-3</v>
      </c>
      <c r="V2635">
        <v>5.62E-3</v>
      </c>
      <c r="W2635" t="s">
        <v>66</v>
      </c>
      <c r="X2635" t="s">
        <v>67</v>
      </c>
      <c r="Y2635" t="s">
        <v>67</v>
      </c>
      <c r="Z2635" t="s">
        <v>68</v>
      </c>
      <c r="AB2635">
        <v>4</v>
      </c>
      <c r="AC2635" t="s">
        <v>61</v>
      </c>
      <c r="AJ2635" t="s">
        <v>69</v>
      </c>
      <c r="AY2635" t="s">
        <v>1994</v>
      </c>
      <c r="AZ2635">
        <v>20261</v>
      </c>
      <c r="BA2635" t="s">
        <v>1995</v>
      </c>
      <c r="BB2635" t="s">
        <v>1996</v>
      </c>
      <c r="BC2635">
        <v>1996</v>
      </c>
      <c r="BD2635" t="s">
        <v>185</v>
      </c>
    </row>
    <row r="2636" spans="1:56" x14ac:dyDescent="0.35">
      <c r="A2636">
        <v>7440224</v>
      </c>
      <c r="B2636" t="s">
        <v>1993</v>
      </c>
      <c r="C2636" t="s">
        <v>195</v>
      </c>
      <c r="D2636" t="s">
        <v>85</v>
      </c>
      <c r="E2636" t="s">
        <v>86</v>
      </c>
      <c r="F2636" t="s">
        <v>58</v>
      </c>
      <c r="G2636" t="s">
        <v>59</v>
      </c>
      <c r="H2636" t="s">
        <v>60</v>
      </c>
      <c r="J2636" t="s">
        <v>289</v>
      </c>
      <c r="K2636" t="s">
        <v>184</v>
      </c>
      <c r="L2636" t="s">
        <v>62</v>
      </c>
      <c r="M2636" t="s">
        <v>63</v>
      </c>
      <c r="N2636" t="s">
        <v>64</v>
      </c>
      <c r="P2636" t="s">
        <v>201</v>
      </c>
      <c r="R2636">
        <v>2.3800000000000002E-3</v>
      </c>
      <c r="T2636">
        <v>1.8600000000000001E-3</v>
      </c>
      <c r="V2636">
        <v>3.0400000000000002E-3</v>
      </c>
      <c r="W2636" t="s">
        <v>66</v>
      </c>
      <c r="X2636" t="s">
        <v>67</v>
      </c>
      <c r="Y2636" t="s">
        <v>67</v>
      </c>
      <c r="Z2636" t="s">
        <v>68</v>
      </c>
      <c r="AB2636">
        <v>4</v>
      </c>
      <c r="AC2636" t="s">
        <v>61</v>
      </c>
      <c r="AJ2636" t="s">
        <v>69</v>
      </c>
      <c r="AY2636" t="s">
        <v>1994</v>
      </c>
      <c r="AZ2636">
        <v>20261</v>
      </c>
      <c r="BA2636" t="s">
        <v>1995</v>
      </c>
      <c r="BB2636" t="s">
        <v>1996</v>
      </c>
      <c r="BC2636">
        <v>1996</v>
      </c>
      <c r="BD2636" t="s">
        <v>185</v>
      </c>
    </row>
    <row r="2637" spans="1:56" x14ac:dyDescent="0.35">
      <c r="A2637">
        <v>7440224</v>
      </c>
      <c r="B2637" t="s">
        <v>1993</v>
      </c>
      <c r="C2637" t="s">
        <v>195</v>
      </c>
      <c r="D2637" t="s">
        <v>85</v>
      </c>
      <c r="E2637" t="s">
        <v>86</v>
      </c>
      <c r="F2637" t="s">
        <v>58</v>
      </c>
      <c r="G2637" t="s">
        <v>59</v>
      </c>
      <c r="H2637" t="s">
        <v>60</v>
      </c>
      <c r="J2637" t="s">
        <v>289</v>
      </c>
      <c r="K2637" t="s">
        <v>184</v>
      </c>
      <c r="L2637" t="s">
        <v>62</v>
      </c>
      <c r="M2637" t="s">
        <v>63</v>
      </c>
      <c r="N2637" t="s">
        <v>64</v>
      </c>
      <c r="P2637" t="s">
        <v>201</v>
      </c>
      <c r="R2637">
        <v>2.7599999999999999E-3</v>
      </c>
      <c r="T2637">
        <v>2.2899999999999999E-3</v>
      </c>
      <c r="V2637">
        <v>3.3300000000000001E-3</v>
      </c>
      <c r="W2637" t="s">
        <v>66</v>
      </c>
      <c r="X2637" t="s">
        <v>67</v>
      </c>
      <c r="Y2637" t="s">
        <v>67</v>
      </c>
      <c r="Z2637" t="s">
        <v>68</v>
      </c>
      <c r="AB2637">
        <v>4</v>
      </c>
      <c r="AC2637" t="s">
        <v>61</v>
      </c>
      <c r="AJ2637" t="s">
        <v>69</v>
      </c>
      <c r="AY2637" t="s">
        <v>1994</v>
      </c>
      <c r="AZ2637">
        <v>20261</v>
      </c>
      <c r="BA2637" t="s">
        <v>1995</v>
      </c>
      <c r="BB2637" t="s">
        <v>1996</v>
      </c>
      <c r="BC2637">
        <v>1996</v>
      </c>
      <c r="BD2637" t="s">
        <v>185</v>
      </c>
    </row>
    <row r="2638" spans="1:56" x14ac:dyDescent="0.35">
      <c r="A2638">
        <v>7440224</v>
      </c>
      <c r="B2638" t="s">
        <v>1993</v>
      </c>
      <c r="C2638" t="s">
        <v>195</v>
      </c>
      <c r="D2638" t="s">
        <v>85</v>
      </c>
      <c r="E2638" t="s">
        <v>86</v>
      </c>
      <c r="F2638" t="s">
        <v>58</v>
      </c>
      <c r="G2638" t="s">
        <v>59</v>
      </c>
      <c r="H2638" t="s">
        <v>60</v>
      </c>
      <c r="J2638" t="s">
        <v>289</v>
      </c>
      <c r="K2638" t="s">
        <v>184</v>
      </c>
      <c r="L2638" t="s">
        <v>62</v>
      </c>
      <c r="M2638" t="s">
        <v>63</v>
      </c>
      <c r="N2638" t="s">
        <v>64</v>
      </c>
      <c r="P2638" t="s">
        <v>201</v>
      </c>
      <c r="R2638">
        <v>8.94E-3</v>
      </c>
      <c r="T2638">
        <v>6.9300000000000004E-3</v>
      </c>
      <c r="V2638">
        <v>1.1520000000000001E-2</v>
      </c>
      <c r="W2638" t="s">
        <v>66</v>
      </c>
      <c r="X2638" t="s">
        <v>67</v>
      </c>
      <c r="Y2638" t="s">
        <v>67</v>
      </c>
      <c r="Z2638" t="s">
        <v>68</v>
      </c>
      <c r="AB2638">
        <v>4</v>
      </c>
      <c r="AC2638" t="s">
        <v>61</v>
      </c>
      <c r="AJ2638" t="s">
        <v>69</v>
      </c>
      <c r="AY2638" t="s">
        <v>1994</v>
      </c>
      <c r="AZ2638">
        <v>20261</v>
      </c>
      <c r="BA2638" t="s">
        <v>1995</v>
      </c>
      <c r="BB2638" t="s">
        <v>1996</v>
      </c>
      <c r="BC2638">
        <v>1996</v>
      </c>
      <c r="BD2638" t="s">
        <v>185</v>
      </c>
    </row>
    <row r="2639" spans="1:56" x14ac:dyDescent="0.35">
      <c r="A2639">
        <v>7440224</v>
      </c>
      <c r="B2639" t="s">
        <v>1993</v>
      </c>
      <c r="C2639" t="s">
        <v>195</v>
      </c>
      <c r="D2639" t="s">
        <v>85</v>
      </c>
      <c r="E2639" t="s">
        <v>86</v>
      </c>
      <c r="F2639" t="s">
        <v>58</v>
      </c>
      <c r="G2639" t="s">
        <v>59</v>
      </c>
      <c r="H2639" t="s">
        <v>60</v>
      </c>
      <c r="J2639" t="s">
        <v>289</v>
      </c>
      <c r="K2639" t="s">
        <v>184</v>
      </c>
      <c r="L2639" t="s">
        <v>62</v>
      </c>
      <c r="M2639" t="s">
        <v>63</v>
      </c>
      <c r="N2639" t="s">
        <v>64</v>
      </c>
      <c r="P2639" t="s">
        <v>201</v>
      </c>
      <c r="R2639">
        <v>8.1300000000000001E-3</v>
      </c>
      <c r="T2639">
        <v>6.7299999999999999E-3</v>
      </c>
      <c r="V2639">
        <v>9.8200000000000006E-3</v>
      </c>
      <c r="W2639" t="s">
        <v>66</v>
      </c>
      <c r="X2639" t="s">
        <v>67</v>
      </c>
      <c r="Y2639" t="s">
        <v>67</v>
      </c>
      <c r="Z2639" t="s">
        <v>68</v>
      </c>
      <c r="AB2639">
        <v>4</v>
      </c>
      <c r="AC2639" t="s">
        <v>61</v>
      </c>
      <c r="AJ2639" t="s">
        <v>69</v>
      </c>
      <c r="AY2639" t="s">
        <v>1994</v>
      </c>
      <c r="AZ2639">
        <v>20261</v>
      </c>
      <c r="BA2639" t="s">
        <v>1995</v>
      </c>
      <c r="BB2639" t="s">
        <v>1996</v>
      </c>
      <c r="BC2639">
        <v>1996</v>
      </c>
      <c r="BD2639" t="s">
        <v>185</v>
      </c>
    </row>
    <row r="2640" spans="1:56" x14ac:dyDescent="0.35">
      <c r="A2640">
        <v>7440280</v>
      </c>
      <c r="B2640" t="s">
        <v>1997</v>
      </c>
      <c r="D2640" t="s">
        <v>57</v>
      </c>
      <c r="E2640" t="s">
        <v>86</v>
      </c>
      <c r="F2640" t="s">
        <v>58</v>
      </c>
      <c r="G2640" t="s">
        <v>59</v>
      </c>
      <c r="H2640" t="s">
        <v>60</v>
      </c>
      <c r="J2640" t="s">
        <v>86</v>
      </c>
      <c r="L2640" t="s">
        <v>74</v>
      </c>
      <c r="M2640" t="s">
        <v>63</v>
      </c>
      <c r="N2640" t="s">
        <v>64</v>
      </c>
      <c r="P2640" t="s">
        <v>201</v>
      </c>
      <c r="R2640">
        <v>1.8</v>
      </c>
      <c r="W2640" t="s">
        <v>66</v>
      </c>
      <c r="X2640" t="s">
        <v>67</v>
      </c>
      <c r="Y2640" t="s">
        <v>67</v>
      </c>
      <c r="Z2640" t="s">
        <v>68</v>
      </c>
      <c r="AB2640">
        <v>4</v>
      </c>
      <c r="AC2640" t="s">
        <v>61</v>
      </c>
      <c r="AJ2640" t="s">
        <v>69</v>
      </c>
      <c r="AY2640" t="s">
        <v>1989</v>
      </c>
      <c r="AZ2640">
        <v>120966</v>
      </c>
      <c r="BA2640" t="s">
        <v>1990</v>
      </c>
      <c r="BB2640" t="s">
        <v>1991</v>
      </c>
      <c r="BC2640">
        <v>1978</v>
      </c>
      <c r="BD2640" t="s">
        <v>90</v>
      </c>
    </row>
    <row r="2641" spans="1:56" x14ac:dyDescent="0.35">
      <c r="A2641">
        <v>7440360</v>
      </c>
      <c r="B2641" t="s">
        <v>1998</v>
      </c>
      <c r="D2641" t="s">
        <v>57</v>
      </c>
      <c r="E2641" t="s">
        <v>86</v>
      </c>
      <c r="F2641" t="s">
        <v>58</v>
      </c>
      <c r="G2641" t="s">
        <v>59</v>
      </c>
      <c r="H2641" t="s">
        <v>60</v>
      </c>
      <c r="J2641" t="s">
        <v>86</v>
      </c>
      <c r="L2641" t="s">
        <v>74</v>
      </c>
      <c r="M2641" t="s">
        <v>63</v>
      </c>
      <c r="N2641" t="s">
        <v>64</v>
      </c>
      <c r="P2641" t="s">
        <v>201</v>
      </c>
      <c r="R2641">
        <v>22</v>
      </c>
      <c r="W2641" t="s">
        <v>66</v>
      </c>
      <c r="X2641" t="s">
        <v>67</v>
      </c>
      <c r="Y2641" t="s">
        <v>67</v>
      </c>
      <c r="Z2641" t="s">
        <v>68</v>
      </c>
      <c r="AB2641">
        <v>4</v>
      </c>
      <c r="AC2641" t="s">
        <v>61</v>
      </c>
      <c r="AJ2641" t="s">
        <v>69</v>
      </c>
      <c r="AY2641" t="s">
        <v>1989</v>
      </c>
      <c r="AZ2641">
        <v>120966</v>
      </c>
      <c r="BA2641" t="s">
        <v>1990</v>
      </c>
      <c r="BB2641" t="s">
        <v>1991</v>
      </c>
      <c r="BC2641">
        <v>1978</v>
      </c>
      <c r="BD2641" t="s">
        <v>90</v>
      </c>
    </row>
    <row r="2642" spans="1:56" x14ac:dyDescent="0.35">
      <c r="A2642">
        <v>7440382</v>
      </c>
      <c r="B2642" t="s">
        <v>1999</v>
      </c>
      <c r="D2642" t="s">
        <v>57</v>
      </c>
      <c r="E2642" t="s">
        <v>86</v>
      </c>
      <c r="F2642" t="s">
        <v>58</v>
      </c>
      <c r="G2642" t="s">
        <v>59</v>
      </c>
      <c r="H2642" t="s">
        <v>60</v>
      </c>
      <c r="J2642" t="s">
        <v>86</v>
      </c>
      <c r="M2642" t="s">
        <v>63</v>
      </c>
      <c r="N2642" t="s">
        <v>64</v>
      </c>
      <c r="O2642">
        <v>6</v>
      </c>
      <c r="P2642" t="s">
        <v>201</v>
      </c>
      <c r="R2642">
        <v>27</v>
      </c>
      <c r="W2642" t="s">
        <v>66</v>
      </c>
      <c r="X2642" t="s">
        <v>67</v>
      </c>
      <c r="Y2642" t="s">
        <v>67</v>
      </c>
      <c r="Z2642" t="s">
        <v>68</v>
      </c>
      <c r="AB2642">
        <v>4</v>
      </c>
      <c r="AC2642" t="s">
        <v>61</v>
      </c>
      <c r="AJ2642" t="s">
        <v>69</v>
      </c>
      <c r="AY2642" t="s">
        <v>138</v>
      </c>
      <c r="AZ2642">
        <v>120926</v>
      </c>
      <c r="BA2642" t="s">
        <v>139</v>
      </c>
      <c r="BB2642" t="s">
        <v>140</v>
      </c>
      <c r="BC2642">
        <v>1980</v>
      </c>
      <c r="BD2642" t="s">
        <v>90</v>
      </c>
    </row>
    <row r="2643" spans="1:56" x14ac:dyDescent="0.35">
      <c r="A2643">
        <v>7440382</v>
      </c>
      <c r="B2643" t="s">
        <v>1999</v>
      </c>
      <c r="D2643" t="s">
        <v>85</v>
      </c>
      <c r="E2643" t="s">
        <v>86</v>
      </c>
      <c r="F2643" t="s">
        <v>58</v>
      </c>
      <c r="G2643" t="s">
        <v>59</v>
      </c>
      <c r="H2643" t="s">
        <v>60</v>
      </c>
      <c r="J2643">
        <v>90</v>
      </c>
      <c r="K2643" t="s">
        <v>61</v>
      </c>
      <c r="L2643" t="s">
        <v>62</v>
      </c>
      <c r="M2643" t="s">
        <v>63</v>
      </c>
      <c r="N2643" t="s">
        <v>64</v>
      </c>
      <c r="P2643" t="s">
        <v>201</v>
      </c>
      <c r="R2643">
        <v>9.9</v>
      </c>
      <c r="W2643" t="s">
        <v>66</v>
      </c>
      <c r="X2643" t="s">
        <v>67</v>
      </c>
      <c r="Y2643" t="s">
        <v>67</v>
      </c>
      <c r="Z2643" t="s">
        <v>68</v>
      </c>
      <c r="AB2643">
        <v>4</v>
      </c>
      <c r="AC2643" t="s">
        <v>61</v>
      </c>
      <c r="AJ2643" t="s">
        <v>69</v>
      </c>
      <c r="AY2643" t="s">
        <v>2000</v>
      </c>
      <c r="AZ2643">
        <v>7266</v>
      </c>
      <c r="BA2643" t="s">
        <v>2001</v>
      </c>
      <c r="BB2643" t="s">
        <v>2002</v>
      </c>
      <c r="BC2643">
        <v>1993</v>
      </c>
      <c r="BD2643" t="s">
        <v>73</v>
      </c>
    </row>
    <row r="2644" spans="1:56" x14ac:dyDescent="0.35">
      <c r="A2644">
        <v>7440417</v>
      </c>
      <c r="B2644" t="s">
        <v>2003</v>
      </c>
      <c r="D2644" t="s">
        <v>57</v>
      </c>
      <c r="E2644" t="s">
        <v>86</v>
      </c>
      <c r="F2644" t="s">
        <v>58</v>
      </c>
      <c r="G2644" t="s">
        <v>59</v>
      </c>
      <c r="H2644" t="s">
        <v>60</v>
      </c>
      <c r="J2644" t="s">
        <v>86</v>
      </c>
      <c r="M2644" t="s">
        <v>63</v>
      </c>
      <c r="N2644" t="s">
        <v>64</v>
      </c>
      <c r="O2644">
        <v>6</v>
      </c>
      <c r="P2644" t="s">
        <v>201</v>
      </c>
      <c r="R2644">
        <v>37.9</v>
      </c>
      <c r="W2644" t="s">
        <v>66</v>
      </c>
      <c r="X2644" t="s">
        <v>67</v>
      </c>
      <c r="Y2644" t="s">
        <v>67</v>
      </c>
      <c r="Z2644" t="s">
        <v>68</v>
      </c>
      <c r="AB2644">
        <v>4</v>
      </c>
      <c r="AC2644" t="s">
        <v>61</v>
      </c>
      <c r="AJ2644" t="s">
        <v>69</v>
      </c>
      <c r="AY2644" t="s">
        <v>138</v>
      </c>
      <c r="AZ2644">
        <v>120926</v>
      </c>
      <c r="BA2644" t="s">
        <v>139</v>
      </c>
      <c r="BB2644" t="s">
        <v>140</v>
      </c>
      <c r="BC2644">
        <v>1980</v>
      </c>
      <c r="BD2644" t="s">
        <v>90</v>
      </c>
    </row>
    <row r="2645" spans="1:56" x14ac:dyDescent="0.35">
      <c r="A2645">
        <v>7440439</v>
      </c>
      <c r="B2645" t="s">
        <v>2004</v>
      </c>
      <c r="D2645" t="s">
        <v>57</v>
      </c>
      <c r="E2645" t="s">
        <v>86</v>
      </c>
      <c r="F2645" t="s">
        <v>58</v>
      </c>
      <c r="G2645" t="s">
        <v>59</v>
      </c>
      <c r="H2645" t="s">
        <v>60</v>
      </c>
      <c r="J2645" t="s">
        <v>86</v>
      </c>
      <c r="M2645" t="s">
        <v>63</v>
      </c>
      <c r="N2645" t="s">
        <v>64</v>
      </c>
      <c r="O2645">
        <v>6</v>
      </c>
      <c r="P2645" t="s">
        <v>201</v>
      </c>
      <c r="R2645">
        <v>7180</v>
      </c>
      <c r="W2645" t="s">
        <v>66</v>
      </c>
      <c r="X2645" t="s">
        <v>67</v>
      </c>
      <c r="Y2645" t="s">
        <v>67</v>
      </c>
      <c r="Z2645" t="s">
        <v>68</v>
      </c>
      <c r="AB2645">
        <v>4</v>
      </c>
      <c r="AC2645" t="s">
        <v>61</v>
      </c>
      <c r="AJ2645" t="s">
        <v>69</v>
      </c>
      <c r="AY2645" t="s">
        <v>138</v>
      </c>
      <c r="AZ2645">
        <v>120926</v>
      </c>
      <c r="BA2645" t="s">
        <v>139</v>
      </c>
      <c r="BB2645" t="s">
        <v>140</v>
      </c>
      <c r="BC2645">
        <v>1980</v>
      </c>
      <c r="BD2645" t="s">
        <v>90</v>
      </c>
    </row>
    <row r="2646" spans="1:56" x14ac:dyDescent="0.35">
      <c r="A2646">
        <v>7440439</v>
      </c>
      <c r="B2646" t="s">
        <v>2004</v>
      </c>
      <c r="D2646" t="s">
        <v>85</v>
      </c>
      <c r="E2646" t="s">
        <v>86</v>
      </c>
      <c r="F2646" t="s">
        <v>58</v>
      </c>
      <c r="G2646" t="s">
        <v>59</v>
      </c>
      <c r="H2646" t="s">
        <v>60</v>
      </c>
      <c r="I2646" t="s">
        <v>129</v>
      </c>
      <c r="J2646" t="s">
        <v>505</v>
      </c>
      <c r="K2646" t="s">
        <v>320</v>
      </c>
      <c r="M2646" t="s">
        <v>63</v>
      </c>
      <c r="N2646" t="s">
        <v>64</v>
      </c>
      <c r="P2646" t="s">
        <v>201</v>
      </c>
      <c r="R2646">
        <v>1E-3</v>
      </c>
      <c r="T2646">
        <v>5.9999999999999995E-4</v>
      </c>
      <c r="V2646">
        <v>1.6999999999999999E-3</v>
      </c>
      <c r="W2646" t="s">
        <v>66</v>
      </c>
      <c r="X2646" t="s">
        <v>67</v>
      </c>
      <c r="Y2646" t="s">
        <v>67</v>
      </c>
      <c r="Z2646" t="s">
        <v>68</v>
      </c>
      <c r="AB2646">
        <v>4</v>
      </c>
      <c r="AC2646" t="s">
        <v>61</v>
      </c>
      <c r="AJ2646" t="s">
        <v>69</v>
      </c>
      <c r="AY2646" t="s">
        <v>2005</v>
      </c>
      <c r="AZ2646">
        <v>4468</v>
      </c>
      <c r="BA2646" t="s">
        <v>2006</v>
      </c>
      <c r="BB2646" t="s">
        <v>2007</v>
      </c>
      <c r="BC2646">
        <v>1993</v>
      </c>
      <c r="BD2646" t="s">
        <v>324</v>
      </c>
    </row>
    <row r="2647" spans="1:56" x14ac:dyDescent="0.35">
      <c r="A2647">
        <v>7440439</v>
      </c>
      <c r="B2647" t="s">
        <v>2004</v>
      </c>
      <c r="D2647" t="s">
        <v>85</v>
      </c>
      <c r="E2647" t="s">
        <v>86</v>
      </c>
      <c r="F2647" t="s">
        <v>58</v>
      </c>
      <c r="G2647" t="s">
        <v>59</v>
      </c>
      <c r="H2647" t="s">
        <v>60</v>
      </c>
      <c r="I2647" t="s">
        <v>129</v>
      </c>
      <c r="J2647" t="s">
        <v>505</v>
      </c>
      <c r="K2647" t="s">
        <v>320</v>
      </c>
      <c r="M2647" t="s">
        <v>63</v>
      </c>
      <c r="N2647" t="s">
        <v>64</v>
      </c>
      <c r="P2647" t="s">
        <v>201</v>
      </c>
      <c r="R2647">
        <v>2.53E-2</v>
      </c>
      <c r="T2647">
        <v>1.9099999999999999E-2</v>
      </c>
      <c r="V2647">
        <v>3.3399999999999999E-2</v>
      </c>
      <c r="W2647" t="s">
        <v>66</v>
      </c>
      <c r="X2647" t="s">
        <v>67</v>
      </c>
      <c r="Y2647" t="s">
        <v>67</v>
      </c>
      <c r="Z2647" t="s">
        <v>68</v>
      </c>
      <c r="AB2647">
        <v>4</v>
      </c>
      <c r="AC2647" t="s">
        <v>61</v>
      </c>
      <c r="AJ2647" t="s">
        <v>69</v>
      </c>
      <c r="AY2647" t="s">
        <v>2005</v>
      </c>
      <c r="AZ2647">
        <v>4468</v>
      </c>
      <c r="BA2647" t="s">
        <v>2006</v>
      </c>
      <c r="BB2647" t="s">
        <v>2007</v>
      </c>
      <c r="BC2647">
        <v>1993</v>
      </c>
      <c r="BD2647" t="s">
        <v>324</v>
      </c>
    </row>
    <row r="2648" spans="1:56" x14ac:dyDescent="0.35">
      <c r="A2648">
        <v>7440439</v>
      </c>
      <c r="B2648" t="s">
        <v>2004</v>
      </c>
      <c r="D2648" t="s">
        <v>85</v>
      </c>
      <c r="E2648" t="s">
        <v>86</v>
      </c>
      <c r="F2648" t="s">
        <v>58</v>
      </c>
      <c r="G2648" t="s">
        <v>59</v>
      </c>
      <c r="H2648" t="s">
        <v>60</v>
      </c>
      <c r="I2648" t="s">
        <v>129</v>
      </c>
      <c r="J2648" t="s">
        <v>505</v>
      </c>
      <c r="K2648" t="s">
        <v>320</v>
      </c>
      <c r="M2648" t="s">
        <v>63</v>
      </c>
      <c r="N2648" t="s">
        <v>64</v>
      </c>
      <c r="P2648" t="s">
        <v>201</v>
      </c>
      <c r="R2648">
        <v>6.7999999999999996E-3</v>
      </c>
      <c r="T2648">
        <v>4.1999999999999997E-3</v>
      </c>
      <c r="V2648">
        <v>1.11E-2</v>
      </c>
      <c r="W2648" t="s">
        <v>66</v>
      </c>
      <c r="X2648" t="s">
        <v>67</v>
      </c>
      <c r="Y2648" t="s">
        <v>67</v>
      </c>
      <c r="Z2648" t="s">
        <v>68</v>
      </c>
      <c r="AB2648">
        <v>4</v>
      </c>
      <c r="AC2648" t="s">
        <v>61</v>
      </c>
      <c r="AJ2648" t="s">
        <v>69</v>
      </c>
      <c r="AY2648" t="s">
        <v>2005</v>
      </c>
      <c r="AZ2648">
        <v>4468</v>
      </c>
      <c r="BA2648" t="s">
        <v>2006</v>
      </c>
      <c r="BB2648" t="s">
        <v>2007</v>
      </c>
      <c r="BC2648">
        <v>1993</v>
      </c>
      <c r="BD2648" t="s">
        <v>324</v>
      </c>
    </row>
    <row r="2649" spans="1:56" x14ac:dyDescent="0.35">
      <c r="A2649">
        <v>7440439</v>
      </c>
      <c r="B2649" t="s">
        <v>2004</v>
      </c>
      <c r="D2649" t="s">
        <v>85</v>
      </c>
      <c r="E2649" t="s">
        <v>86</v>
      </c>
      <c r="F2649" t="s">
        <v>58</v>
      </c>
      <c r="G2649" t="s">
        <v>59</v>
      </c>
      <c r="H2649" t="s">
        <v>60</v>
      </c>
      <c r="I2649" t="s">
        <v>129</v>
      </c>
      <c r="J2649" t="s">
        <v>505</v>
      </c>
      <c r="K2649" t="s">
        <v>320</v>
      </c>
      <c r="M2649" t="s">
        <v>63</v>
      </c>
      <c r="N2649" t="s">
        <v>64</v>
      </c>
      <c r="P2649" t="s">
        <v>201</v>
      </c>
      <c r="R2649">
        <v>1.1000000000000001E-3</v>
      </c>
      <c r="T2649">
        <v>4.0000000000000002E-4</v>
      </c>
      <c r="V2649">
        <v>3.0000000000000001E-3</v>
      </c>
      <c r="W2649" t="s">
        <v>66</v>
      </c>
      <c r="X2649" t="s">
        <v>67</v>
      </c>
      <c r="Y2649" t="s">
        <v>67</v>
      </c>
      <c r="Z2649" t="s">
        <v>68</v>
      </c>
      <c r="AB2649">
        <v>4</v>
      </c>
      <c r="AC2649" t="s">
        <v>61</v>
      </c>
      <c r="AJ2649" t="s">
        <v>69</v>
      </c>
      <c r="AY2649" t="s">
        <v>2005</v>
      </c>
      <c r="AZ2649">
        <v>4468</v>
      </c>
      <c r="BA2649" t="s">
        <v>2006</v>
      </c>
      <c r="BB2649" t="s">
        <v>2007</v>
      </c>
      <c r="BC2649">
        <v>1993</v>
      </c>
      <c r="BD2649" t="s">
        <v>324</v>
      </c>
    </row>
    <row r="2650" spans="1:56" x14ac:dyDescent="0.35">
      <c r="A2650">
        <v>7440439</v>
      </c>
      <c r="B2650" t="s">
        <v>2004</v>
      </c>
      <c r="D2650" t="s">
        <v>85</v>
      </c>
      <c r="E2650" t="s">
        <v>86</v>
      </c>
      <c r="F2650" t="s">
        <v>58</v>
      </c>
      <c r="G2650" t="s">
        <v>59</v>
      </c>
      <c r="H2650" t="s">
        <v>60</v>
      </c>
      <c r="I2650" t="s">
        <v>129</v>
      </c>
      <c r="J2650" t="s">
        <v>505</v>
      </c>
      <c r="K2650" t="s">
        <v>320</v>
      </c>
      <c r="M2650" t="s">
        <v>63</v>
      </c>
      <c r="N2650" t="s">
        <v>64</v>
      </c>
      <c r="P2650" t="s">
        <v>201</v>
      </c>
      <c r="Q2650" t="s">
        <v>153</v>
      </c>
      <c r="R2650">
        <v>3.2000000000000001E-2</v>
      </c>
      <c r="W2650" t="s">
        <v>66</v>
      </c>
      <c r="X2650" t="s">
        <v>67</v>
      </c>
      <c r="Y2650" t="s">
        <v>67</v>
      </c>
      <c r="Z2650" t="s">
        <v>68</v>
      </c>
      <c r="AB2650">
        <v>4</v>
      </c>
      <c r="AC2650" t="s">
        <v>61</v>
      </c>
      <c r="AJ2650" t="s">
        <v>69</v>
      </c>
      <c r="AY2650" t="s">
        <v>2005</v>
      </c>
      <c r="AZ2650">
        <v>4468</v>
      </c>
      <c r="BA2650" t="s">
        <v>2006</v>
      </c>
      <c r="BB2650" t="s">
        <v>2007</v>
      </c>
      <c r="BC2650">
        <v>1993</v>
      </c>
      <c r="BD2650" t="s">
        <v>324</v>
      </c>
    </row>
    <row r="2651" spans="1:56" x14ac:dyDescent="0.35">
      <c r="A2651">
        <v>7440439</v>
      </c>
      <c r="B2651" t="s">
        <v>2004</v>
      </c>
      <c r="D2651" t="s">
        <v>85</v>
      </c>
      <c r="E2651" t="s">
        <v>86</v>
      </c>
      <c r="F2651" t="s">
        <v>58</v>
      </c>
      <c r="G2651" t="s">
        <v>59</v>
      </c>
      <c r="H2651" t="s">
        <v>60</v>
      </c>
      <c r="I2651" t="s">
        <v>129</v>
      </c>
      <c r="J2651" t="s">
        <v>505</v>
      </c>
      <c r="K2651" t="s">
        <v>320</v>
      </c>
      <c r="M2651" t="s">
        <v>63</v>
      </c>
      <c r="N2651" t="s">
        <v>64</v>
      </c>
      <c r="P2651" t="s">
        <v>201</v>
      </c>
      <c r="R2651">
        <v>6.8999999999999999E-3</v>
      </c>
      <c r="T2651">
        <v>4.0000000000000001E-3</v>
      </c>
      <c r="V2651">
        <v>1.1900000000000001E-2</v>
      </c>
      <c r="W2651" t="s">
        <v>66</v>
      </c>
      <c r="X2651" t="s">
        <v>67</v>
      </c>
      <c r="Y2651" t="s">
        <v>67</v>
      </c>
      <c r="Z2651" t="s">
        <v>68</v>
      </c>
      <c r="AB2651">
        <v>4</v>
      </c>
      <c r="AC2651" t="s">
        <v>61</v>
      </c>
      <c r="AJ2651" t="s">
        <v>69</v>
      </c>
      <c r="AY2651" t="s">
        <v>2005</v>
      </c>
      <c r="AZ2651">
        <v>4468</v>
      </c>
      <c r="BA2651" t="s">
        <v>2006</v>
      </c>
      <c r="BB2651" t="s">
        <v>2007</v>
      </c>
      <c r="BC2651">
        <v>1993</v>
      </c>
      <c r="BD2651" t="s">
        <v>324</v>
      </c>
    </row>
    <row r="2652" spans="1:56" x14ac:dyDescent="0.35">
      <c r="A2652">
        <v>7440439</v>
      </c>
      <c r="B2652" t="s">
        <v>2004</v>
      </c>
      <c r="D2652" t="s">
        <v>85</v>
      </c>
      <c r="E2652" t="s">
        <v>86</v>
      </c>
      <c r="F2652" t="s">
        <v>58</v>
      </c>
      <c r="G2652" t="s">
        <v>59</v>
      </c>
      <c r="H2652" t="s">
        <v>60</v>
      </c>
      <c r="I2652" t="s">
        <v>129</v>
      </c>
      <c r="J2652" t="s">
        <v>505</v>
      </c>
      <c r="K2652" t="s">
        <v>320</v>
      </c>
      <c r="M2652" t="s">
        <v>63</v>
      </c>
      <c r="N2652" t="s">
        <v>64</v>
      </c>
      <c r="P2652" t="s">
        <v>201</v>
      </c>
      <c r="R2652">
        <v>1.04E-2</v>
      </c>
      <c r="T2652">
        <v>7.7999999999999996E-3</v>
      </c>
      <c r="V2652">
        <v>1.4E-2</v>
      </c>
      <c r="W2652" t="s">
        <v>66</v>
      </c>
      <c r="X2652" t="s">
        <v>67</v>
      </c>
      <c r="Y2652" t="s">
        <v>67</v>
      </c>
      <c r="Z2652" t="s">
        <v>68</v>
      </c>
      <c r="AB2652">
        <v>4</v>
      </c>
      <c r="AC2652" t="s">
        <v>61</v>
      </c>
      <c r="AJ2652" t="s">
        <v>69</v>
      </c>
      <c r="AY2652" t="s">
        <v>2005</v>
      </c>
      <c r="AZ2652">
        <v>4468</v>
      </c>
      <c r="BA2652" t="s">
        <v>2006</v>
      </c>
      <c r="BB2652" t="s">
        <v>2007</v>
      </c>
      <c r="BC2652">
        <v>1993</v>
      </c>
      <c r="BD2652" t="s">
        <v>324</v>
      </c>
    </row>
    <row r="2653" spans="1:56" x14ac:dyDescent="0.35">
      <c r="A2653">
        <v>7440439</v>
      </c>
      <c r="B2653" t="s">
        <v>2004</v>
      </c>
      <c r="D2653" t="s">
        <v>85</v>
      </c>
      <c r="E2653" t="s">
        <v>86</v>
      </c>
      <c r="F2653" t="s">
        <v>58</v>
      </c>
      <c r="G2653" t="s">
        <v>59</v>
      </c>
      <c r="H2653" t="s">
        <v>60</v>
      </c>
      <c r="I2653" t="s">
        <v>129</v>
      </c>
      <c r="J2653" t="s">
        <v>505</v>
      </c>
      <c r="K2653" t="s">
        <v>320</v>
      </c>
      <c r="M2653" t="s">
        <v>63</v>
      </c>
      <c r="N2653" t="s">
        <v>64</v>
      </c>
      <c r="P2653" t="s">
        <v>201</v>
      </c>
      <c r="R2653">
        <v>2.7799999999999998E-2</v>
      </c>
      <c r="T2653">
        <v>1.9800000000000002E-2</v>
      </c>
      <c r="V2653">
        <v>3.9E-2</v>
      </c>
      <c r="W2653" t="s">
        <v>66</v>
      </c>
      <c r="X2653" t="s">
        <v>67</v>
      </c>
      <c r="Y2653" t="s">
        <v>67</v>
      </c>
      <c r="Z2653" t="s">
        <v>68</v>
      </c>
      <c r="AB2653">
        <v>4</v>
      </c>
      <c r="AC2653" t="s">
        <v>61</v>
      </c>
      <c r="AJ2653" t="s">
        <v>69</v>
      </c>
      <c r="AY2653" t="s">
        <v>2005</v>
      </c>
      <c r="AZ2653">
        <v>4468</v>
      </c>
      <c r="BA2653" t="s">
        <v>2006</v>
      </c>
      <c r="BB2653" t="s">
        <v>2007</v>
      </c>
      <c r="BC2653">
        <v>1993</v>
      </c>
      <c r="BD2653" t="s">
        <v>324</v>
      </c>
    </row>
    <row r="2654" spans="1:56" x14ac:dyDescent="0.35">
      <c r="A2654">
        <v>7440473</v>
      </c>
      <c r="B2654" t="s">
        <v>2008</v>
      </c>
      <c r="D2654" t="s">
        <v>57</v>
      </c>
      <c r="E2654" t="s">
        <v>86</v>
      </c>
      <c r="F2654" t="s">
        <v>58</v>
      </c>
      <c r="G2654" t="s">
        <v>59</v>
      </c>
      <c r="H2654" t="s">
        <v>60</v>
      </c>
      <c r="J2654" t="s">
        <v>86</v>
      </c>
      <c r="L2654" t="s">
        <v>74</v>
      </c>
      <c r="M2654" t="s">
        <v>63</v>
      </c>
      <c r="N2654" t="s">
        <v>64</v>
      </c>
      <c r="P2654" t="s">
        <v>201</v>
      </c>
      <c r="R2654">
        <v>37</v>
      </c>
      <c r="W2654" t="s">
        <v>66</v>
      </c>
      <c r="X2654" t="s">
        <v>67</v>
      </c>
      <c r="Y2654" t="s">
        <v>67</v>
      </c>
      <c r="Z2654" t="s">
        <v>68</v>
      </c>
      <c r="AB2654">
        <v>4</v>
      </c>
      <c r="AC2654" t="s">
        <v>61</v>
      </c>
      <c r="AJ2654" t="s">
        <v>69</v>
      </c>
      <c r="AY2654" t="s">
        <v>1038</v>
      </c>
      <c r="AZ2654">
        <v>837</v>
      </c>
      <c r="BA2654" t="s">
        <v>1039</v>
      </c>
      <c r="BB2654" t="s">
        <v>1040</v>
      </c>
      <c r="BC2654">
        <v>1975</v>
      </c>
      <c r="BD2654" t="s">
        <v>90</v>
      </c>
    </row>
    <row r="2655" spans="1:56" x14ac:dyDescent="0.35">
      <c r="A2655">
        <v>7440473</v>
      </c>
      <c r="B2655" t="s">
        <v>2008</v>
      </c>
      <c r="D2655" t="s">
        <v>57</v>
      </c>
      <c r="E2655" t="s">
        <v>86</v>
      </c>
      <c r="F2655" t="s">
        <v>58</v>
      </c>
      <c r="G2655" t="s">
        <v>59</v>
      </c>
      <c r="H2655" t="s">
        <v>60</v>
      </c>
      <c r="J2655" t="s">
        <v>86</v>
      </c>
      <c r="L2655" t="s">
        <v>74</v>
      </c>
      <c r="M2655" t="s">
        <v>63</v>
      </c>
      <c r="N2655" t="s">
        <v>64</v>
      </c>
      <c r="P2655" t="s">
        <v>201</v>
      </c>
      <c r="R2655">
        <v>52</v>
      </c>
      <c r="W2655" t="s">
        <v>66</v>
      </c>
      <c r="X2655" t="s">
        <v>67</v>
      </c>
      <c r="Y2655" t="s">
        <v>67</v>
      </c>
      <c r="Z2655" t="s">
        <v>68</v>
      </c>
      <c r="AB2655">
        <v>4</v>
      </c>
      <c r="AC2655" t="s">
        <v>61</v>
      </c>
      <c r="AJ2655" t="s">
        <v>69</v>
      </c>
      <c r="AY2655" t="s">
        <v>1038</v>
      </c>
      <c r="AZ2655">
        <v>837</v>
      </c>
      <c r="BA2655" t="s">
        <v>1039</v>
      </c>
      <c r="BB2655" t="s">
        <v>1040</v>
      </c>
      <c r="BC2655">
        <v>1975</v>
      </c>
      <c r="BD2655" t="s">
        <v>90</v>
      </c>
    </row>
    <row r="2656" spans="1:56" x14ac:dyDescent="0.35">
      <c r="A2656">
        <v>7440473</v>
      </c>
      <c r="B2656" t="s">
        <v>2008</v>
      </c>
      <c r="D2656" t="s">
        <v>57</v>
      </c>
      <c r="E2656" t="s">
        <v>86</v>
      </c>
      <c r="F2656" t="s">
        <v>58</v>
      </c>
      <c r="G2656" t="s">
        <v>59</v>
      </c>
      <c r="H2656" t="s">
        <v>60</v>
      </c>
      <c r="J2656" t="s">
        <v>86</v>
      </c>
      <c r="K2656" t="s">
        <v>61</v>
      </c>
      <c r="L2656" t="s">
        <v>190</v>
      </c>
      <c r="M2656" t="s">
        <v>63</v>
      </c>
      <c r="N2656" t="s">
        <v>64</v>
      </c>
      <c r="P2656" t="s">
        <v>201</v>
      </c>
      <c r="R2656">
        <v>39</v>
      </c>
      <c r="T2656">
        <v>10</v>
      </c>
      <c r="V2656">
        <v>100</v>
      </c>
      <c r="W2656" t="s">
        <v>66</v>
      </c>
      <c r="X2656" t="s">
        <v>67</v>
      </c>
      <c r="Y2656" t="s">
        <v>67</v>
      </c>
      <c r="Z2656" t="s">
        <v>68</v>
      </c>
      <c r="AB2656">
        <v>4</v>
      </c>
      <c r="AC2656" t="s">
        <v>61</v>
      </c>
      <c r="AJ2656" t="s">
        <v>69</v>
      </c>
      <c r="AY2656" t="s">
        <v>2009</v>
      </c>
      <c r="AZ2656">
        <v>20415</v>
      </c>
      <c r="BA2656" t="s">
        <v>2010</v>
      </c>
      <c r="BB2656" t="s">
        <v>2011</v>
      </c>
      <c r="BC2656">
        <v>1993</v>
      </c>
      <c r="BD2656" t="s">
        <v>2012</v>
      </c>
    </row>
    <row r="2657" spans="1:56" x14ac:dyDescent="0.35">
      <c r="A2657">
        <v>7440484</v>
      </c>
      <c r="B2657" t="s">
        <v>2013</v>
      </c>
      <c r="D2657" t="s">
        <v>57</v>
      </c>
      <c r="E2657" t="s">
        <v>86</v>
      </c>
      <c r="F2657" t="s">
        <v>58</v>
      </c>
      <c r="G2657" t="s">
        <v>59</v>
      </c>
      <c r="H2657" t="s">
        <v>60</v>
      </c>
      <c r="J2657" t="s">
        <v>86</v>
      </c>
      <c r="L2657" t="s">
        <v>74</v>
      </c>
      <c r="M2657" t="s">
        <v>63</v>
      </c>
      <c r="N2657" t="s">
        <v>64</v>
      </c>
      <c r="P2657" t="s">
        <v>201</v>
      </c>
      <c r="R2657">
        <v>3.4</v>
      </c>
      <c r="W2657" t="s">
        <v>66</v>
      </c>
      <c r="X2657" t="s">
        <v>67</v>
      </c>
      <c r="Y2657" t="s">
        <v>67</v>
      </c>
      <c r="Z2657" t="s">
        <v>68</v>
      </c>
      <c r="AB2657">
        <v>4</v>
      </c>
      <c r="AC2657" t="s">
        <v>61</v>
      </c>
      <c r="AJ2657" t="s">
        <v>69</v>
      </c>
      <c r="AY2657" t="s">
        <v>1989</v>
      </c>
      <c r="AZ2657">
        <v>120966</v>
      </c>
      <c r="BA2657" t="s">
        <v>1990</v>
      </c>
      <c r="BB2657" t="s">
        <v>1991</v>
      </c>
      <c r="BC2657">
        <v>1978</v>
      </c>
      <c r="BD2657" t="s">
        <v>90</v>
      </c>
    </row>
    <row r="2658" spans="1:56" x14ac:dyDescent="0.35">
      <c r="A2658">
        <v>7440508</v>
      </c>
      <c r="B2658" t="s">
        <v>2014</v>
      </c>
      <c r="D2658" t="s">
        <v>85</v>
      </c>
      <c r="E2658" t="s">
        <v>86</v>
      </c>
      <c r="F2658" t="s">
        <v>58</v>
      </c>
      <c r="G2658" t="s">
        <v>59</v>
      </c>
      <c r="H2658" t="s">
        <v>60</v>
      </c>
      <c r="J2658" t="s">
        <v>86</v>
      </c>
      <c r="L2658" t="s">
        <v>62</v>
      </c>
      <c r="M2658" t="s">
        <v>63</v>
      </c>
      <c r="N2658" t="s">
        <v>64</v>
      </c>
      <c r="P2658" t="s">
        <v>201</v>
      </c>
      <c r="R2658">
        <v>5.6</v>
      </c>
      <c r="W2658" t="s">
        <v>66</v>
      </c>
      <c r="X2658" t="s">
        <v>67</v>
      </c>
      <c r="Y2658" t="s">
        <v>67</v>
      </c>
      <c r="Z2658" t="s">
        <v>68</v>
      </c>
      <c r="AB2658">
        <v>4</v>
      </c>
      <c r="AC2658" t="s">
        <v>61</v>
      </c>
      <c r="AJ2658" t="s">
        <v>69</v>
      </c>
      <c r="AY2658" t="s">
        <v>2015</v>
      </c>
      <c r="AZ2658">
        <v>8320</v>
      </c>
      <c r="BA2658" t="s">
        <v>2016</v>
      </c>
      <c r="BB2658" t="s">
        <v>2017</v>
      </c>
      <c r="BC2658">
        <v>1976</v>
      </c>
      <c r="BD2658" t="s">
        <v>90</v>
      </c>
    </row>
    <row r="2659" spans="1:56" x14ac:dyDescent="0.35">
      <c r="A2659">
        <v>7440508</v>
      </c>
      <c r="B2659" t="s">
        <v>2014</v>
      </c>
      <c r="D2659" t="s">
        <v>57</v>
      </c>
      <c r="E2659" t="s">
        <v>86</v>
      </c>
      <c r="F2659" t="s">
        <v>58</v>
      </c>
      <c r="G2659" t="s">
        <v>59</v>
      </c>
      <c r="H2659" t="s">
        <v>60</v>
      </c>
      <c r="J2659" t="s">
        <v>86</v>
      </c>
      <c r="M2659" t="s">
        <v>63</v>
      </c>
      <c r="N2659" t="s">
        <v>64</v>
      </c>
      <c r="O2659">
        <v>6</v>
      </c>
      <c r="P2659" t="s">
        <v>201</v>
      </c>
      <c r="R2659">
        <v>0.108</v>
      </c>
      <c r="W2659" t="s">
        <v>66</v>
      </c>
      <c r="X2659" t="s">
        <v>67</v>
      </c>
      <c r="Y2659" t="s">
        <v>67</v>
      </c>
      <c r="Z2659" t="s">
        <v>68</v>
      </c>
      <c r="AB2659">
        <v>4</v>
      </c>
      <c r="AC2659" t="s">
        <v>61</v>
      </c>
      <c r="AJ2659" t="s">
        <v>69</v>
      </c>
      <c r="AY2659" t="s">
        <v>138</v>
      </c>
      <c r="AZ2659">
        <v>120926</v>
      </c>
      <c r="BA2659" t="s">
        <v>139</v>
      </c>
      <c r="BB2659" t="s">
        <v>140</v>
      </c>
      <c r="BC2659">
        <v>1980</v>
      </c>
      <c r="BD2659" t="s">
        <v>90</v>
      </c>
    </row>
    <row r="2660" spans="1:56" x14ac:dyDescent="0.35">
      <c r="A2660">
        <v>7440508</v>
      </c>
      <c r="B2660" t="s">
        <v>2014</v>
      </c>
      <c r="D2660" t="s">
        <v>57</v>
      </c>
      <c r="E2660" t="s">
        <v>86</v>
      </c>
      <c r="F2660" t="s">
        <v>58</v>
      </c>
      <c r="G2660" t="s">
        <v>59</v>
      </c>
      <c r="H2660" t="s">
        <v>60</v>
      </c>
      <c r="J2660" t="s">
        <v>86</v>
      </c>
      <c r="L2660" t="s">
        <v>62</v>
      </c>
      <c r="M2660" t="s">
        <v>63</v>
      </c>
      <c r="N2660" t="s">
        <v>64</v>
      </c>
      <c r="P2660" t="s">
        <v>1296</v>
      </c>
      <c r="R2660">
        <v>0.93</v>
      </c>
      <c r="W2660" t="s">
        <v>66</v>
      </c>
      <c r="X2660" t="s">
        <v>67</v>
      </c>
      <c r="Y2660" t="s">
        <v>67</v>
      </c>
      <c r="Z2660" t="s">
        <v>68</v>
      </c>
      <c r="AB2660">
        <v>4</v>
      </c>
      <c r="AC2660" t="s">
        <v>61</v>
      </c>
      <c r="AJ2660" t="s">
        <v>69</v>
      </c>
      <c r="AQ2660" t="s">
        <v>69</v>
      </c>
      <c r="AY2660" t="s">
        <v>2015</v>
      </c>
      <c r="AZ2660">
        <v>8320</v>
      </c>
      <c r="BA2660" t="s">
        <v>2016</v>
      </c>
      <c r="BB2660" t="s">
        <v>2017</v>
      </c>
      <c r="BC2660">
        <v>1976</v>
      </c>
      <c r="BD2660" t="s">
        <v>2018</v>
      </c>
    </row>
    <row r="2661" spans="1:56" x14ac:dyDescent="0.35">
      <c r="A2661">
        <v>7440508</v>
      </c>
      <c r="B2661" t="s">
        <v>2014</v>
      </c>
      <c r="D2661" t="s">
        <v>85</v>
      </c>
      <c r="E2661" t="s">
        <v>86</v>
      </c>
      <c r="F2661" t="s">
        <v>58</v>
      </c>
      <c r="G2661" t="s">
        <v>59</v>
      </c>
      <c r="H2661" t="s">
        <v>60</v>
      </c>
      <c r="I2661" t="s">
        <v>129</v>
      </c>
      <c r="J2661" t="s">
        <v>505</v>
      </c>
      <c r="K2661" t="s">
        <v>320</v>
      </c>
      <c r="M2661" t="s">
        <v>63</v>
      </c>
      <c r="N2661" t="s">
        <v>64</v>
      </c>
      <c r="P2661" t="s">
        <v>201</v>
      </c>
      <c r="R2661">
        <v>0.05</v>
      </c>
      <c r="T2661">
        <v>3.1899999999999998E-2</v>
      </c>
      <c r="V2661">
        <v>5.4399999999999997E-2</v>
      </c>
      <c r="W2661" t="s">
        <v>66</v>
      </c>
      <c r="X2661" t="s">
        <v>67</v>
      </c>
      <c r="Y2661" t="s">
        <v>67</v>
      </c>
      <c r="Z2661" t="s">
        <v>68</v>
      </c>
      <c r="AB2661">
        <v>4</v>
      </c>
      <c r="AC2661" t="s">
        <v>61</v>
      </c>
      <c r="AJ2661" t="s">
        <v>69</v>
      </c>
      <c r="AY2661" t="s">
        <v>2005</v>
      </c>
      <c r="AZ2661">
        <v>4468</v>
      </c>
      <c r="BA2661" t="s">
        <v>2006</v>
      </c>
      <c r="BB2661" t="s">
        <v>2007</v>
      </c>
      <c r="BC2661">
        <v>1993</v>
      </c>
      <c r="BD2661" t="s">
        <v>324</v>
      </c>
    </row>
    <row r="2662" spans="1:56" x14ac:dyDescent="0.35">
      <c r="A2662">
        <v>7440508</v>
      </c>
      <c r="B2662" t="s">
        <v>2014</v>
      </c>
      <c r="D2662" t="s">
        <v>85</v>
      </c>
      <c r="E2662" t="s">
        <v>86</v>
      </c>
      <c r="F2662" t="s">
        <v>58</v>
      </c>
      <c r="G2662" t="s">
        <v>59</v>
      </c>
      <c r="H2662" t="s">
        <v>60</v>
      </c>
      <c r="I2662" t="s">
        <v>129</v>
      </c>
      <c r="J2662" t="s">
        <v>505</v>
      </c>
      <c r="K2662" t="s">
        <v>320</v>
      </c>
      <c r="M2662" t="s">
        <v>63</v>
      </c>
      <c r="N2662" t="s">
        <v>64</v>
      </c>
      <c r="P2662" t="s">
        <v>201</v>
      </c>
      <c r="R2662">
        <v>9.4000000000000004E-3</v>
      </c>
      <c r="T2662">
        <v>7.6E-3</v>
      </c>
      <c r="V2662">
        <v>1.15E-2</v>
      </c>
      <c r="W2662" t="s">
        <v>66</v>
      </c>
      <c r="X2662" t="s">
        <v>67</v>
      </c>
      <c r="Y2662" t="s">
        <v>67</v>
      </c>
      <c r="Z2662" t="s">
        <v>68</v>
      </c>
      <c r="AB2662">
        <v>4</v>
      </c>
      <c r="AC2662" t="s">
        <v>61</v>
      </c>
      <c r="AJ2662" t="s">
        <v>69</v>
      </c>
      <c r="AY2662" t="s">
        <v>2005</v>
      </c>
      <c r="AZ2662">
        <v>4468</v>
      </c>
      <c r="BA2662" t="s">
        <v>2006</v>
      </c>
      <c r="BB2662" t="s">
        <v>2007</v>
      </c>
      <c r="BC2662">
        <v>1993</v>
      </c>
      <c r="BD2662" t="s">
        <v>324</v>
      </c>
    </row>
    <row r="2663" spans="1:56" x14ac:dyDescent="0.35">
      <c r="A2663">
        <v>7440508</v>
      </c>
      <c r="B2663" t="s">
        <v>2014</v>
      </c>
      <c r="D2663" t="s">
        <v>85</v>
      </c>
      <c r="E2663" t="s">
        <v>86</v>
      </c>
      <c r="F2663" t="s">
        <v>58</v>
      </c>
      <c r="G2663" t="s">
        <v>59</v>
      </c>
      <c r="H2663" t="s">
        <v>60</v>
      </c>
      <c r="J2663">
        <v>30</v>
      </c>
      <c r="K2663" t="s">
        <v>61</v>
      </c>
      <c r="L2663" t="s">
        <v>62</v>
      </c>
      <c r="M2663" t="s">
        <v>63</v>
      </c>
      <c r="N2663" t="s">
        <v>64</v>
      </c>
      <c r="O2663">
        <v>6</v>
      </c>
      <c r="P2663" t="s">
        <v>201</v>
      </c>
      <c r="Q2663" t="s">
        <v>435</v>
      </c>
      <c r="R2663">
        <v>0.6</v>
      </c>
      <c r="W2663" t="s">
        <v>66</v>
      </c>
      <c r="X2663" t="s">
        <v>67</v>
      </c>
      <c r="Y2663" t="s">
        <v>67</v>
      </c>
      <c r="Z2663" t="s">
        <v>68</v>
      </c>
      <c r="AB2663">
        <v>4</v>
      </c>
      <c r="AC2663" t="s">
        <v>61</v>
      </c>
      <c r="AJ2663" t="s">
        <v>69</v>
      </c>
      <c r="AY2663" t="s">
        <v>2019</v>
      </c>
      <c r="AZ2663">
        <v>51911</v>
      </c>
      <c r="BA2663" t="s">
        <v>2020</v>
      </c>
      <c r="BB2663" t="s">
        <v>2021</v>
      </c>
      <c r="BC2663">
        <v>2000</v>
      </c>
      <c r="BD2663" t="s">
        <v>73</v>
      </c>
    </row>
    <row r="2664" spans="1:56" x14ac:dyDescent="0.35">
      <c r="A2664">
        <v>7440508</v>
      </c>
      <c r="B2664" t="s">
        <v>2014</v>
      </c>
      <c r="C2664" t="s">
        <v>195</v>
      </c>
      <c r="D2664" t="s">
        <v>57</v>
      </c>
      <c r="E2664" t="s">
        <v>86</v>
      </c>
      <c r="F2664" t="s">
        <v>58</v>
      </c>
      <c r="G2664" t="s">
        <v>59</v>
      </c>
      <c r="H2664" t="s">
        <v>60</v>
      </c>
      <c r="I2664" t="s">
        <v>129</v>
      </c>
      <c r="J2664" t="s">
        <v>86</v>
      </c>
      <c r="L2664" t="s">
        <v>74</v>
      </c>
      <c r="M2664" t="s">
        <v>63</v>
      </c>
      <c r="N2664" t="s">
        <v>64</v>
      </c>
      <c r="P2664" t="s">
        <v>201</v>
      </c>
      <c r="Q2664" t="s">
        <v>172</v>
      </c>
      <c r="R2664">
        <v>0.8</v>
      </c>
      <c r="W2664" t="s">
        <v>66</v>
      </c>
      <c r="X2664" t="s">
        <v>67</v>
      </c>
      <c r="Y2664" t="s">
        <v>67</v>
      </c>
      <c r="Z2664" t="s">
        <v>68</v>
      </c>
      <c r="AB2664">
        <v>4</v>
      </c>
      <c r="AC2664" t="s">
        <v>61</v>
      </c>
      <c r="AJ2664" t="s">
        <v>69</v>
      </c>
      <c r="AY2664" t="s">
        <v>2022</v>
      </c>
      <c r="AZ2664">
        <v>3609</v>
      </c>
      <c r="BA2664" t="s">
        <v>2023</v>
      </c>
      <c r="BB2664" t="s">
        <v>2024</v>
      </c>
      <c r="BC2664">
        <v>1976</v>
      </c>
      <c r="BD2664" t="s">
        <v>90</v>
      </c>
    </row>
    <row r="2665" spans="1:56" x14ac:dyDescent="0.35">
      <c r="A2665">
        <v>7440508</v>
      </c>
      <c r="B2665" t="s">
        <v>2014</v>
      </c>
      <c r="D2665" t="s">
        <v>85</v>
      </c>
      <c r="E2665" t="s">
        <v>86</v>
      </c>
      <c r="F2665" t="s">
        <v>58</v>
      </c>
      <c r="G2665" t="s">
        <v>59</v>
      </c>
      <c r="H2665" t="s">
        <v>60</v>
      </c>
      <c r="I2665" t="s">
        <v>129</v>
      </c>
      <c r="J2665" t="s">
        <v>505</v>
      </c>
      <c r="K2665" t="s">
        <v>320</v>
      </c>
      <c r="M2665" t="s">
        <v>63</v>
      </c>
      <c r="N2665" t="s">
        <v>64</v>
      </c>
      <c r="P2665" t="s">
        <v>201</v>
      </c>
      <c r="R2665">
        <v>0.10199999999999999</v>
      </c>
      <c r="T2665">
        <v>7.8E-2</v>
      </c>
      <c r="V2665">
        <v>0.13300000000000001</v>
      </c>
      <c r="W2665" t="s">
        <v>66</v>
      </c>
      <c r="X2665" t="s">
        <v>67</v>
      </c>
      <c r="Y2665" t="s">
        <v>67</v>
      </c>
      <c r="Z2665" t="s">
        <v>68</v>
      </c>
      <c r="AB2665">
        <v>4</v>
      </c>
      <c r="AC2665" t="s">
        <v>61</v>
      </c>
      <c r="AJ2665" t="s">
        <v>69</v>
      </c>
      <c r="AY2665" t="s">
        <v>2005</v>
      </c>
      <c r="AZ2665">
        <v>4468</v>
      </c>
      <c r="BA2665" t="s">
        <v>2006</v>
      </c>
      <c r="BB2665" t="s">
        <v>2007</v>
      </c>
      <c r="BC2665">
        <v>1993</v>
      </c>
      <c r="BD2665" t="s">
        <v>324</v>
      </c>
    </row>
    <row r="2666" spans="1:56" x14ac:dyDescent="0.35">
      <c r="A2666">
        <v>7440508</v>
      </c>
      <c r="B2666" t="s">
        <v>2014</v>
      </c>
      <c r="D2666" t="s">
        <v>85</v>
      </c>
      <c r="E2666" t="s">
        <v>86</v>
      </c>
      <c r="F2666" t="s">
        <v>58</v>
      </c>
      <c r="G2666" t="s">
        <v>59</v>
      </c>
      <c r="H2666" t="s">
        <v>60</v>
      </c>
      <c r="I2666" t="s">
        <v>129</v>
      </c>
      <c r="J2666" t="s">
        <v>505</v>
      </c>
      <c r="K2666" t="s">
        <v>320</v>
      </c>
      <c r="M2666" t="s">
        <v>63</v>
      </c>
      <c r="N2666" t="s">
        <v>64</v>
      </c>
      <c r="P2666" t="s">
        <v>201</v>
      </c>
      <c r="R2666">
        <v>0.115</v>
      </c>
      <c r="T2666">
        <v>8.5000000000000006E-2</v>
      </c>
      <c r="V2666">
        <v>0.156</v>
      </c>
      <c r="W2666" t="s">
        <v>66</v>
      </c>
      <c r="X2666" t="s">
        <v>67</v>
      </c>
      <c r="Y2666" t="s">
        <v>67</v>
      </c>
      <c r="Z2666" t="s">
        <v>68</v>
      </c>
      <c r="AB2666">
        <v>4</v>
      </c>
      <c r="AC2666" t="s">
        <v>61</v>
      </c>
      <c r="AJ2666" t="s">
        <v>69</v>
      </c>
      <c r="AY2666" t="s">
        <v>2005</v>
      </c>
      <c r="AZ2666">
        <v>4468</v>
      </c>
      <c r="BA2666" t="s">
        <v>2006</v>
      </c>
      <c r="BB2666" t="s">
        <v>2007</v>
      </c>
      <c r="BC2666">
        <v>1993</v>
      </c>
      <c r="BD2666" t="s">
        <v>324</v>
      </c>
    </row>
    <row r="2667" spans="1:56" x14ac:dyDescent="0.35">
      <c r="A2667">
        <v>7440508</v>
      </c>
      <c r="B2667" t="s">
        <v>2014</v>
      </c>
      <c r="D2667" t="s">
        <v>57</v>
      </c>
      <c r="E2667" t="s">
        <v>86</v>
      </c>
      <c r="F2667" t="s">
        <v>58</v>
      </c>
      <c r="G2667" t="s">
        <v>59</v>
      </c>
      <c r="H2667" t="s">
        <v>60</v>
      </c>
      <c r="J2667" t="s">
        <v>86</v>
      </c>
      <c r="L2667" t="s">
        <v>62</v>
      </c>
      <c r="M2667" t="s">
        <v>63</v>
      </c>
      <c r="N2667" t="s">
        <v>64</v>
      </c>
      <c r="P2667" t="s">
        <v>1296</v>
      </c>
      <c r="R2667">
        <v>0.98</v>
      </c>
      <c r="W2667" t="s">
        <v>66</v>
      </c>
      <c r="X2667" t="s">
        <v>67</v>
      </c>
      <c r="Y2667" t="s">
        <v>67</v>
      </c>
      <c r="Z2667" t="s">
        <v>68</v>
      </c>
      <c r="AB2667">
        <v>4</v>
      </c>
      <c r="AC2667" t="s">
        <v>61</v>
      </c>
      <c r="AJ2667" t="s">
        <v>69</v>
      </c>
      <c r="AQ2667" t="s">
        <v>69</v>
      </c>
      <c r="AY2667" t="s">
        <v>2015</v>
      </c>
      <c r="AZ2667">
        <v>8320</v>
      </c>
      <c r="BA2667" t="s">
        <v>2016</v>
      </c>
      <c r="BB2667" t="s">
        <v>2017</v>
      </c>
      <c r="BC2667">
        <v>1976</v>
      </c>
      <c r="BD2667" t="s">
        <v>2025</v>
      </c>
    </row>
    <row r="2668" spans="1:56" x14ac:dyDescent="0.35">
      <c r="A2668">
        <v>7440508</v>
      </c>
      <c r="B2668" t="s">
        <v>2014</v>
      </c>
      <c r="D2668" t="s">
        <v>85</v>
      </c>
      <c r="E2668" t="s">
        <v>86</v>
      </c>
      <c r="F2668" t="s">
        <v>58</v>
      </c>
      <c r="G2668" t="s">
        <v>59</v>
      </c>
      <c r="H2668" t="s">
        <v>60</v>
      </c>
      <c r="J2668" t="s">
        <v>86</v>
      </c>
      <c r="L2668" t="s">
        <v>62</v>
      </c>
      <c r="M2668" t="s">
        <v>63</v>
      </c>
      <c r="N2668" t="s">
        <v>64</v>
      </c>
      <c r="P2668" t="s">
        <v>201</v>
      </c>
      <c r="R2668">
        <v>5.1050000000000004</v>
      </c>
      <c r="T2668">
        <v>1.865</v>
      </c>
      <c r="V2668">
        <v>13.968999999999999</v>
      </c>
      <c r="W2668" t="s">
        <v>66</v>
      </c>
      <c r="X2668" t="s">
        <v>67</v>
      </c>
      <c r="Y2668" t="s">
        <v>67</v>
      </c>
      <c r="Z2668" t="s">
        <v>68</v>
      </c>
      <c r="AB2668">
        <v>4</v>
      </c>
      <c r="AC2668" t="s">
        <v>61</v>
      </c>
      <c r="AJ2668" t="s">
        <v>69</v>
      </c>
      <c r="AY2668" t="s">
        <v>2026</v>
      </c>
      <c r="AZ2668">
        <v>165613</v>
      </c>
      <c r="BA2668" t="s">
        <v>2027</v>
      </c>
      <c r="BB2668" t="s">
        <v>2028</v>
      </c>
      <c r="BC2668">
        <v>1980</v>
      </c>
      <c r="BD2668" t="s">
        <v>90</v>
      </c>
    </row>
    <row r="2669" spans="1:56" x14ac:dyDescent="0.35">
      <c r="A2669">
        <v>7440508</v>
      </c>
      <c r="B2669" t="s">
        <v>2014</v>
      </c>
      <c r="D2669" t="s">
        <v>85</v>
      </c>
      <c r="E2669" t="s">
        <v>86</v>
      </c>
      <c r="F2669" t="s">
        <v>58</v>
      </c>
      <c r="G2669" t="s">
        <v>59</v>
      </c>
      <c r="H2669" t="s">
        <v>60</v>
      </c>
      <c r="J2669">
        <v>14</v>
      </c>
      <c r="K2669" t="s">
        <v>61</v>
      </c>
      <c r="L2669" t="s">
        <v>62</v>
      </c>
      <c r="M2669" t="s">
        <v>63</v>
      </c>
      <c r="N2669" t="s">
        <v>64</v>
      </c>
      <c r="O2669">
        <v>6</v>
      </c>
      <c r="P2669" t="s">
        <v>201</v>
      </c>
      <c r="Q2669" t="s">
        <v>435</v>
      </c>
      <c r="R2669">
        <v>0.3</v>
      </c>
      <c r="W2669" t="s">
        <v>66</v>
      </c>
      <c r="X2669" t="s">
        <v>67</v>
      </c>
      <c r="Y2669" t="s">
        <v>67</v>
      </c>
      <c r="Z2669" t="s">
        <v>68</v>
      </c>
      <c r="AB2669">
        <v>4</v>
      </c>
      <c r="AC2669" t="s">
        <v>61</v>
      </c>
      <c r="AJ2669" t="s">
        <v>69</v>
      </c>
      <c r="AY2669" t="s">
        <v>2019</v>
      </c>
      <c r="AZ2669">
        <v>51911</v>
      </c>
      <c r="BA2669" t="s">
        <v>2020</v>
      </c>
      <c r="BB2669" t="s">
        <v>2021</v>
      </c>
      <c r="BC2669">
        <v>2000</v>
      </c>
      <c r="BD2669" t="s">
        <v>73</v>
      </c>
    </row>
    <row r="2670" spans="1:56" x14ac:dyDescent="0.35">
      <c r="A2670">
        <v>7440508</v>
      </c>
      <c r="B2670" t="s">
        <v>2014</v>
      </c>
      <c r="D2670" t="s">
        <v>57</v>
      </c>
      <c r="E2670" t="s">
        <v>86</v>
      </c>
      <c r="F2670" t="s">
        <v>58</v>
      </c>
      <c r="G2670" t="s">
        <v>59</v>
      </c>
      <c r="H2670" t="s">
        <v>60</v>
      </c>
      <c r="J2670" t="s">
        <v>86</v>
      </c>
      <c r="L2670" t="s">
        <v>62</v>
      </c>
      <c r="M2670" t="s">
        <v>63</v>
      </c>
      <c r="N2670" t="s">
        <v>64</v>
      </c>
      <c r="P2670" t="s">
        <v>1296</v>
      </c>
      <c r="R2670">
        <v>0.84</v>
      </c>
      <c r="W2670" t="s">
        <v>66</v>
      </c>
      <c r="X2670" t="s">
        <v>67</v>
      </c>
      <c r="Y2670" t="s">
        <v>67</v>
      </c>
      <c r="Z2670" t="s">
        <v>68</v>
      </c>
      <c r="AB2670">
        <v>4</v>
      </c>
      <c r="AC2670" t="s">
        <v>61</v>
      </c>
      <c r="AJ2670" t="s">
        <v>69</v>
      </c>
      <c r="AQ2670" t="s">
        <v>69</v>
      </c>
      <c r="AY2670" t="s">
        <v>2015</v>
      </c>
      <c r="AZ2670">
        <v>8320</v>
      </c>
      <c r="BA2670" t="s">
        <v>2016</v>
      </c>
      <c r="BB2670" t="s">
        <v>2017</v>
      </c>
      <c r="BC2670">
        <v>1976</v>
      </c>
      <c r="BD2670" t="s">
        <v>2029</v>
      </c>
    </row>
    <row r="2671" spans="1:56" x14ac:dyDescent="0.35">
      <c r="A2671">
        <v>7440508</v>
      </c>
      <c r="B2671" t="s">
        <v>2014</v>
      </c>
      <c r="D2671" t="s">
        <v>85</v>
      </c>
      <c r="E2671" t="s">
        <v>86</v>
      </c>
      <c r="F2671" t="s">
        <v>58</v>
      </c>
      <c r="G2671" t="s">
        <v>59</v>
      </c>
      <c r="H2671" t="s">
        <v>60</v>
      </c>
      <c r="J2671" t="s">
        <v>86</v>
      </c>
      <c r="L2671" t="s">
        <v>62</v>
      </c>
      <c r="M2671" t="s">
        <v>63</v>
      </c>
      <c r="N2671" t="s">
        <v>64</v>
      </c>
      <c r="P2671" t="s">
        <v>201</v>
      </c>
      <c r="R2671">
        <v>0.104</v>
      </c>
      <c r="T2671">
        <v>9.0999999999999998E-2</v>
      </c>
      <c r="V2671">
        <v>0.12</v>
      </c>
      <c r="W2671" t="s">
        <v>66</v>
      </c>
      <c r="X2671" t="s">
        <v>67</v>
      </c>
      <c r="Y2671" t="s">
        <v>67</v>
      </c>
      <c r="Z2671" t="s">
        <v>68</v>
      </c>
      <c r="AB2671">
        <v>4</v>
      </c>
      <c r="AC2671" t="s">
        <v>61</v>
      </c>
      <c r="AJ2671" t="s">
        <v>69</v>
      </c>
      <c r="AY2671" t="s">
        <v>2026</v>
      </c>
      <c r="AZ2671">
        <v>165613</v>
      </c>
      <c r="BA2671" t="s">
        <v>2027</v>
      </c>
      <c r="BB2671" t="s">
        <v>2028</v>
      </c>
      <c r="BC2671">
        <v>1980</v>
      </c>
      <c r="BD2671" t="s">
        <v>90</v>
      </c>
    </row>
    <row r="2672" spans="1:56" x14ac:dyDescent="0.35">
      <c r="A2672">
        <v>7440508</v>
      </c>
      <c r="B2672" t="s">
        <v>2014</v>
      </c>
      <c r="D2672" t="s">
        <v>85</v>
      </c>
      <c r="E2672" t="s">
        <v>86</v>
      </c>
      <c r="F2672" t="s">
        <v>58</v>
      </c>
      <c r="G2672" t="s">
        <v>59</v>
      </c>
      <c r="H2672" t="s">
        <v>60</v>
      </c>
      <c r="J2672" t="s">
        <v>86</v>
      </c>
      <c r="L2672" t="s">
        <v>62</v>
      </c>
      <c r="M2672" t="s">
        <v>63</v>
      </c>
      <c r="N2672" t="s">
        <v>64</v>
      </c>
      <c r="P2672" t="s">
        <v>201</v>
      </c>
      <c r="R2672">
        <v>21</v>
      </c>
      <c r="W2672" t="s">
        <v>66</v>
      </c>
      <c r="X2672" t="s">
        <v>67</v>
      </c>
      <c r="Y2672" t="s">
        <v>67</v>
      </c>
      <c r="Z2672" t="s">
        <v>68</v>
      </c>
      <c r="AB2672">
        <v>4</v>
      </c>
      <c r="AC2672" t="s">
        <v>61</v>
      </c>
      <c r="AJ2672" t="s">
        <v>69</v>
      </c>
      <c r="AY2672" t="s">
        <v>2015</v>
      </c>
      <c r="AZ2672">
        <v>8320</v>
      </c>
      <c r="BA2672" t="s">
        <v>2016</v>
      </c>
      <c r="BB2672" t="s">
        <v>2017</v>
      </c>
      <c r="BC2672">
        <v>1976</v>
      </c>
      <c r="BD2672" t="s">
        <v>90</v>
      </c>
    </row>
    <row r="2673" spans="1:56" x14ac:dyDescent="0.35">
      <c r="A2673">
        <v>7440508</v>
      </c>
      <c r="B2673" t="s">
        <v>2014</v>
      </c>
      <c r="C2673" t="s">
        <v>195</v>
      </c>
      <c r="D2673" t="s">
        <v>57</v>
      </c>
      <c r="E2673" t="s">
        <v>86</v>
      </c>
      <c r="F2673" t="s">
        <v>58</v>
      </c>
      <c r="G2673" t="s">
        <v>59</v>
      </c>
      <c r="H2673" t="s">
        <v>60</v>
      </c>
      <c r="I2673" t="s">
        <v>129</v>
      </c>
      <c r="J2673" t="s">
        <v>86</v>
      </c>
      <c r="L2673" t="s">
        <v>74</v>
      </c>
      <c r="M2673" t="s">
        <v>63</v>
      </c>
      <c r="N2673" t="s">
        <v>64</v>
      </c>
      <c r="P2673" t="s">
        <v>201</v>
      </c>
      <c r="Q2673" t="s">
        <v>172</v>
      </c>
      <c r="R2673">
        <v>0.2</v>
      </c>
      <c r="W2673" t="s">
        <v>66</v>
      </c>
      <c r="X2673" t="s">
        <v>67</v>
      </c>
      <c r="Y2673" t="s">
        <v>67</v>
      </c>
      <c r="Z2673" t="s">
        <v>68</v>
      </c>
      <c r="AB2673">
        <v>4</v>
      </c>
      <c r="AC2673" t="s">
        <v>61</v>
      </c>
      <c r="AJ2673" t="s">
        <v>69</v>
      </c>
      <c r="AY2673" t="s">
        <v>2022</v>
      </c>
      <c r="AZ2673">
        <v>3609</v>
      </c>
      <c r="BA2673" t="s">
        <v>2023</v>
      </c>
      <c r="BB2673" t="s">
        <v>2024</v>
      </c>
      <c r="BC2673">
        <v>1976</v>
      </c>
      <c r="BD2673" t="s">
        <v>90</v>
      </c>
    </row>
    <row r="2674" spans="1:56" x14ac:dyDescent="0.35">
      <c r="A2674">
        <v>7440508</v>
      </c>
      <c r="B2674" t="s">
        <v>2014</v>
      </c>
      <c r="D2674" t="s">
        <v>85</v>
      </c>
      <c r="E2674" t="s">
        <v>86</v>
      </c>
      <c r="F2674" t="s">
        <v>58</v>
      </c>
      <c r="G2674" t="s">
        <v>59</v>
      </c>
      <c r="H2674" t="s">
        <v>60</v>
      </c>
      <c r="I2674" t="s">
        <v>129</v>
      </c>
      <c r="J2674" t="s">
        <v>505</v>
      </c>
      <c r="K2674" t="s">
        <v>320</v>
      </c>
      <c r="M2674" t="s">
        <v>63</v>
      </c>
      <c r="N2674" t="s">
        <v>64</v>
      </c>
      <c r="P2674" t="s">
        <v>201</v>
      </c>
      <c r="R2674">
        <v>2.7799999999999998E-2</v>
      </c>
      <c r="T2674">
        <v>1.84E-2</v>
      </c>
      <c r="V2674">
        <v>4.2000000000000003E-2</v>
      </c>
      <c r="W2674" t="s">
        <v>66</v>
      </c>
      <c r="X2674" t="s">
        <v>67</v>
      </c>
      <c r="Y2674" t="s">
        <v>67</v>
      </c>
      <c r="Z2674" t="s">
        <v>68</v>
      </c>
      <c r="AB2674">
        <v>4</v>
      </c>
      <c r="AC2674" t="s">
        <v>61</v>
      </c>
      <c r="AJ2674" t="s">
        <v>69</v>
      </c>
      <c r="AY2674" t="s">
        <v>2005</v>
      </c>
      <c r="AZ2674">
        <v>4468</v>
      </c>
      <c r="BA2674" t="s">
        <v>2006</v>
      </c>
      <c r="BB2674" t="s">
        <v>2007</v>
      </c>
      <c r="BC2674">
        <v>1993</v>
      </c>
      <c r="BD2674" t="s">
        <v>324</v>
      </c>
    </row>
    <row r="2675" spans="1:56" x14ac:dyDescent="0.35">
      <c r="A2675">
        <v>7440508</v>
      </c>
      <c r="B2675" t="s">
        <v>2014</v>
      </c>
      <c r="D2675" t="s">
        <v>85</v>
      </c>
      <c r="E2675" t="s">
        <v>86</v>
      </c>
      <c r="F2675" t="s">
        <v>58</v>
      </c>
      <c r="G2675" t="s">
        <v>59</v>
      </c>
      <c r="H2675" t="s">
        <v>60</v>
      </c>
      <c r="J2675" t="s">
        <v>86</v>
      </c>
      <c r="L2675" t="s">
        <v>62</v>
      </c>
      <c r="M2675" t="s">
        <v>63</v>
      </c>
      <c r="N2675" t="s">
        <v>64</v>
      </c>
      <c r="P2675" t="s">
        <v>201</v>
      </c>
      <c r="R2675">
        <v>20</v>
      </c>
      <c r="W2675" t="s">
        <v>66</v>
      </c>
      <c r="X2675" t="s">
        <v>67</v>
      </c>
      <c r="Y2675" t="s">
        <v>67</v>
      </c>
      <c r="Z2675" t="s">
        <v>68</v>
      </c>
      <c r="AB2675">
        <v>4</v>
      </c>
      <c r="AC2675" t="s">
        <v>61</v>
      </c>
      <c r="AJ2675" t="s">
        <v>69</v>
      </c>
      <c r="AY2675" t="s">
        <v>2015</v>
      </c>
      <c r="AZ2675">
        <v>8320</v>
      </c>
      <c r="BA2675" t="s">
        <v>2016</v>
      </c>
      <c r="BB2675" t="s">
        <v>2017</v>
      </c>
      <c r="BC2675">
        <v>1976</v>
      </c>
      <c r="BD2675" t="s">
        <v>90</v>
      </c>
    </row>
    <row r="2676" spans="1:56" x14ac:dyDescent="0.35">
      <c r="A2676">
        <v>7440508</v>
      </c>
      <c r="B2676" t="s">
        <v>2014</v>
      </c>
      <c r="D2676" t="s">
        <v>57</v>
      </c>
      <c r="E2676" t="s">
        <v>86</v>
      </c>
      <c r="F2676" t="s">
        <v>58</v>
      </c>
      <c r="G2676" t="s">
        <v>59</v>
      </c>
      <c r="H2676" t="s">
        <v>60</v>
      </c>
      <c r="I2676" t="s">
        <v>188</v>
      </c>
      <c r="J2676" t="s">
        <v>1102</v>
      </c>
      <c r="K2676" t="s">
        <v>184</v>
      </c>
      <c r="L2676" t="s">
        <v>74</v>
      </c>
      <c r="M2676" t="s">
        <v>63</v>
      </c>
      <c r="N2676" t="s">
        <v>64</v>
      </c>
      <c r="O2676">
        <v>14</v>
      </c>
      <c r="P2676" t="s">
        <v>201</v>
      </c>
      <c r="S2676" t="s">
        <v>153</v>
      </c>
      <c r="T2676">
        <v>1.27092E-2</v>
      </c>
      <c r="U2676" t="s">
        <v>435</v>
      </c>
      <c r="V2676">
        <v>1.9063799999999999E-2</v>
      </c>
      <c r="W2676" t="s">
        <v>66</v>
      </c>
      <c r="X2676" t="s">
        <v>67</v>
      </c>
      <c r="Y2676" t="s">
        <v>67</v>
      </c>
      <c r="Z2676" t="s">
        <v>68</v>
      </c>
      <c r="AB2676">
        <v>4</v>
      </c>
      <c r="AC2676" t="s">
        <v>61</v>
      </c>
      <c r="AJ2676" t="s">
        <v>69</v>
      </c>
      <c r="AY2676" t="s">
        <v>2030</v>
      </c>
      <c r="AZ2676">
        <v>100936</v>
      </c>
      <c r="BA2676" t="s">
        <v>2031</v>
      </c>
      <c r="BB2676" t="s">
        <v>2032</v>
      </c>
      <c r="BC2676">
        <v>2007</v>
      </c>
      <c r="BD2676" t="s">
        <v>185</v>
      </c>
    </row>
    <row r="2677" spans="1:56" x14ac:dyDescent="0.35">
      <c r="A2677">
        <v>7440508</v>
      </c>
      <c r="B2677" t="s">
        <v>2014</v>
      </c>
      <c r="D2677" t="s">
        <v>57</v>
      </c>
      <c r="E2677" t="s">
        <v>86</v>
      </c>
      <c r="F2677" t="s">
        <v>58</v>
      </c>
      <c r="G2677" t="s">
        <v>59</v>
      </c>
      <c r="H2677" t="s">
        <v>60</v>
      </c>
      <c r="J2677" t="s">
        <v>86</v>
      </c>
      <c r="L2677" t="s">
        <v>62</v>
      </c>
      <c r="M2677" t="s">
        <v>63</v>
      </c>
      <c r="N2677" t="s">
        <v>64</v>
      </c>
      <c r="P2677" t="s">
        <v>1296</v>
      </c>
      <c r="R2677">
        <v>0.83</v>
      </c>
      <c r="W2677" t="s">
        <v>66</v>
      </c>
      <c r="X2677" t="s">
        <v>67</v>
      </c>
      <c r="Y2677" t="s">
        <v>67</v>
      </c>
      <c r="Z2677" t="s">
        <v>68</v>
      </c>
      <c r="AB2677">
        <v>4</v>
      </c>
      <c r="AC2677" t="s">
        <v>61</v>
      </c>
      <c r="AJ2677" t="s">
        <v>69</v>
      </c>
      <c r="AQ2677" t="s">
        <v>69</v>
      </c>
      <c r="AY2677" t="s">
        <v>2015</v>
      </c>
      <c r="AZ2677">
        <v>8320</v>
      </c>
      <c r="BA2677" t="s">
        <v>2016</v>
      </c>
      <c r="BB2677" t="s">
        <v>2017</v>
      </c>
      <c r="BC2677">
        <v>1976</v>
      </c>
      <c r="BD2677" t="s">
        <v>2033</v>
      </c>
    </row>
    <row r="2678" spans="1:56" x14ac:dyDescent="0.35">
      <c r="A2678">
        <v>7440508</v>
      </c>
      <c r="B2678" t="s">
        <v>2014</v>
      </c>
      <c r="D2678" t="s">
        <v>85</v>
      </c>
      <c r="E2678" t="s">
        <v>86</v>
      </c>
      <c r="F2678" t="s">
        <v>58</v>
      </c>
      <c r="G2678" t="s">
        <v>59</v>
      </c>
      <c r="H2678" t="s">
        <v>60</v>
      </c>
      <c r="I2678" t="s">
        <v>129</v>
      </c>
      <c r="J2678" t="s">
        <v>505</v>
      </c>
      <c r="K2678" t="s">
        <v>320</v>
      </c>
      <c r="M2678" t="s">
        <v>63</v>
      </c>
      <c r="N2678" t="s">
        <v>64</v>
      </c>
      <c r="P2678" t="s">
        <v>201</v>
      </c>
      <c r="Q2678" t="s">
        <v>153</v>
      </c>
      <c r="R2678">
        <v>0.126</v>
      </c>
      <c r="W2678" t="s">
        <v>66</v>
      </c>
      <c r="X2678" t="s">
        <v>67</v>
      </c>
      <c r="Y2678" t="s">
        <v>67</v>
      </c>
      <c r="Z2678" t="s">
        <v>68</v>
      </c>
      <c r="AB2678">
        <v>4</v>
      </c>
      <c r="AC2678" t="s">
        <v>61</v>
      </c>
      <c r="AJ2678" t="s">
        <v>69</v>
      </c>
      <c r="AY2678" t="s">
        <v>2005</v>
      </c>
      <c r="AZ2678">
        <v>4468</v>
      </c>
      <c r="BA2678" t="s">
        <v>2006</v>
      </c>
      <c r="BB2678" t="s">
        <v>2007</v>
      </c>
      <c r="BC2678">
        <v>1993</v>
      </c>
      <c r="BD2678" t="s">
        <v>324</v>
      </c>
    </row>
    <row r="2679" spans="1:56" x14ac:dyDescent="0.35">
      <c r="A2679">
        <v>7440508</v>
      </c>
      <c r="B2679" t="s">
        <v>2014</v>
      </c>
      <c r="D2679" t="s">
        <v>85</v>
      </c>
      <c r="E2679" t="s">
        <v>86</v>
      </c>
      <c r="F2679" t="s">
        <v>58</v>
      </c>
      <c r="G2679" t="s">
        <v>59</v>
      </c>
      <c r="H2679" t="s">
        <v>60</v>
      </c>
      <c r="I2679" t="s">
        <v>129</v>
      </c>
      <c r="J2679" t="s">
        <v>505</v>
      </c>
      <c r="K2679" t="s">
        <v>320</v>
      </c>
      <c r="M2679" t="s">
        <v>63</v>
      </c>
      <c r="N2679" t="s">
        <v>64</v>
      </c>
      <c r="P2679" t="s">
        <v>201</v>
      </c>
      <c r="R2679">
        <v>1.03E-2</v>
      </c>
      <c r="T2679">
        <v>6.7999999999999996E-3</v>
      </c>
      <c r="V2679">
        <v>1.5599999999999999E-2</v>
      </c>
      <c r="W2679" t="s">
        <v>66</v>
      </c>
      <c r="X2679" t="s">
        <v>67</v>
      </c>
      <c r="Y2679" t="s">
        <v>67</v>
      </c>
      <c r="Z2679" t="s">
        <v>68</v>
      </c>
      <c r="AB2679">
        <v>4</v>
      </c>
      <c r="AC2679" t="s">
        <v>61</v>
      </c>
      <c r="AJ2679" t="s">
        <v>69</v>
      </c>
      <c r="AY2679" t="s">
        <v>2005</v>
      </c>
      <c r="AZ2679">
        <v>4468</v>
      </c>
      <c r="BA2679" t="s">
        <v>2006</v>
      </c>
      <c r="BB2679" t="s">
        <v>2007</v>
      </c>
      <c r="BC2679">
        <v>1993</v>
      </c>
      <c r="BD2679" t="s">
        <v>324</v>
      </c>
    </row>
    <row r="2680" spans="1:56" x14ac:dyDescent="0.35">
      <c r="A2680">
        <v>7440508</v>
      </c>
      <c r="B2680" t="s">
        <v>2014</v>
      </c>
      <c r="D2680" t="s">
        <v>57</v>
      </c>
      <c r="E2680" t="s">
        <v>86</v>
      </c>
      <c r="F2680" t="s">
        <v>58</v>
      </c>
      <c r="G2680" t="s">
        <v>59</v>
      </c>
      <c r="H2680" t="s">
        <v>60</v>
      </c>
      <c r="I2680" t="s">
        <v>188</v>
      </c>
      <c r="J2680" t="s">
        <v>1102</v>
      </c>
      <c r="K2680" t="s">
        <v>184</v>
      </c>
      <c r="L2680" t="s">
        <v>74</v>
      </c>
      <c r="M2680" t="s">
        <v>63</v>
      </c>
      <c r="N2680" t="s">
        <v>64</v>
      </c>
      <c r="O2680">
        <v>8</v>
      </c>
      <c r="P2680" t="s">
        <v>201</v>
      </c>
      <c r="Q2680" t="s">
        <v>172</v>
      </c>
      <c r="R2680">
        <v>5.0836800000000001E-3</v>
      </c>
      <c r="W2680" t="s">
        <v>66</v>
      </c>
      <c r="X2680" t="s">
        <v>67</v>
      </c>
      <c r="Y2680" t="s">
        <v>67</v>
      </c>
      <c r="Z2680" t="s">
        <v>68</v>
      </c>
      <c r="AB2680">
        <v>4</v>
      </c>
      <c r="AC2680" t="s">
        <v>61</v>
      </c>
      <c r="AJ2680" t="s">
        <v>69</v>
      </c>
      <c r="AY2680" t="s">
        <v>2030</v>
      </c>
      <c r="AZ2680">
        <v>100936</v>
      </c>
      <c r="BA2680" t="s">
        <v>2031</v>
      </c>
      <c r="BB2680" t="s">
        <v>2032</v>
      </c>
      <c r="BC2680">
        <v>2007</v>
      </c>
      <c r="BD2680" t="s">
        <v>185</v>
      </c>
    </row>
    <row r="2681" spans="1:56" x14ac:dyDescent="0.35">
      <c r="A2681">
        <v>7440508</v>
      </c>
      <c r="B2681" t="s">
        <v>2014</v>
      </c>
      <c r="D2681" t="s">
        <v>85</v>
      </c>
      <c r="E2681" t="s">
        <v>86</v>
      </c>
      <c r="F2681" t="s">
        <v>58</v>
      </c>
      <c r="G2681" t="s">
        <v>59</v>
      </c>
      <c r="H2681" t="s">
        <v>60</v>
      </c>
      <c r="J2681" t="s">
        <v>86</v>
      </c>
      <c r="L2681" t="s">
        <v>62</v>
      </c>
      <c r="M2681" t="s">
        <v>63</v>
      </c>
      <c r="N2681" t="s">
        <v>64</v>
      </c>
      <c r="P2681" t="s">
        <v>201</v>
      </c>
      <c r="R2681">
        <v>2.4849999999999999</v>
      </c>
      <c r="T2681">
        <v>1.9910000000000001</v>
      </c>
      <c r="V2681">
        <v>3.1030000000000002</v>
      </c>
      <c r="W2681" t="s">
        <v>66</v>
      </c>
      <c r="X2681" t="s">
        <v>67</v>
      </c>
      <c r="Y2681" t="s">
        <v>67</v>
      </c>
      <c r="Z2681" t="s">
        <v>68</v>
      </c>
      <c r="AB2681">
        <v>4</v>
      </c>
      <c r="AC2681" t="s">
        <v>61</v>
      </c>
      <c r="AJ2681" t="s">
        <v>69</v>
      </c>
      <c r="AY2681" t="s">
        <v>2026</v>
      </c>
      <c r="AZ2681">
        <v>165613</v>
      </c>
      <c r="BA2681" t="s">
        <v>2027</v>
      </c>
      <c r="BB2681" t="s">
        <v>2028</v>
      </c>
      <c r="BC2681">
        <v>1980</v>
      </c>
      <c r="BD2681" t="s">
        <v>90</v>
      </c>
    </row>
    <row r="2682" spans="1:56" x14ac:dyDescent="0.35">
      <c r="A2682">
        <v>7440508</v>
      </c>
      <c r="B2682" t="s">
        <v>2014</v>
      </c>
      <c r="D2682" t="s">
        <v>85</v>
      </c>
      <c r="E2682" t="s">
        <v>86</v>
      </c>
      <c r="F2682" t="s">
        <v>58</v>
      </c>
      <c r="G2682" t="s">
        <v>59</v>
      </c>
      <c r="H2682" t="s">
        <v>60</v>
      </c>
      <c r="J2682" t="s">
        <v>86</v>
      </c>
      <c r="L2682" t="s">
        <v>62</v>
      </c>
      <c r="M2682" t="s">
        <v>63</v>
      </c>
      <c r="N2682" t="s">
        <v>64</v>
      </c>
      <c r="P2682" t="s">
        <v>201</v>
      </c>
      <c r="R2682">
        <v>5.0960000000000001</v>
      </c>
      <c r="T2682">
        <v>4.077</v>
      </c>
      <c r="V2682">
        <v>6.37</v>
      </c>
      <c r="W2682" t="s">
        <v>66</v>
      </c>
      <c r="X2682" t="s">
        <v>67</v>
      </c>
      <c r="Y2682" t="s">
        <v>67</v>
      </c>
      <c r="Z2682" t="s">
        <v>68</v>
      </c>
      <c r="AB2682">
        <v>4</v>
      </c>
      <c r="AC2682" t="s">
        <v>61</v>
      </c>
      <c r="AJ2682" t="s">
        <v>69</v>
      </c>
      <c r="AY2682" t="s">
        <v>2026</v>
      </c>
      <c r="AZ2682">
        <v>165613</v>
      </c>
      <c r="BA2682" t="s">
        <v>2027</v>
      </c>
      <c r="BB2682" t="s">
        <v>2028</v>
      </c>
      <c r="BC2682">
        <v>1980</v>
      </c>
      <c r="BD2682" t="s">
        <v>90</v>
      </c>
    </row>
    <row r="2683" spans="1:56" x14ac:dyDescent="0.35">
      <c r="A2683">
        <v>7440508</v>
      </c>
      <c r="B2683" t="s">
        <v>2014</v>
      </c>
      <c r="D2683" t="s">
        <v>85</v>
      </c>
      <c r="E2683" t="s">
        <v>86</v>
      </c>
      <c r="F2683" t="s">
        <v>58</v>
      </c>
      <c r="G2683" t="s">
        <v>59</v>
      </c>
      <c r="H2683" t="s">
        <v>60</v>
      </c>
      <c r="J2683" t="s">
        <v>86</v>
      </c>
      <c r="L2683" t="s">
        <v>62</v>
      </c>
      <c r="M2683" t="s">
        <v>63</v>
      </c>
      <c r="N2683" t="s">
        <v>64</v>
      </c>
      <c r="P2683" t="s">
        <v>201</v>
      </c>
      <c r="R2683">
        <v>1.51</v>
      </c>
      <c r="T2683">
        <v>1.07</v>
      </c>
      <c r="V2683">
        <v>2.12</v>
      </c>
      <c r="W2683" t="s">
        <v>66</v>
      </c>
      <c r="X2683" t="s">
        <v>67</v>
      </c>
      <c r="Y2683" t="s">
        <v>67</v>
      </c>
      <c r="Z2683" t="s">
        <v>68</v>
      </c>
      <c r="AB2683">
        <v>4</v>
      </c>
      <c r="AC2683" t="s">
        <v>61</v>
      </c>
      <c r="AJ2683" t="s">
        <v>69</v>
      </c>
      <c r="AY2683" t="s">
        <v>2026</v>
      </c>
      <c r="AZ2683">
        <v>165613</v>
      </c>
      <c r="BA2683" t="s">
        <v>2027</v>
      </c>
      <c r="BB2683" t="s">
        <v>2028</v>
      </c>
      <c r="BC2683">
        <v>1980</v>
      </c>
      <c r="BD2683" t="s">
        <v>90</v>
      </c>
    </row>
    <row r="2684" spans="1:56" x14ac:dyDescent="0.35">
      <c r="A2684">
        <v>7440508</v>
      </c>
      <c r="B2684" t="s">
        <v>2014</v>
      </c>
      <c r="D2684" t="s">
        <v>57</v>
      </c>
      <c r="E2684" t="s">
        <v>86</v>
      </c>
      <c r="F2684" t="s">
        <v>58</v>
      </c>
      <c r="G2684" t="s">
        <v>59</v>
      </c>
      <c r="H2684" t="s">
        <v>60</v>
      </c>
      <c r="J2684" t="s">
        <v>86</v>
      </c>
      <c r="L2684" t="s">
        <v>62</v>
      </c>
      <c r="M2684" t="s">
        <v>63</v>
      </c>
      <c r="N2684" t="s">
        <v>64</v>
      </c>
      <c r="P2684" t="s">
        <v>1296</v>
      </c>
      <c r="R2684">
        <v>0.73</v>
      </c>
      <c r="W2684" t="s">
        <v>66</v>
      </c>
      <c r="X2684" t="s">
        <v>67</v>
      </c>
      <c r="Y2684" t="s">
        <v>67</v>
      </c>
      <c r="Z2684" t="s">
        <v>68</v>
      </c>
      <c r="AB2684">
        <v>4</v>
      </c>
      <c r="AC2684" t="s">
        <v>61</v>
      </c>
      <c r="AJ2684" t="s">
        <v>69</v>
      </c>
      <c r="AQ2684" t="s">
        <v>69</v>
      </c>
      <c r="AY2684" t="s">
        <v>2015</v>
      </c>
      <c r="AZ2684">
        <v>8320</v>
      </c>
      <c r="BA2684" t="s">
        <v>2016</v>
      </c>
      <c r="BB2684" t="s">
        <v>2017</v>
      </c>
      <c r="BC2684">
        <v>1976</v>
      </c>
      <c r="BD2684" t="s">
        <v>2029</v>
      </c>
    </row>
    <row r="2685" spans="1:56" x14ac:dyDescent="0.35">
      <c r="A2685">
        <v>7440508</v>
      </c>
      <c r="B2685" t="s">
        <v>2014</v>
      </c>
      <c r="D2685" t="s">
        <v>57</v>
      </c>
      <c r="E2685" t="s">
        <v>86</v>
      </c>
      <c r="F2685" t="s">
        <v>58</v>
      </c>
      <c r="G2685" t="s">
        <v>59</v>
      </c>
      <c r="H2685" t="s">
        <v>60</v>
      </c>
      <c r="J2685" t="s">
        <v>86</v>
      </c>
      <c r="L2685" t="s">
        <v>62</v>
      </c>
      <c r="M2685" t="s">
        <v>63</v>
      </c>
      <c r="N2685" t="s">
        <v>64</v>
      </c>
      <c r="P2685" t="s">
        <v>1296</v>
      </c>
      <c r="R2685">
        <v>0.75</v>
      </c>
      <c r="W2685" t="s">
        <v>66</v>
      </c>
      <c r="X2685" t="s">
        <v>67</v>
      </c>
      <c r="Y2685" t="s">
        <v>67</v>
      </c>
      <c r="Z2685" t="s">
        <v>68</v>
      </c>
      <c r="AB2685">
        <v>4</v>
      </c>
      <c r="AC2685" t="s">
        <v>61</v>
      </c>
      <c r="AJ2685" t="s">
        <v>69</v>
      </c>
      <c r="AQ2685" t="s">
        <v>69</v>
      </c>
      <c r="AY2685" t="s">
        <v>2015</v>
      </c>
      <c r="AZ2685">
        <v>8320</v>
      </c>
      <c r="BA2685" t="s">
        <v>2016</v>
      </c>
      <c r="BB2685" t="s">
        <v>2017</v>
      </c>
      <c r="BC2685">
        <v>1976</v>
      </c>
      <c r="BD2685" t="s">
        <v>2034</v>
      </c>
    </row>
    <row r="2686" spans="1:56" x14ac:dyDescent="0.35">
      <c r="A2686">
        <v>7440508</v>
      </c>
      <c r="B2686" t="s">
        <v>2014</v>
      </c>
      <c r="D2686" t="s">
        <v>85</v>
      </c>
      <c r="E2686" t="s">
        <v>86</v>
      </c>
      <c r="F2686" t="s">
        <v>58</v>
      </c>
      <c r="G2686" t="s">
        <v>59</v>
      </c>
      <c r="H2686" t="s">
        <v>60</v>
      </c>
      <c r="J2686" t="s">
        <v>86</v>
      </c>
      <c r="L2686" t="s">
        <v>62</v>
      </c>
      <c r="M2686" t="s">
        <v>63</v>
      </c>
      <c r="N2686" t="s">
        <v>64</v>
      </c>
      <c r="P2686" t="s">
        <v>201</v>
      </c>
      <c r="R2686">
        <v>20</v>
      </c>
      <c r="W2686" t="s">
        <v>66</v>
      </c>
      <c r="X2686" t="s">
        <v>67</v>
      </c>
      <c r="Y2686" t="s">
        <v>67</v>
      </c>
      <c r="Z2686" t="s">
        <v>68</v>
      </c>
      <c r="AB2686">
        <v>4</v>
      </c>
      <c r="AC2686" t="s">
        <v>61</v>
      </c>
      <c r="AJ2686" t="s">
        <v>69</v>
      </c>
      <c r="AY2686" t="s">
        <v>2015</v>
      </c>
      <c r="AZ2686">
        <v>8320</v>
      </c>
      <c r="BA2686" t="s">
        <v>2016</v>
      </c>
      <c r="BB2686" t="s">
        <v>2017</v>
      </c>
      <c r="BC2686">
        <v>1976</v>
      </c>
      <c r="BD2686" t="s">
        <v>90</v>
      </c>
    </row>
    <row r="2687" spans="1:56" x14ac:dyDescent="0.35">
      <c r="A2687">
        <v>7440508</v>
      </c>
      <c r="B2687" t="s">
        <v>2014</v>
      </c>
      <c r="D2687" t="s">
        <v>57</v>
      </c>
      <c r="E2687" t="s">
        <v>86</v>
      </c>
      <c r="F2687" t="s">
        <v>58</v>
      </c>
      <c r="G2687" t="s">
        <v>59</v>
      </c>
      <c r="H2687" t="s">
        <v>60</v>
      </c>
      <c r="J2687" t="s">
        <v>86</v>
      </c>
      <c r="L2687" t="s">
        <v>62</v>
      </c>
      <c r="M2687" t="s">
        <v>63</v>
      </c>
      <c r="N2687" t="s">
        <v>64</v>
      </c>
      <c r="P2687" t="s">
        <v>1296</v>
      </c>
      <c r="R2687">
        <v>0.6</v>
      </c>
      <c r="W2687" t="s">
        <v>66</v>
      </c>
      <c r="X2687" t="s">
        <v>67</v>
      </c>
      <c r="Y2687" t="s">
        <v>67</v>
      </c>
      <c r="Z2687" t="s">
        <v>68</v>
      </c>
      <c r="AB2687">
        <v>4</v>
      </c>
      <c r="AC2687" t="s">
        <v>61</v>
      </c>
      <c r="AJ2687" t="s">
        <v>69</v>
      </c>
      <c r="AQ2687" t="s">
        <v>69</v>
      </c>
      <c r="AY2687" t="s">
        <v>2015</v>
      </c>
      <c r="AZ2687">
        <v>8320</v>
      </c>
      <c r="BA2687" t="s">
        <v>2016</v>
      </c>
      <c r="BB2687" t="s">
        <v>2017</v>
      </c>
      <c r="BC2687">
        <v>1976</v>
      </c>
      <c r="BD2687" t="s">
        <v>2035</v>
      </c>
    </row>
    <row r="2688" spans="1:56" x14ac:dyDescent="0.35">
      <c r="A2688">
        <v>7440508</v>
      </c>
      <c r="B2688" t="s">
        <v>2014</v>
      </c>
      <c r="D2688" t="s">
        <v>85</v>
      </c>
      <c r="E2688" t="s">
        <v>86</v>
      </c>
      <c r="F2688" t="s">
        <v>58</v>
      </c>
      <c r="G2688" t="s">
        <v>59</v>
      </c>
      <c r="H2688" t="s">
        <v>60</v>
      </c>
      <c r="J2688" t="s">
        <v>86</v>
      </c>
      <c r="L2688" t="s">
        <v>62</v>
      </c>
      <c r="M2688" t="s">
        <v>63</v>
      </c>
      <c r="N2688" t="s">
        <v>64</v>
      </c>
      <c r="P2688" t="s">
        <v>201</v>
      </c>
      <c r="Q2688" t="s">
        <v>153</v>
      </c>
      <c r="R2688">
        <v>16</v>
      </c>
      <c r="W2688" t="s">
        <v>66</v>
      </c>
      <c r="X2688" t="s">
        <v>67</v>
      </c>
      <c r="Y2688" t="s">
        <v>67</v>
      </c>
      <c r="Z2688" t="s">
        <v>68</v>
      </c>
      <c r="AB2688">
        <v>4</v>
      </c>
      <c r="AC2688" t="s">
        <v>61</v>
      </c>
      <c r="AJ2688" t="s">
        <v>69</v>
      </c>
      <c r="AY2688" t="s">
        <v>2015</v>
      </c>
      <c r="AZ2688">
        <v>8320</v>
      </c>
      <c r="BA2688" t="s">
        <v>2016</v>
      </c>
      <c r="BB2688" t="s">
        <v>2017</v>
      </c>
      <c r="BC2688">
        <v>1976</v>
      </c>
      <c r="BD2688" t="s">
        <v>90</v>
      </c>
    </row>
    <row r="2689" spans="1:56" x14ac:dyDescent="0.35">
      <c r="A2689">
        <v>7440508</v>
      </c>
      <c r="B2689" t="s">
        <v>2014</v>
      </c>
      <c r="D2689" t="s">
        <v>57</v>
      </c>
      <c r="E2689" t="s">
        <v>86</v>
      </c>
      <c r="F2689" t="s">
        <v>58</v>
      </c>
      <c r="G2689" t="s">
        <v>59</v>
      </c>
      <c r="H2689" t="s">
        <v>60</v>
      </c>
      <c r="I2689" t="s">
        <v>188</v>
      </c>
      <c r="J2689" t="s">
        <v>1102</v>
      </c>
      <c r="K2689" t="s">
        <v>184</v>
      </c>
      <c r="L2689" t="s">
        <v>74</v>
      </c>
      <c r="M2689" t="s">
        <v>63</v>
      </c>
      <c r="N2689" t="s">
        <v>64</v>
      </c>
      <c r="O2689">
        <v>14</v>
      </c>
      <c r="P2689" t="s">
        <v>201</v>
      </c>
      <c r="S2689" t="s">
        <v>153</v>
      </c>
      <c r="T2689">
        <v>1.27092E-2</v>
      </c>
      <c r="U2689" t="s">
        <v>435</v>
      </c>
      <c r="V2689">
        <v>1.9063799999999999E-2</v>
      </c>
      <c r="W2689" t="s">
        <v>66</v>
      </c>
      <c r="X2689" t="s">
        <v>67</v>
      </c>
      <c r="Y2689" t="s">
        <v>67</v>
      </c>
      <c r="Z2689" t="s">
        <v>68</v>
      </c>
      <c r="AB2689">
        <v>4</v>
      </c>
      <c r="AC2689" t="s">
        <v>61</v>
      </c>
      <c r="AJ2689" t="s">
        <v>69</v>
      </c>
      <c r="AY2689" t="s">
        <v>2030</v>
      </c>
      <c r="AZ2689">
        <v>100936</v>
      </c>
      <c r="BA2689" t="s">
        <v>2031</v>
      </c>
      <c r="BB2689" t="s">
        <v>2032</v>
      </c>
      <c r="BC2689">
        <v>2007</v>
      </c>
      <c r="BD2689" t="s">
        <v>185</v>
      </c>
    </row>
    <row r="2690" spans="1:56" x14ac:dyDescent="0.35">
      <c r="A2690">
        <v>7440508</v>
      </c>
      <c r="B2690" t="s">
        <v>2014</v>
      </c>
      <c r="D2690" t="s">
        <v>57</v>
      </c>
      <c r="E2690" t="s">
        <v>86</v>
      </c>
      <c r="F2690" t="s">
        <v>58</v>
      </c>
      <c r="G2690" t="s">
        <v>59</v>
      </c>
      <c r="H2690" t="s">
        <v>60</v>
      </c>
      <c r="J2690" t="s">
        <v>86</v>
      </c>
      <c r="L2690" t="s">
        <v>62</v>
      </c>
      <c r="M2690" t="s">
        <v>63</v>
      </c>
      <c r="N2690" t="s">
        <v>64</v>
      </c>
      <c r="P2690" t="s">
        <v>1296</v>
      </c>
      <c r="R2690">
        <v>0.86</v>
      </c>
      <c r="W2690" t="s">
        <v>66</v>
      </c>
      <c r="X2690" t="s">
        <v>67</v>
      </c>
      <c r="Y2690" t="s">
        <v>67</v>
      </c>
      <c r="Z2690" t="s">
        <v>68</v>
      </c>
      <c r="AB2690">
        <v>4</v>
      </c>
      <c r="AC2690" t="s">
        <v>61</v>
      </c>
      <c r="AJ2690" t="s">
        <v>69</v>
      </c>
      <c r="AQ2690" t="s">
        <v>69</v>
      </c>
      <c r="AY2690" t="s">
        <v>2015</v>
      </c>
      <c r="AZ2690">
        <v>8320</v>
      </c>
      <c r="BA2690" t="s">
        <v>2016</v>
      </c>
      <c r="BB2690" t="s">
        <v>2017</v>
      </c>
      <c r="BC2690">
        <v>1976</v>
      </c>
      <c r="BD2690" t="s">
        <v>2029</v>
      </c>
    </row>
    <row r="2691" spans="1:56" x14ac:dyDescent="0.35">
      <c r="A2691">
        <v>7440508</v>
      </c>
      <c r="B2691" t="s">
        <v>2014</v>
      </c>
      <c r="D2691" t="s">
        <v>57</v>
      </c>
      <c r="E2691" t="s">
        <v>86</v>
      </c>
      <c r="F2691" t="s">
        <v>58</v>
      </c>
      <c r="G2691" t="s">
        <v>59</v>
      </c>
      <c r="H2691" t="s">
        <v>60</v>
      </c>
      <c r="J2691" t="s">
        <v>86</v>
      </c>
      <c r="L2691" t="s">
        <v>62</v>
      </c>
      <c r="M2691" t="s">
        <v>63</v>
      </c>
      <c r="N2691" t="s">
        <v>64</v>
      </c>
      <c r="O2691">
        <v>6</v>
      </c>
      <c r="P2691" t="s">
        <v>201</v>
      </c>
      <c r="R2691">
        <v>0.48080000000000001</v>
      </c>
      <c r="W2691" t="s">
        <v>66</v>
      </c>
      <c r="X2691" t="s">
        <v>67</v>
      </c>
      <c r="Y2691" t="s">
        <v>67</v>
      </c>
      <c r="Z2691" t="s">
        <v>68</v>
      </c>
      <c r="AB2691">
        <v>4</v>
      </c>
      <c r="AC2691" t="s">
        <v>61</v>
      </c>
      <c r="AJ2691" t="s">
        <v>69</v>
      </c>
      <c r="AY2691" t="s">
        <v>2036</v>
      </c>
      <c r="AZ2691">
        <v>65821</v>
      </c>
      <c r="BA2691" t="s">
        <v>2037</v>
      </c>
      <c r="BB2691" t="s">
        <v>2038</v>
      </c>
      <c r="BC2691">
        <v>2002</v>
      </c>
      <c r="BD2691" t="s">
        <v>90</v>
      </c>
    </row>
    <row r="2692" spans="1:56" x14ac:dyDescent="0.35">
      <c r="A2692">
        <v>7440508</v>
      </c>
      <c r="B2692" t="s">
        <v>2014</v>
      </c>
      <c r="D2692" t="s">
        <v>85</v>
      </c>
      <c r="E2692" t="s">
        <v>86</v>
      </c>
      <c r="F2692" t="s">
        <v>58</v>
      </c>
      <c r="G2692" t="s">
        <v>59</v>
      </c>
      <c r="H2692" t="s">
        <v>60</v>
      </c>
      <c r="J2692" t="s">
        <v>86</v>
      </c>
      <c r="L2692" t="s">
        <v>62</v>
      </c>
      <c r="M2692" t="s">
        <v>63</v>
      </c>
      <c r="N2692" t="s">
        <v>64</v>
      </c>
      <c r="P2692" t="s">
        <v>201</v>
      </c>
      <c r="R2692">
        <v>7.1929999999999996</v>
      </c>
      <c r="T2692">
        <v>4.9050000000000002</v>
      </c>
      <c r="V2692">
        <v>10.545999999999999</v>
      </c>
      <c r="W2692" t="s">
        <v>66</v>
      </c>
      <c r="X2692" t="s">
        <v>67</v>
      </c>
      <c r="Y2692" t="s">
        <v>67</v>
      </c>
      <c r="Z2692" t="s">
        <v>68</v>
      </c>
      <c r="AB2692">
        <v>4</v>
      </c>
      <c r="AC2692" t="s">
        <v>61</v>
      </c>
      <c r="AJ2692" t="s">
        <v>69</v>
      </c>
      <c r="AY2692" t="s">
        <v>2026</v>
      </c>
      <c r="AZ2692">
        <v>165613</v>
      </c>
      <c r="BA2692" t="s">
        <v>2027</v>
      </c>
      <c r="BB2692" t="s">
        <v>2028</v>
      </c>
      <c r="BC2692">
        <v>1980</v>
      </c>
      <c r="BD2692" t="s">
        <v>90</v>
      </c>
    </row>
    <row r="2693" spans="1:56" x14ac:dyDescent="0.35">
      <c r="A2693">
        <v>7440508</v>
      </c>
      <c r="B2693" t="s">
        <v>2014</v>
      </c>
      <c r="D2693" t="s">
        <v>85</v>
      </c>
      <c r="E2693" t="s">
        <v>86</v>
      </c>
      <c r="F2693" t="s">
        <v>58</v>
      </c>
      <c r="G2693" t="s">
        <v>59</v>
      </c>
      <c r="H2693" t="s">
        <v>60</v>
      </c>
      <c r="J2693" t="s">
        <v>86</v>
      </c>
      <c r="L2693" t="s">
        <v>62</v>
      </c>
      <c r="M2693" t="s">
        <v>63</v>
      </c>
      <c r="N2693" t="s">
        <v>64</v>
      </c>
      <c r="P2693" t="s">
        <v>201</v>
      </c>
      <c r="R2693">
        <v>0.13500000000000001</v>
      </c>
      <c r="T2693">
        <v>0.122</v>
      </c>
      <c r="V2693">
        <v>0.151</v>
      </c>
      <c r="W2693" t="s">
        <v>66</v>
      </c>
      <c r="X2693" t="s">
        <v>67</v>
      </c>
      <c r="Y2693" t="s">
        <v>67</v>
      </c>
      <c r="Z2693" t="s">
        <v>68</v>
      </c>
      <c r="AB2693">
        <v>4</v>
      </c>
      <c r="AC2693" t="s">
        <v>61</v>
      </c>
      <c r="AJ2693" t="s">
        <v>69</v>
      </c>
      <c r="AY2693" t="s">
        <v>2026</v>
      </c>
      <c r="AZ2693">
        <v>165613</v>
      </c>
      <c r="BA2693" t="s">
        <v>2027</v>
      </c>
      <c r="BB2693" t="s">
        <v>2028</v>
      </c>
      <c r="BC2693">
        <v>1980</v>
      </c>
      <c r="BD2693" t="s">
        <v>90</v>
      </c>
    </row>
    <row r="2694" spans="1:56" x14ac:dyDescent="0.35">
      <c r="A2694">
        <v>7440508</v>
      </c>
      <c r="B2694" t="s">
        <v>2014</v>
      </c>
      <c r="D2694" t="s">
        <v>57</v>
      </c>
      <c r="E2694" t="s">
        <v>86</v>
      </c>
      <c r="F2694" t="s">
        <v>58</v>
      </c>
      <c r="G2694" t="s">
        <v>59</v>
      </c>
      <c r="H2694" t="s">
        <v>60</v>
      </c>
      <c r="J2694" t="s">
        <v>86</v>
      </c>
      <c r="L2694" t="s">
        <v>62</v>
      </c>
      <c r="M2694" t="s">
        <v>63</v>
      </c>
      <c r="N2694" t="s">
        <v>64</v>
      </c>
      <c r="P2694" t="s">
        <v>1296</v>
      </c>
      <c r="R2694">
        <v>0.87</v>
      </c>
      <c r="W2694" t="s">
        <v>66</v>
      </c>
      <c r="X2694" t="s">
        <v>67</v>
      </c>
      <c r="Y2694" t="s">
        <v>67</v>
      </c>
      <c r="Z2694" t="s">
        <v>68</v>
      </c>
      <c r="AB2694">
        <v>4</v>
      </c>
      <c r="AC2694" t="s">
        <v>61</v>
      </c>
      <c r="AJ2694" t="s">
        <v>69</v>
      </c>
      <c r="AQ2694" t="s">
        <v>69</v>
      </c>
      <c r="AY2694" t="s">
        <v>2015</v>
      </c>
      <c r="AZ2694">
        <v>8320</v>
      </c>
      <c r="BA2694" t="s">
        <v>2016</v>
      </c>
      <c r="BB2694" t="s">
        <v>2017</v>
      </c>
      <c r="BC2694">
        <v>1976</v>
      </c>
      <c r="BD2694" t="s">
        <v>2039</v>
      </c>
    </row>
    <row r="2695" spans="1:56" x14ac:dyDescent="0.35">
      <c r="A2695">
        <v>7440508</v>
      </c>
      <c r="B2695" t="s">
        <v>2014</v>
      </c>
      <c r="D2695" t="s">
        <v>57</v>
      </c>
      <c r="E2695" t="s">
        <v>86</v>
      </c>
      <c r="F2695" t="s">
        <v>58</v>
      </c>
      <c r="G2695" t="s">
        <v>59</v>
      </c>
      <c r="H2695" t="s">
        <v>60</v>
      </c>
      <c r="I2695" t="s">
        <v>188</v>
      </c>
      <c r="J2695" t="s">
        <v>1102</v>
      </c>
      <c r="K2695" t="s">
        <v>184</v>
      </c>
      <c r="L2695" t="s">
        <v>74</v>
      </c>
      <c r="M2695" t="s">
        <v>63</v>
      </c>
      <c r="N2695" t="s">
        <v>64</v>
      </c>
      <c r="O2695">
        <v>12</v>
      </c>
      <c r="P2695" t="s">
        <v>201</v>
      </c>
      <c r="S2695" t="s">
        <v>153</v>
      </c>
      <c r="T2695">
        <v>2.5418400000000001E-2</v>
      </c>
      <c r="U2695" t="s">
        <v>435</v>
      </c>
      <c r="V2695">
        <v>3.1773000000000003E-2</v>
      </c>
      <c r="W2695" t="s">
        <v>66</v>
      </c>
      <c r="X2695" t="s">
        <v>67</v>
      </c>
      <c r="Y2695" t="s">
        <v>67</v>
      </c>
      <c r="Z2695" t="s">
        <v>68</v>
      </c>
      <c r="AB2695">
        <v>4</v>
      </c>
      <c r="AC2695" t="s">
        <v>61</v>
      </c>
      <c r="AJ2695" t="s">
        <v>69</v>
      </c>
      <c r="AY2695" t="s">
        <v>2030</v>
      </c>
      <c r="AZ2695">
        <v>100936</v>
      </c>
      <c r="BA2695" t="s">
        <v>2031</v>
      </c>
      <c r="BB2695" t="s">
        <v>2032</v>
      </c>
      <c r="BC2695">
        <v>2007</v>
      </c>
      <c r="BD2695" t="s">
        <v>185</v>
      </c>
    </row>
    <row r="2696" spans="1:56" x14ac:dyDescent="0.35">
      <c r="A2696">
        <v>7440508</v>
      </c>
      <c r="B2696" t="s">
        <v>2014</v>
      </c>
      <c r="D2696" t="s">
        <v>57</v>
      </c>
      <c r="E2696" t="s">
        <v>86</v>
      </c>
      <c r="F2696" t="s">
        <v>58</v>
      </c>
      <c r="G2696" t="s">
        <v>59</v>
      </c>
      <c r="H2696" t="s">
        <v>60</v>
      </c>
      <c r="J2696" t="s">
        <v>86</v>
      </c>
      <c r="L2696" t="s">
        <v>62</v>
      </c>
      <c r="M2696" t="s">
        <v>63</v>
      </c>
      <c r="N2696" t="s">
        <v>64</v>
      </c>
      <c r="P2696" t="s">
        <v>1296</v>
      </c>
      <c r="R2696">
        <v>0.69</v>
      </c>
      <c r="W2696" t="s">
        <v>66</v>
      </c>
      <c r="X2696" t="s">
        <v>67</v>
      </c>
      <c r="Y2696" t="s">
        <v>67</v>
      </c>
      <c r="Z2696" t="s">
        <v>68</v>
      </c>
      <c r="AB2696">
        <v>4</v>
      </c>
      <c r="AC2696" t="s">
        <v>61</v>
      </c>
      <c r="AJ2696" t="s">
        <v>69</v>
      </c>
      <c r="AQ2696" t="s">
        <v>69</v>
      </c>
      <c r="AY2696" t="s">
        <v>2015</v>
      </c>
      <c r="AZ2696">
        <v>8320</v>
      </c>
      <c r="BA2696" t="s">
        <v>2016</v>
      </c>
      <c r="BB2696" t="s">
        <v>2017</v>
      </c>
      <c r="BC2696">
        <v>1976</v>
      </c>
      <c r="BD2696" t="s">
        <v>2040</v>
      </c>
    </row>
    <row r="2697" spans="1:56" x14ac:dyDescent="0.35">
      <c r="A2697">
        <v>7440508</v>
      </c>
      <c r="B2697" t="s">
        <v>2014</v>
      </c>
      <c r="D2697" t="s">
        <v>57</v>
      </c>
      <c r="E2697" t="s">
        <v>86</v>
      </c>
      <c r="F2697" t="s">
        <v>58</v>
      </c>
      <c r="G2697" t="s">
        <v>59</v>
      </c>
      <c r="H2697" t="s">
        <v>60</v>
      </c>
      <c r="J2697" t="s">
        <v>86</v>
      </c>
      <c r="L2697" t="s">
        <v>62</v>
      </c>
      <c r="M2697" t="s">
        <v>63</v>
      </c>
      <c r="N2697" t="s">
        <v>64</v>
      </c>
      <c r="P2697" t="s">
        <v>1296</v>
      </c>
      <c r="R2697">
        <v>0.77</v>
      </c>
      <c r="W2697" t="s">
        <v>66</v>
      </c>
      <c r="X2697" t="s">
        <v>67</v>
      </c>
      <c r="Y2697" t="s">
        <v>67</v>
      </c>
      <c r="Z2697" t="s">
        <v>68</v>
      </c>
      <c r="AB2697">
        <v>4</v>
      </c>
      <c r="AC2697" t="s">
        <v>61</v>
      </c>
      <c r="AJ2697" t="s">
        <v>69</v>
      </c>
      <c r="AQ2697" t="s">
        <v>69</v>
      </c>
      <c r="AY2697" t="s">
        <v>2015</v>
      </c>
      <c r="AZ2697">
        <v>8320</v>
      </c>
      <c r="BA2697" t="s">
        <v>2016</v>
      </c>
      <c r="BB2697" t="s">
        <v>2017</v>
      </c>
      <c r="BC2697">
        <v>1976</v>
      </c>
      <c r="BD2697" t="s">
        <v>2041</v>
      </c>
    </row>
    <row r="2698" spans="1:56" x14ac:dyDescent="0.35">
      <c r="A2698">
        <v>7440508</v>
      </c>
      <c r="B2698" t="s">
        <v>2014</v>
      </c>
      <c r="D2698" t="s">
        <v>57</v>
      </c>
      <c r="E2698" t="s">
        <v>86</v>
      </c>
      <c r="F2698" t="s">
        <v>58</v>
      </c>
      <c r="G2698" t="s">
        <v>59</v>
      </c>
      <c r="H2698" t="s">
        <v>60</v>
      </c>
      <c r="J2698" t="s">
        <v>86</v>
      </c>
      <c r="L2698" t="s">
        <v>62</v>
      </c>
      <c r="M2698" t="s">
        <v>63</v>
      </c>
      <c r="N2698" t="s">
        <v>64</v>
      </c>
      <c r="P2698" t="s">
        <v>1296</v>
      </c>
      <c r="R2698">
        <v>0.75</v>
      </c>
      <c r="W2698" t="s">
        <v>66</v>
      </c>
      <c r="X2698" t="s">
        <v>67</v>
      </c>
      <c r="Y2698" t="s">
        <v>67</v>
      </c>
      <c r="Z2698" t="s">
        <v>68</v>
      </c>
      <c r="AB2698">
        <v>4</v>
      </c>
      <c r="AC2698" t="s">
        <v>61</v>
      </c>
      <c r="AJ2698" t="s">
        <v>69</v>
      </c>
      <c r="AQ2698" t="s">
        <v>69</v>
      </c>
      <c r="AY2698" t="s">
        <v>2015</v>
      </c>
      <c r="AZ2698">
        <v>8320</v>
      </c>
      <c r="BA2698" t="s">
        <v>2016</v>
      </c>
      <c r="BB2698" t="s">
        <v>2017</v>
      </c>
      <c r="BC2698">
        <v>1976</v>
      </c>
      <c r="BD2698" t="s">
        <v>2042</v>
      </c>
    </row>
    <row r="2699" spans="1:56" x14ac:dyDescent="0.35">
      <c r="A2699">
        <v>7440508</v>
      </c>
      <c r="B2699" t="s">
        <v>2014</v>
      </c>
      <c r="D2699" t="s">
        <v>57</v>
      </c>
      <c r="E2699" t="s">
        <v>86</v>
      </c>
      <c r="F2699" t="s">
        <v>58</v>
      </c>
      <c r="G2699" t="s">
        <v>59</v>
      </c>
      <c r="H2699" t="s">
        <v>60</v>
      </c>
      <c r="J2699" t="s">
        <v>86</v>
      </c>
      <c r="L2699" t="s">
        <v>62</v>
      </c>
      <c r="M2699" t="s">
        <v>63</v>
      </c>
      <c r="N2699" t="s">
        <v>64</v>
      </c>
      <c r="P2699" t="s">
        <v>1296</v>
      </c>
      <c r="R2699">
        <v>0.82</v>
      </c>
      <c r="W2699" t="s">
        <v>66</v>
      </c>
      <c r="X2699" t="s">
        <v>67</v>
      </c>
      <c r="Y2699" t="s">
        <v>67</v>
      </c>
      <c r="Z2699" t="s">
        <v>68</v>
      </c>
      <c r="AB2699">
        <v>4</v>
      </c>
      <c r="AC2699" t="s">
        <v>61</v>
      </c>
      <c r="AJ2699" t="s">
        <v>69</v>
      </c>
      <c r="AQ2699" t="s">
        <v>69</v>
      </c>
      <c r="AY2699" t="s">
        <v>2015</v>
      </c>
      <c r="AZ2699">
        <v>8320</v>
      </c>
      <c r="BA2699" t="s">
        <v>2016</v>
      </c>
      <c r="BB2699" t="s">
        <v>2017</v>
      </c>
      <c r="BC2699">
        <v>1976</v>
      </c>
      <c r="BD2699" t="s">
        <v>2043</v>
      </c>
    </row>
    <row r="2700" spans="1:56" x14ac:dyDescent="0.35">
      <c r="A2700">
        <v>7440508</v>
      </c>
      <c r="B2700" t="s">
        <v>2014</v>
      </c>
      <c r="D2700" t="s">
        <v>85</v>
      </c>
      <c r="E2700" t="s">
        <v>86</v>
      </c>
      <c r="F2700" t="s">
        <v>58</v>
      </c>
      <c r="G2700" t="s">
        <v>59</v>
      </c>
      <c r="H2700" t="s">
        <v>60</v>
      </c>
      <c r="J2700" t="s">
        <v>86</v>
      </c>
      <c r="L2700" t="s">
        <v>62</v>
      </c>
      <c r="M2700" t="s">
        <v>63</v>
      </c>
      <c r="N2700" t="s">
        <v>64</v>
      </c>
      <c r="P2700" t="s">
        <v>201</v>
      </c>
      <c r="R2700">
        <v>21</v>
      </c>
      <c r="W2700" t="s">
        <v>66</v>
      </c>
      <c r="X2700" t="s">
        <v>67</v>
      </c>
      <c r="Y2700" t="s">
        <v>67</v>
      </c>
      <c r="Z2700" t="s">
        <v>68</v>
      </c>
      <c r="AB2700">
        <v>4</v>
      </c>
      <c r="AC2700" t="s">
        <v>61</v>
      </c>
      <c r="AJ2700" t="s">
        <v>69</v>
      </c>
      <c r="AY2700" t="s">
        <v>2015</v>
      </c>
      <c r="AZ2700">
        <v>8320</v>
      </c>
      <c r="BA2700" t="s">
        <v>2016</v>
      </c>
      <c r="BB2700" t="s">
        <v>2017</v>
      </c>
      <c r="BC2700">
        <v>1976</v>
      </c>
      <c r="BD2700" t="s">
        <v>90</v>
      </c>
    </row>
    <row r="2701" spans="1:56" x14ac:dyDescent="0.35">
      <c r="A2701">
        <v>7440508</v>
      </c>
      <c r="B2701" t="s">
        <v>2014</v>
      </c>
      <c r="D2701" t="s">
        <v>57</v>
      </c>
      <c r="E2701" t="s">
        <v>86</v>
      </c>
      <c r="F2701" t="s">
        <v>58</v>
      </c>
      <c r="G2701" t="s">
        <v>59</v>
      </c>
      <c r="H2701" t="s">
        <v>60</v>
      </c>
      <c r="J2701" t="s">
        <v>86</v>
      </c>
      <c r="L2701" t="s">
        <v>62</v>
      </c>
      <c r="M2701" t="s">
        <v>63</v>
      </c>
      <c r="N2701" t="s">
        <v>64</v>
      </c>
      <c r="P2701" t="s">
        <v>1296</v>
      </c>
      <c r="R2701">
        <v>0.63</v>
      </c>
      <c r="W2701" t="s">
        <v>66</v>
      </c>
      <c r="X2701" t="s">
        <v>67</v>
      </c>
      <c r="Y2701" t="s">
        <v>67</v>
      </c>
      <c r="Z2701" t="s">
        <v>68</v>
      </c>
      <c r="AB2701">
        <v>4</v>
      </c>
      <c r="AC2701" t="s">
        <v>61</v>
      </c>
      <c r="AJ2701" t="s">
        <v>69</v>
      </c>
      <c r="AQ2701" t="s">
        <v>69</v>
      </c>
      <c r="AY2701" t="s">
        <v>2015</v>
      </c>
      <c r="AZ2701">
        <v>8320</v>
      </c>
      <c r="BA2701" t="s">
        <v>2016</v>
      </c>
      <c r="BB2701" t="s">
        <v>2017</v>
      </c>
      <c r="BC2701">
        <v>1976</v>
      </c>
      <c r="BD2701" t="s">
        <v>2039</v>
      </c>
    </row>
    <row r="2702" spans="1:56" x14ac:dyDescent="0.35">
      <c r="A2702">
        <v>7440508</v>
      </c>
      <c r="B2702" t="s">
        <v>2014</v>
      </c>
      <c r="D2702" t="s">
        <v>85</v>
      </c>
      <c r="E2702" t="s">
        <v>86</v>
      </c>
      <c r="F2702" t="s">
        <v>58</v>
      </c>
      <c r="G2702" t="s">
        <v>59</v>
      </c>
      <c r="H2702" t="s">
        <v>60</v>
      </c>
      <c r="I2702" t="s">
        <v>129</v>
      </c>
      <c r="J2702" t="s">
        <v>505</v>
      </c>
      <c r="K2702" t="s">
        <v>320</v>
      </c>
      <c r="M2702" t="s">
        <v>63</v>
      </c>
      <c r="N2702" t="s">
        <v>64</v>
      </c>
      <c r="P2702" t="s">
        <v>201</v>
      </c>
      <c r="R2702">
        <v>3.1199999999999999E-2</v>
      </c>
      <c r="T2702">
        <v>2.1899999999999999E-2</v>
      </c>
      <c r="V2702">
        <v>4.4600000000000001E-2</v>
      </c>
      <c r="W2702" t="s">
        <v>66</v>
      </c>
      <c r="X2702" t="s">
        <v>67</v>
      </c>
      <c r="Y2702" t="s">
        <v>67</v>
      </c>
      <c r="Z2702" t="s">
        <v>68</v>
      </c>
      <c r="AB2702">
        <v>4</v>
      </c>
      <c r="AC2702" t="s">
        <v>61</v>
      </c>
      <c r="AJ2702" t="s">
        <v>69</v>
      </c>
      <c r="AY2702" t="s">
        <v>2005</v>
      </c>
      <c r="AZ2702">
        <v>4468</v>
      </c>
      <c r="BA2702" t="s">
        <v>2006</v>
      </c>
      <c r="BB2702" t="s">
        <v>2007</v>
      </c>
      <c r="BC2702">
        <v>1993</v>
      </c>
      <c r="BD2702" t="s">
        <v>324</v>
      </c>
    </row>
    <row r="2703" spans="1:56" x14ac:dyDescent="0.35">
      <c r="A2703">
        <v>7440508</v>
      </c>
      <c r="B2703" t="s">
        <v>2014</v>
      </c>
      <c r="D2703" t="s">
        <v>85</v>
      </c>
      <c r="E2703" t="s">
        <v>86</v>
      </c>
      <c r="F2703" t="s">
        <v>58</v>
      </c>
      <c r="G2703" t="s">
        <v>59</v>
      </c>
      <c r="H2703" t="s">
        <v>60</v>
      </c>
      <c r="J2703">
        <v>90</v>
      </c>
      <c r="K2703" t="s">
        <v>61</v>
      </c>
      <c r="L2703" t="s">
        <v>62</v>
      </c>
      <c r="M2703" t="s">
        <v>63</v>
      </c>
      <c r="N2703" t="s">
        <v>64</v>
      </c>
      <c r="O2703">
        <v>6</v>
      </c>
      <c r="P2703" t="s">
        <v>201</v>
      </c>
      <c r="Q2703" t="s">
        <v>435</v>
      </c>
      <c r="R2703">
        <v>0.9</v>
      </c>
      <c r="W2703" t="s">
        <v>66</v>
      </c>
      <c r="X2703" t="s">
        <v>67</v>
      </c>
      <c r="Y2703" t="s">
        <v>67</v>
      </c>
      <c r="Z2703" t="s">
        <v>68</v>
      </c>
      <c r="AB2703">
        <v>4</v>
      </c>
      <c r="AC2703" t="s">
        <v>61</v>
      </c>
      <c r="AJ2703" t="s">
        <v>69</v>
      </c>
      <c r="AY2703" t="s">
        <v>2019</v>
      </c>
      <c r="AZ2703">
        <v>51911</v>
      </c>
      <c r="BA2703" t="s">
        <v>2020</v>
      </c>
      <c r="BB2703" t="s">
        <v>2021</v>
      </c>
      <c r="BC2703">
        <v>2000</v>
      </c>
      <c r="BD2703" t="s">
        <v>73</v>
      </c>
    </row>
    <row r="2704" spans="1:56" x14ac:dyDescent="0.35">
      <c r="A2704">
        <v>7440508</v>
      </c>
      <c r="B2704" t="s">
        <v>2014</v>
      </c>
      <c r="D2704" t="s">
        <v>85</v>
      </c>
      <c r="E2704" t="s">
        <v>86</v>
      </c>
      <c r="F2704" t="s">
        <v>58</v>
      </c>
      <c r="G2704" t="s">
        <v>59</v>
      </c>
      <c r="H2704" t="s">
        <v>60</v>
      </c>
      <c r="J2704" t="s">
        <v>86</v>
      </c>
      <c r="L2704" t="s">
        <v>62</v>
      </c>
      <c r="M2704" t="s">
        <v>63</v>
      </c>
      <c r="N2704" t="s">
        <v>64</v>
      </c>
      <c r="P2704" t="s">
        <v>201</v>
      </c>
      <c r="R2704">
        <v>21</v>
      </c>
      <c r="W2704" t="s">
        <v>66</v>
      </c>
      <c r="X2704" t="s">
        <v>67</v>
      </c>
      <c r="Y2704" t="s">
        <v>67</v>
      </c>
      <c r="Z2704" t="s">
        <v>68</v>
      </c>
      <c r="AB2704">
        <v>4</v>
      </c>
      <c r="AC2704" t="s">
        <v>61</v>
      </c>
      <c r="AJ2704" t="s">
        <v>69</v>
      </c>
      <c r="AY2704" t="s">
        <v>2015</v>
      </c>
      <c r="AZ2704">
        <v>8320</v>
      </c>
      <c r="BA2704" t="s">
        <v>2016</v>
      </c>
      <c r="BB2704" t="s">
        <v>2017</v>
      </c>
      <c r="BC2704">
        <v>1976</v>
      </c>
      <c r="BD2704" t="s">
        <v>90</v>
      </c>
    </row>
    <row r="2705" spans="1:56" x14ac:dyDescent="0.35">
      <c r="A2705">
        <v>7440508</v>
      </c>
      <c r="B2705" t="s">
        <v>2014</v>
      </c>
      <c r="D2705" t="s">
        <v>85</v>
      </c>
      <c r="E2705" t="s">
        <v>86</v>
      </c>
      <c r="F2705" t="s">
        <v>58</v>
      </c>
      <c r="G2705" t="s">
        <v>59</v>
      </c>
      <c r="H2705" t="s">
        <v>60</v>
      </c>
      <c r="J2705" t="s">
        <v>86</v>
      </c>
      <c r="L2705" t="s">
        <v>62</v>
      </c>
      <c r="M2705" t="s">
        <v>63</v>
      </c>
      <c r="N2705" t="s">
        <v>64</v>
      </c>
      <c r="P2705" t="s">
        <v>201</v>
      </c>
      <c r="R2705">
        <v>0.67800000000000005</v>
      </c>
      <c r="T2705">
        <v>0.60199999999999998</v>
      </c>
      <c r="V2705">
        <v>0.76400000000000001</v>
      </c>
      <c r="W2705" t="s">
        <v>66</v>
      </c>
      <c r="X2705" t="s">
        <v>67</v>
      </c>
      <c r="Y2705" t="s">
        <v>67</v>
      </c>
      <c r="Z2705" t="s">
        <v>68</v>
      </c>
      <c r="AB2705">
        <v>4</v>
      </c>
      <c r="AC2705" t="s">
        <v>61</v>
      </c>
      <c r="AJ2705" t="s">
        <v>69</v>
      </c>
      <c r="AY2705" t="s">
        <v>2026</v>
      </c>
      <c r="AZ2705">
        <v>165613</v>
      </c>
      <c r="BA2705" t="s">
        <v>2027</v>
      </c>
      <c r="BB2705" t="s">
        <v>2028</v>
      </c>
      <c r="BC2705">
        <v>1980</v>
      </c>
      <c r="BD2705" t="s">
        <v>90</v>
      </c>
    </row>
    <row r="2706" spans="1:56" x14ac:dyDescent="0.35">
      <c r="A2706">
        <v>7440508</v>
      </c>
      <c r="B2706" t="s">
        <v>2014</v>
      </c>
      <c r="D2706" t="s">
        <v>85</v>
      </c>
      <c r="E2706" t="s">
        <v>86</v>
      </c>
      <c r="F2706" t="s">
        <v>58</v>
      </c>
      <c r="G2706" t="s">
        <v>59</v>
      </c>
      <c r="H2706" t="s">
        <v>60</v>
      </c>
      <c r="J2706" t="s">
        <v>86</v>
      </c>
      <c r="L2706" t="s">
        <v>62</v>
      </c>
      <c r="M2706" t="s">
        <v>63</v>
      </c>
      <c r="N2706" t="s">
        <v>64</v>
      </c>
      <c r="P2706" t="s">
        <v>201</v>
      </c>
      <c r="R2706">
        <v>1.071</v>
      </c>
      <c r="T2706">
        <v>0.91300000000000003</v>
      </c>
      <c r="V2706">
        <v>1.256</v>
      </c>
      <c r="W2706" t="s">
        <v>66</v>
      </c>
      <c r="X2706" t="s">
        <v>67</v>
      </c>
      <c r="Y2706" t="s">
        <v>67</v>
      </c>
      <c r="Z2706" t="s">
        <v>68</v>
      </c>
      <c r="AB2706">
        <v>4</v>
      </c>
      <c r="AC2706" t="s">
        <v>61</v>
      </c>
      <c r="AJ2706" t="s">
        <v>69</v>
      </c>
      <c r="AY2706" t="s">
        <v>2026</v>
      </c>
      <c r="AZ2706">
        <v>165613</v>
      </c>
      <c r="BA2706" t="s">
        <v>2027</v>
      </c>
      <c r="BB2706" t="s">
        <v>2028</v>
      </c>
      <c r="BC2706">
        <v>1980</v>
      </c>
      <c r="BD2706" t="s">
        <v>90</v>
      </c>
    </row>
    <row r="2707" spans="1:56" x14ac:dyDescent="0.35">
      <c r="A2707">
        <v>7440508</v>
      </c>
      <c r="B2707" t="s">
        <v>2014</v>
      </c>
      <c r="D2707" t="s">
        <v>57</v>
      </c>
      <c r="E2707" t="s">
        <v>86</v>
      </c>
      <c r="F2707" t="s">
        <v>58</v>
      </c>
      <c r="G2707" t="s">
        <v>59</v>
      </c>
      <c r="H2707" t="s">
        <v>60</v>
      </c>
      <c r="I2707" t="s">
        <v>188</v>
      </c>
      <c r="J2707" t="s">
        <v>1102</v>
      </c>
      <c r="K2707" t="s">
        <v>184</v>
      </c>
      <c r="L2707" t="s">
        <v>74</v>
      </c>
      <c r="M2707" t="s">
        <v>63</v>
      </c>
      <c r="N2707" t="s">
        <v>64</v>
      </c>
      <c r="O2707">
        <v>11</v>
      </c>
      <c r="P2707" t="s">
        <v>201</v>
      </c>
      <c r="Q2707" t="s">
        <v>172</v>
      </c>
      <c r="R2707">
        <v>5.0836800000000001E-3</v>
      </c>
      <c r="W2707" t="s">
        <v>66</v>
      </c>
      <c r="X2707" t="s">
        <v>67</v>
      </c>
      <c r="Y2707" t="s">
        <v>67</v>
      </c>
      <c r="Z2707" t="s">
        <v>68</v>
      </c>
      <c r="AB2707">
        <v>4</v>
      </c>
      <c r="AC2707" t="s">
        <v>61</v>
      </c>
      <c r="AJ2707" t="s">
        <v>69</v>
      </c>
      <c r="AY2707" t="s">
        <v>2030</v>
      </c>
      <c r="AZ2707">
        <v>100936</v>
      </c>
      <c r="BA2707" t="s">
        <v>2031</v>
      </c>
      <c r="BB2707" t="s">
        <v>2032</v>
      </c>
      <c r="BC2707">
        <v>2007</v>
      </c>
      <c r="BD2707" t="s">
        <v>185</v>
      </c>
    </row>
    <row r="2708" spans="1:56" x14ac:dyDescent="0.35">
      <c r="A2708">
        <v>7440508</v>
      </c>
      <c r="B2708" t="s">
        <v>2014</v>
      </c>
      <c r="D2708" t="s">
        <v>85</v>
      </c>
      <c r="E2708" t="s">
        <v>86</v>
      </c>
      <c r="F2708" t="s">
        <v>58</v>
      </c>
      <c r="G2708" t="s">
        <v>59</v>
      </c>
      <c r="H2708" t="s">
        <v>60</v>
      </c>
      <c r="J2708" t="s">
        <v>86</v>
      </c>
      <c r="L2708" t="s">
        <v>62</v>
      </c>
      <c r="M2708" t="s">
        <v>63</v>
      </c>
      <c r="N2708" t="s">
        <v>64</v>
      </c>
      <c r="P2708" t="s">
        <v>201</v>
      </c>
      <c r="R2708">
        <v>0.14399999999999999</v>
      </c>
      <c r="T2708">
        <v>0.13300000000000001</v>
      </c>
      <c r="V2708">
        <v>0.158</v>
      </c>
      <c r="W2708" t="s">
        <v>66</v>
      </c>
      <c r="X2708" t="s">
        <v>67</v>
      </c>
      <c r="Y2708" t="s">
        <v>67</v>
      </c>
      <c r="Z2708" t="s">
        <v>68</v>
      </c>
      <c r="AB2708">
        <v>4</v>
      </c>
      <c r="AC2708" t="s">
        <v>61</v>
      </c>
      <c r="AJ2708" t="s">
        <v>69</v>
      </c>
      <c r="AY2708" t="s">
        <v>317</v>
      </c>
      <c r="AZ2708">
        <v>153255</v>
      </c>
      <c r="BA2708" t="s">
        <v>318</v>
      </c>
      <c r="BB2708" t="s">
        <v>319</v>
      </c>
      <c r="BC2708">
        <v>2008</v>
      </c>
      <c r="BD2708" t="s">
        <v>90</v>
      </c>
    </row>
    <row r="2709" spans="1:56" x14ac:dyDescent="0.35">
      <c r="A2709">
        <v>7440508</v>
      </c>
      <c r="B2709" t="s">
        <v>2014</v>
      </c>
      <c r="D2709" t="s">
        <v>57</v>
      </c>
      <c r="E2709" t="s">
        <v>86</v>
      </c>
      <c r="F2709" t="s">
        <v>58</v>
      </c>
      <c r="G2709" t="s">
        <v>59</v>
      </c>
      <c r="H2709" t="s">
        <v>60</v>
      </c>
      <c r="I2709" t="s">
        <v>188</v>
      </c>
      <c r="J2709" t="s">
        <v>1102</v>
      </c>
      <c r="K2709" t="s">
        <v>184</v>
      </c>
      <c r="L2709" t="s">
        <v>74</v>
      </c>
      <c r="M2709" t="s">
        <v>63</v>
      </c>
      <c r="N2709" t="s">
        <v>64</v>
      </c>
      <c r="O2709">
        <v>12</v>
      </c>
      <c r="P2709" t="s">
        <v>201</v>
      </c>
      <c r="S2709" t="s">
        <v>153</v>
      </c>
      <c r="T2709">
        <v>2.5418400000000001E-2</v>
      </c>
      <c r="U2709" t="s">
        <v>435</v>
      </c>
      <c r="V2709">
        <v>3.1773000000000003E-2</v>
      </c>
      <c r="W2709" t="s">
        <v>66</v>
      </c>
      <c r="X2709" t="s">
        <v>67</v>
      </c>
      <c r="Y2709" t="s">
        <v>67</v>
      </c>
      <c r="Z2709" t="s">
        <v>68</v>
      </c>
      <c r="AB2709">
        <v>4</v>
      </c>
      <c r="AC2709" t="s">
        <v>61</v>
      </c>
      <c r="AJ2709" t="s">
        <v>69</v>
      </c>
      <c r="AY2709" t="s">
        <v>2030</v>
      </c>
      <c r="AZ2709">
        <v>100936</v>
      </c>
      <c r="BA2709" t="s">
        <v>2031</v>
      </c>
      <c r="BB2709" t="s">
        <v>2032</v>
      </c>
      <c r="BC2709">
        <v>2007</v>
      </c>
      <c r="BD2709" t="s">
        <v>185</v>
      </c>
    </row>
    <row r="2710" spans="1:56" x14ac:dyDescent="0.35">
      <c r="A2710">
        <v>7440508</v>
      </c>
      <c r="B2710" t="s">
        <v>2014</v>
      </c>
      <c r="D2710" t="s">
        <v>85</v>
      </c>
      <c r="E2710" t="s">
        <v>86</v>
      </c>
      <c r="F2710" t="s">
        <v>58</v>
      </c>
      <c r="G2710" t="s">
        <v>59</v>
      </c>
      <c r="H2710" t="s">
        <v>60</v>
      </c>
      <c r="J2710" t="s">
        <v>86</v>
      </c>
      <c r="L2710" t="s">
        <v>62</v>
      </c>
      <c r="M2710" t="s">
        <v>63</v>
      </c>
      <c r="N2710" t="s">
        <v>64</v>
      </c>
      <c r="P2710" t="s">
        <v>201</v>
      </c>
      <c r="R2710">
        <v>1.71</v>
      </c>
      <c r="T2710">
        <v>1.34</v>
      </c>
      <c r="V2710">
        <v>2.17</v>
      </c>
      <c r="W2710" t="s">
        <v>66</v>
      </c>
      <c r="X2710" t="s">
        <v>67</v>
      </c>
      <c r="Y2710" t="s">
        <v>67</v>
      </c>
      <c r="Z2710" t="s">
        <v>68</v>
      </c>
      <c r="AB2710">
        <v>4</v>
      </c>
      <c r="AC2710" t="s">
        <v>61</v>
      </c>
      <c r="AJ2710" t="s">
        <v>69</v>
      </c>
      <c r="AY2710" t="s">
        <v>2026</v>
      </c>
      <c r="AZ2710">
        <v>165613</v>
      </c>
      <c r="BA2710" t="s">
        <v>2027</v>
      </c>
      <c r="BB2710" t="s">
        <v>2028</v>
      </c>
      <c r="BC2710">
        <v>1980</v>
      </c>
      <c r="BD2710" t="s">
        <v>90</v>
      </c>
    </row>
    <row r="2711" spans="1:56" x14ac:dyDescent="0.35">
      <c r="A2711">
        <v>7440622</v>
      </c>
      <c r="B2711" t="s">
        <v>2044</v>
      </c>
      <c r="D2711" t="s">
        <v>57</v>
      </c>
      <c r="E2711" t="s">
        <v>86</v>
      </c>
      <c r="F2711" t="s">
        <v>58</v>
      </c>
      <c r="G2711" t="s">
        <v>59</v>
      </c>
      <c r="H2711" t="s">
        <v>60</v>
      </c>
      <c r="J2711" t="s">
        <v>86</v>
      </c>
      <c r="L2711" t="s">
        <v>74</v>
      </c>
      <c r="M2711" t="s">
        <v>63</v>
      </c>
      <c r="N2711" t="s">
        <v>64</v>
      </c>
      <c r="P2711" t="s">
        <v>201</v>
      </c>
      <c r="R2711">
        <v>1.8</v>
      </c>
      <c r="W2711" t="s">
        <v>66</v>
      </c>
      <c r="X2711" t="s">
        <v>67</v>
      </c>
      <c r="Y2711" t="s">
        <v>67</v>
      </c>
      <c r="Z2711" t="s">
        <v>68</v>
      </c>
      <c r="AB2711">
        <v>4</v>
      </c>
      <c r="AC2711" t="s">
        <v>61</v>
      </c>
      <c r="AJ2711" t="s">
        <v>69</v>
      </c>
      <c r="AY2711" t="s">
        <v>1989</v>
      </c>
      <c r="AZ2711">
        <v>120966</v>
      </c>
      <c r="BA2711" t="s">
        <v>1990</v>
      </c>
      <c r="BB2711" t="s">
        <v>1991</v>
      </c>
      <c r="BC2711">
        <v>1978</v>
      </c>
      <c r="BD2711" t="s">
        <v>90</v>
      </c>
    </row>
    <row r="2712" spans="1:56" x14ac:dyDescent="0.35">
      <c r="A2712">
        <v>7440666</v>
      </c>
      <c r="B2712" t="s">
        <v>2045</v>
      </c>
      <c r="D2712" t="s">
        <v>57</v>
      </c>
      <c r="E2712" t="s">
        <v>86</v>
      </c>
      <c r="F2712" t="s">
        <v>58</v>
      </c>
      <c r="G2712" t="s">
        <v>59</v>
      </c>
      <c r="H2712" t="s">
        <v>60</v>
      </c>
      <c r="I2712" t="s">
        <v>188</v>
      </c>
      <c r="J2712" t="s">
        <v>289</v>
      </c>
      <c r="K2712" t="s">
        <v>184</v>
      </c>
      <c r="L2712" t="s">
        <v>62</v>
      </c>
      <c r="M2712" t="s">
        <v>63</v>
      </c>
      <c r="N2712" t="s">
        <v>64</v>
      </c>
      <c r="O2712">
        <v>6</v>
      </c>
      <c r="P2712" t="s">
        <v>1296</v>
      </c>
      <c r="R2712">
        <v>0.83686400000000005</v>
      </c>
      <c r="W2712" t="s">
        <v>66</v>
      </c>
      <c r="X2712" t="s">
        <v>67</v>
      </c>
      <c r="Y2712" t="s">
        <v>67</v>
      </c>
      <c r="Z2712" t="s">
        <v>68</v>
      </c>
      <c r="AB2712">
        <v>4</v>
      </c>
      <c r="AC2712" t="s">
        <v>61</v>
      </c>
      <c r="AJ2712" t="s">
        <v>69</v>
      </c>
      <c r="AY2712" t="s">
        <v>2046</v>
      </c>
      <c r="AZ2712">
        <v>96586</v>
      </c>
      <c r="BA2712" t="s">
        <v>2047</v>
      </c>
      <c r="BB2712" t="s">
        <v>2048</v>
      </c>
      <c r="BC2712">
        <v>2006</v>
      </c>
      <c r="BD2712" t="s">
        <v>185</v>
      </c>
    </row>
    <row r="2713" spans="1:56" x14ac:dyDescent="0.35">
      <c r="A2713">
        <v>7440666</v>
      </c>
      <c r="B2713" t="s">
        <v>2045</v>
      </c>
      <c r="D2713" t="s">
        <v>57</v>
      </c>
      <c r="E2713" t="s">
        <v>86</v>
      </c>
      <c r="F2713" t="s">
        <v>58</v>
      </c>
      <c r="G2713" t="s">
        <v>59</v>
      </c>
      <c r="H2713" t="s">
        <v>60</v>
      </c>
      <c r="I2713" t="s">
        <v>188</v>
      </c>
      <c r="J2713" t="s">
        <v>289</v>
      </c>
      <c r="K2713" t="s">
        <v>184</v>
      </c>
      <c r="L2713" t="s">
        <v>62</v>
      </c>
      <c r="M2713" t="s">
        <v>63</v>
      </c>
      <c r="N2713" t="s">
        <v>64</v>
      </c>
      <c r="O2713">
        <v>6</v>
      </c>
      <c r="P2713" t="s">
        <v>1296</v>
      </c>
      <c r="R2713">
        <v>1.117998</v>
      </c>
      <c r="W2713" t="s">
        <v>66</v>
      </c>
      <c r="X2713" t="s">
        <v>67</v>
      </c>
      <c r="Y2713" t="s">
        <v>67</v>
      </c>
      <c r="Z2713" t="s">
        <v>68</v>
      </c>
      <c r="AB2713">
        <v>4</v>
      </c>
      <c r="AC2713" t="s">
        <v>61</v>
      </c>
      <c r="AJ2713" t="s">
        <v>69</v>
      </c>
      <c r="AY2713" t="s">
        <v>2046</v>
      </c>
      <c r="AZ2713">
        <v>96586</v>
      </c>
      <c r="BA2713" t="s">
        <v>2047</v>
      </c>
      <c r="BB2713" t="s">
        <v>2048</v>
      </c>
      <c r="BC2713">
        <v>2006</v>
      </c>
      <c r="BD2713" t="s">
        <v>185</v>
      </c>
    </row>
    <row r="2714" spans="1:56" x14ac:dyDescent="0.35">
      <c r="A2714">
        <v>7440666</v>
      </c>
      <c r="B2714" t="s">
        <v>2045</v>
      </c>
      <c r="D2714" t="s">
        <v>57</v>
      </c>
      <c r="E2714" t="s">
        <v>86</v>
      </c>
      <c r="F2714" t="s">
        <v>58</v>
      </c>
      <c r="G2714" t="s">
        <v>59</v>
      </c>
      <c r="H2714" t="s">
        <v>60</v>
      </c>
      <c r="I2714" t="s">
        <v>188</v>
      </c>
      <c r="J2714" t="s">
        <v>289</v>
      </c>
      <c r="K2714" t="s">
        <v>184</v>
      </c>
      <c r="L2714" t="s">
        <v>62</v>
      </c>
      <c r="M2714" t="s">
        <v>63</v>
      </c>
      <c r="N2714" t="s">
        <v>64</v>
      </c>
      <c r="O2714">
        <v>6</v>
      </c>
      <c r="P2714" t="s">
        <v>201</v>
      </c>
      <c r="R2714">
        <v>0.87609199999999998</v>
      </c>
      <c r="W2714" t="s">
        <v>66</v>
      </c>
      <c r="X2714" t="s">
        <v>67</v>
      </c>
      <c r="Y2714" t="s">
        <v>67</v>
      </c>
      <c r="Z2714" t="s">
        <v>68</v>
      </c>
      <c r="AB2714">
        <v>4</v>
      </c>
      <c r="AC2714" t="s">
        <v>61</v>
      </c>
      <c r="AJ2714" t="s">
        <v>69</v>
      </c>
      <c r="AY2714" t="s">
        <v>2046</v>
      </c>
      <c r="AZ2714">
        <v>96586</v>
      </c>
      <c r="BA2714" t="s">
        <v>2047</v>
      </c>
      <c r="BB2714" t="s">
        <v>2048</v>
      </c>
      <c r="BC2714">
        <v>2006</v>
      </c>
      <c r="BD2714" t="s">
        <v>185</v>
      </c>
    </row>
    <row r="2715" spans="1:56" x14ac:dyDescent="0.35">
      <c r="A2715">
        <v>7440666</v>
      </c>
      <c r="B2715" t="s">
        <v>2045</v>
      </c>
      <c r="D2715" t="s">
        <v>57</v>
      </c>
      <c r="E2715" t="s">
        <v>86</v>
      </c>
      <c r="F2715" t="s">
        <v>58</v>
      </c>
      <c r="G2715" t="s">
        <v>59</v>
      </c>
      <c r="H2715" t="s">
        <v>60</v>
      </c>
      <c r="I2715" t="s">
        <v>188</v>
      </c>
      <c r="J2715" t="s">
        <v>289</v>
      </c>
      <c r="K2715" t="s">
        <v>184</v>
      </c>
      <c r="L2715" t="s">
        <v>62</v>
      </c>
      <c r="M2715" t="s">
        <v>63</v>
      </c>
      <c r="N2715" t="s">
        <v>64</v>
      </c>
      <c r="O2715">
        <v>6</v>
      </c>
      <c r="P2715" t="s">
        <v>201</v>
      </c>
      <c r="R2715">
        <v>1.248758</v>
      </c>
      <c r="W2715" t="s">
        <v>66</v>
      </c>
      <c r="X2715" t="s">
        <v>67</v>
      </c>
      <c r="Y2715" t="s">
        <v>67</v>
      </c>
      <c r="Z2715" t="s">
        <v>68</v>
      </c>
      <c r="AB2715">
        <v>4</v>
      </c>
      <c r="AC2715" t="s">
        <v>61</v>
      </c>
      <c r="AJ2715" t="s">
        <v>69</v>
      </c>
      <c r="AY2715" t="s">
        <v>2046</v>
      </c>
      <c r="AZ2715">
        <v>96586</v>
      </c>
      <c r="BA2715" t="s">
        <v>2047</v>
      </c>
      <c r="BB2715" t="s">
        <v>2048</v>
      </c>
      <c r="BC2715">
        <v>2006</v>
      </c>
      <c r="BD2715" t="s">
        <v>185</v>
      </c>
    </row>
    <row r="2716" spans="1:56" x14ac:dyDescent="0.35">
      <c r="A2716">
        <v>7440666</v>
      </c>
      <c r="B2716" t="s">
        <v>2045</v>
      </c>
      <c r="D2716" t="s">
        <v>57</v>
      </c>
      <c r="E2716" t="s">
        <v>86</v>
      </c>
      <c r="F2716" t="s">
        <v>58</v>
      </c>
      <c r="G2716" t="s">
        <v>59</v>
      </c>
      <c r="H2716" t="s">
        <v>60</v>
      </c>
      <c r="I2716" t="s">
        <v>188</v>
      </c>
      <c r="J2716" t="s">
        <v>289</v>
      </c>
      <c r="K2716" t="s">
        <v>184</v>
      </c>
      <c r="L2716" t="s">
        <v>62</v>
      </c>
      <c r="M2716" t="s">
        <v>63</v>
      </c>
      <c r="N2716" t="s">
        <v>64</v>
      </c>
      <c r="O2716">
        <v>6</v>
      </c>
      <c r="P2716" t="s">
        <v>1296</v>
      </c>
      <c r="R2716">
        <v>1.1768400000000001</v>
      </c>
      <c r="W2716" t="s">
        <v>66</v>
      </c>
      <c r="X2716" t="s">
        <v>67</v>
      </c>
      <c r="Y2716" t="s">
        <v>67</v>
      </c>
      <c r="Z2716" t="s">
        <v>68</v>
      </c>
      <c r="AB2716">
        <v>4</v>
      </c>
      <c r="AC2716" t="s">
        <v>61</v>
      </c>
      <c r="AJ2716" t="s">
        <v>69</v>
      </c>
      <c r="AY2716" t="s">
        <v>2046</v>
      </c>
      <c r="AZ2716">
        <v>96586</v>
      </c>
      <c r="BA2716" t="s">
        <v>2047</v>
      </c>
      <c r="BB2716" t="s">
        <v>2048</v>
      </c>
      <c r="BC2716">
        <v>2006</v>
      </c>
      <c r="BD2716" t="s">
        <v>185</v>
      </c>
    </row>
    <row r="2717" spans="1:56" x14ac:dyDescent="0.35">
      <c r="A2717">
        <v>7440666</v>
      </c>
      <c r="B2717" t="s">
        <v>2045</v>
      </c>
      <c r="D2717" t="s">
        <v>57</v>
      </c>
      <c r="E2717" t="s">
        <v>86</v>
      </c>
      <c r="F2717" t="s">
        <v>58</v>
      </c>
      <c r="G2717" t="s">
        <v>59</v>
      </c>
      <c r="H2717" t="s">
        <v>60</v>
      </c>
      <c r="I2717" t="s">
        <v>188</v>
      </c>
      <c r="J2717" t="s">
        <v>86</v>
      </c>
      <c r="L2717" t="s">
        <v>190</v>
      </c>
      <c r="M2717" t="s">
        <v>63</v>
      </c>
      <c r="N2717" t="s">
        <v>64</v>
      </c>
      <c r="O2717">
        <v>6</v>
      </c>
      <c r="P2717" t="s">
        <v>201</v>
      </c>
      <c r="R2717">
        <v>0.24299999999999999</v>
      </c>
      <c r="T2717">
        <v>0.216</v>
      </c>
      <c r="V2717">
        <v>0.27200000000000002</v>
      </c>
      <c r="W2717" t="s">
        <v>66</v>
      </c>
      <c r="X2717" t="s">
        <v>67</v>
      </c>
      <c r="Y2717" t="s">
        <v>67</v>
      </c>
      <c r="Z2717" t="s">
        <v>68</v>
      </c>
      <c r="AB2717">
        <v>4</v>
      </c>
      <c r="AC2717" t="s">
        <v>61</v>
      </c>
      <c r="AJ2717" t="s">
        <v>69</v>
      </c>
      <c r="AY2717" t="s">
        <v>2049</v>
      </c>
      <c r="AZ2717">
        <v>152293</v>
      </c>
      <c r="BA2717" t="s">
        <v>2050</v>
      </c>
      <c r="BB2717" t="s">
        <v>2051</v>
      </c>
      <c r="BC2717">
        <v>1983</v>
      </c>
      <c r="BD2717" t="s">
        <v>90</v>
      </c>
    </row>
    <row r="2718" spans="1:56" x14ac:dyDescent="0.35">
      <c r="A2718">
        <v>7440666</v>
      </c>
      <c r="B2718" t="s">
        <v>2045</v>
      </c>
      <c r="D2718" t="s">
        <v>57</v>
      </c>
      <c r="E2718" t="s">
        <v>86</v>
      </c>
      <c r="F2718" t="s">
        <v>58</v>
      </c>
      <c r="G2718" t="s">
        <v>59</v>
      </c>
      <c r="H2718" t="s">
        <v>60</v>
      </c>
      <c r="I2718" t="s">
        <v>188</v>
      </c>
      <c r="J2718" t="s">
        <v>289</v>
      </c>
      <c r="K2718" t="s">
        <v>184</v>
      </c>
      <c r="L2718" t="s">
        <v>62</v>
      </c>
      <c r="M2718" t="s">
        <v>63</v>
      </c>
      <c r="N2718" t="s">
        <v>64</v>
      </c>
      <c r="O2718">
        <v>6</v>
      </c>
      <c r="P2718" t="s">
        <v>1296</v>
      </c>
      <c r="R2718">
        <v>1.0853079999999999</v>
      </c>
      <c r="W2718" t="s">
        <v>66</v>
      </c>
      <c r="X2718" t="s">
        <v>67</v>
      </c>
      <c r="Y2718" t="s">
        <v>67</v>
      </c>
      <c r="Z2718" t="s">
        <v>68</v>
      </c>
      <c r="AB2718">
        <v>4</v>
      </c>
      <c r="AC2718" t="s">
        <v>61</v>
      </c>
      <c r="AJ2718" t="s">
        <v>69</v>
      </c>
      <c r="AY2718" t="s">
        <v>2046</v>
      </c>
      <c r="AZ2718">
        <v>96586</v>
      </c>
      <c r="BA2718" t="s">
        <v>2047</v>
      </c>
      <c r="BB2718" t="s">
        <v>2048</v>
      </c>
      <c r="BC2718">
        <v>2006</v>
      </c>
      <c r="BD2718" t="s">
        <v>185</v>
      </c>
    </row>
    <row r="2719" spans="1:56" x14ac:dyDescent="0.35">
      <c r="A2719">
        <v>7440666</v>
      </c>
      <c r="B2719" t="s">
        <v>2045</v>
      </c>
      <c r="D2719" t="s">
        <v>57</v>
      </c>
      <c r="E2719" t="s">
        <v>86</v>
      </c>
      <c r="F2719" t="s">
        <v>58</v>
      </c>
      <c r="G2719" t="s">
        <v>59</v>
      </c>
      <c r="H2719" t="s">
        <v>60</v>
      </c>
      <c r="I2719" t="s">
        <v>188</v>
      </c>
      <c r="J2719" t="s">
        <v>289</v>
      </c>
      <c r="K2719" t="s">
        <v>184</v>
      </c>
      <c r="L2719" t="s">
        <v>62</v>
      </c>
      <c r="M2719" t="s">
        <v>63</v>
      </c>
      <c r="N2719" t="s">
        <v>64</v>
      </c>
      <c r="O2719">
        <v>6</v>
      </c>
      <c r="P2719" t="s">
        <v>201</v>
      </c>
      <c r="R2719">
        <v>1.1114599999999999</v>
      </c>
      <c r="W2719" t="s">
        <v>66</v>
      </c>
      <c r="X2719" t="s">
        <v>67</v>
      </c>
      <c r="Y2719" t="s">
        <v>67</v>
      </c>
      <c r="Z2719" t="s">
        <v>68</v>
      </c>
      <c r="AB2719">
        <v>4</v>
      </c>
      <c r="AC2719" t="s">
        <v>61</v>
      </c>
      <c r="AJ2719" t="s">
        <v>69</v>
      </c>
      <c r="AY2719" t="s">
        <v>2046</v>
      </c>
      <c r="AZ2719">
        <v>96586</v>
      </c>
      <c r="BA2719" t="s">
        <v>2047</v>
      </c>
      <c r="BB2719" t="s">
        <v>2048</v>
      </c>
      <c r="BC2719">
        <v>2006</v>
      </c>
      <c r="BD2719" t="s">
        <v>185</v>
      </c>
    </row>
    <row r="2720" spans="1:56" x14ac:dyDescent="0.35">
      <c r="A2720">
        <v>7440666</v>
      </c>
      <c r="B2720" t="s">
        <v>2045</v>
      </c>
      <c r="D2720" t="s">
        <v>85</v>
      </c>
      <c r="E2720" t="s">
        <v>86</v>
      </c>
      <c r="F2720" t="s">
        <v>58</v>
      </c>
      <c r="G2720" t="s">
        <v>59</v>
      </c>
      <c r="H2720" t="s">
        <v>60</v>
      </c>
      <c r="I2720" t="s">
        <v>397</v>
      </c>
      <c r="J2720" t="s">
        <v>86</v>
      </c>
      <c r="K2720" t="s">
        <v>196</v>
      </c>
      <c r="L2720" t="s">
        <v>74</v>
      </c>
      <c r="M2720" t="s">
        <v>63</v>
      </c>
      <c r="N2720" t="s">
        <v>64</v>
      </c>
      <c r="P2720" t="s">
        <v>201</v>
      </c>
      <c r="R2720">
        <v>2.54</v>
      </c>
      <c r="T2720">
        <v>2.16</v>
      </c>
      <c r="V2720">
        <v>3.05</v>
      </c>
      <c r="W2720" t="s">
        <v>66</v>
      </c>
      <c r="X2720" t="s">
        <v>67</v>
      </c>
      <c r="Y2720" t="s">
        <v>67</v>
      </c>
      <c r="Z2720" t="s">
        <v>68</v>
      </c>
      <c r="AB2720">
        <v>4</v>
      </c>
      <c r="AC2720" t="s">
        <v>61</v>
      </c>
      <c r="AJ2720" t="s">
        <v>69</v>
      </c>
      <c r="AY2720" t="s">
        <v>2052</v>
      </c>
      <c r="AZ2720">
        <v>678</v>
      </c>
      <c r="BA2720" t="s">
        <v>2053</v>
      </c>
      <c r="BB2720" t="s">
        <v>2054</v>
      </c>
      <c r="BC2720">
        <v>1989</v>
      </c>
      <c r="BD2720" t="s">
        <v>2055</v>
      </c>
    </row>
    <row r="2721" spans="1:56" x14ac:dyDescent="0.35">
      <c r="A2721">
        <v>7440666</v>
      </c>
      <c r="B2721" t="s">
        <v>2045</v>
      </c>
      <c r="D2721" t="s">
        <v>57</v>
      </c>
      <c r="E2721" t="s">
        <v>86</v>
      </c>
      <c r="F2721" t="s">
        <v>58</v>
      </c>
      <c r="G2721" t="s">
        <v>59</v>
      </c>
      <c r="H2721" t="s">
        <v>60</v>
      </c>
      <c r="J2721" t="s">
        <v>86</v>
      </c>
      <c r="M2721" t="s">
        <v>63</v>
      </c>
      <c r="N2721" t="s">
        <v>64</v>
      </c>
      <c r="O2721">
        <v>6</v>
      </c>
      <c r="P2721" t="s">
        <v>201</v>
      </c>
      <c r="R2721">
        <v>8.6999999999999993</v>
      </c>
      <c r="W2721" t="s">
        <v>66</v>
      </c>
      <c r="X2721" t="s">
        <v>67</v>
      </c>
      <c r="Y2721" t="s">
        <v>67</v>
      </c>
      <c r="Z2721" t="s">
        <v>68</v>
      </c>
      <c r="AB2721">
        <v>4</v>
      </c>
      <c r="AC2721" t="s">
        <v>61</v>
      </c>
      <c r="AJ2721" t="s">
        <v>69</v>
      </c>
      <c r="AY2721" t="s">
        <v>138</v>
      </c>
      <c r="AZ2721">
        <v>120926</v>
      </c>
      <c r="BA2721" t="s">
        <v>139</v>
      </c>
      <c r="BB2721" t="s">
        <v>140</v>
      </c>
      <c r="BC2721">
        <v>1980</v>
      </c>
      <c r="BD2721" t="s">
        <v>90</v>
      </c>
    </row>
    <row r="2722" spans="1:56" x14ac:dyDescent="0.35">
      <c r="A2722">
        <v>7440666</v>
      </c>
      <c r="B2722" t="s">
        <v>2045</v>
      </c>
      <c r="D2722" t="s">
        <v>57</v>
      </c>
      <c r="E2722" t="s">
        <v>86</v>
      </c>
      <c r="F2722" t="s">
        <v>58</v>
      </c>
      <c r="G2722" t="s">
        <v>59</v>
      </c>
      <c r="H2722" t="s">
        <v>60</v>
      </c>
      <c r="I2722" t="s">
        <v>188</v>
      </c>
      <c r="J2722" t="s">
        <v>289</v>
      </c>
      <c r="K2722" t="s">
        <v>184</v>
      </c>
      <c r="L2722" t="s">
        <v>62</v>
      </c>
      <c r="M2722" t="s">
        <v>63</v>
      </c>
      <c r="N2722" t="s">
        <v>64</v>
      </c>
      <c r="O2722">
        <v>6</v>
      </c>
      <c r="P2722" t="s">
        <v>201</v>
      </c>
      <c r="R2722">
        <v>1.1376120000000001</v>
      </c>
      <c r="W2722" t="s">
        <v>66</v>
      </c>
      <c r="X2722" t="s">
        <v>67</v>
      </c>
      <c r="Y2722" t="s">
        <v>67</v>
      </c>
      <c r="Z2722" t="s">
        <v>68</v>
      </c>
      <c r="AB2722">
        <v>4</v>
      </c>
      <c r="AC2722" t="s">
        <v>61</v>
      </c>
      <c r="AJ2722" t="s">
        <v>69</v>
      </c>
      <c r="AY2722" t="s">
        <v>2046</v>
      </c>
      <c r="AZ2722">
        <v>96586</v>
      </c>
      <c r="BA2722" t="s">
        <v>2047</v>
      </c>
      <c r="BB2722" t="s">
        <v>2048</v>
      </c>
      <c r="BC2722">
        <v>2006</v>
      </c>
      <c r="BD2722" t="s">
        <v>185</v>
      </c>
    </row>
    <row r="2723" spans="1:56" x14ac:dyDescent="0.35">
      <c r="A2723">
        <v>7440666</v>
      </c>
      <c r="B2723" t="s">
        <v>2045</v>
      </c>
      <c r="D2723" t="s">
        <v>57</v>
      </c>
      <c r="E2723" t="s">
        <v>86</v>
      </c>
      <c r="F2723" t="s">
        <v>58</v>
      </c>
      <c r="G2723" t="s">
        <v>59</v>
      </c>
      <c r="H2723" t="s">
        <v>60</v>
      </c>
      <c r="I2723" t="s">
        <v>188</v>
      </c>
      <c r="J2723" t="s">
        <v>86</v>
      </c>
      <c r="L2723" t="s">
        <v>190</v>
      </c>
      <c r="M2723" t="s">
        <v>63</v>
      </c>
      <c r="N2723" t="s">
        <v>64</v>
      </c>
      <c r="P2723" t="s">
        <v>1296</v>
      </c>
      <c r="R2723">
        <v>1.857</v>
      </c>
      <c r="T2723">
        <v>1.091</v>
      </c>
      <c r="V2723">
        <v>3.1579999999999999</v>
      </c>
      <c r="W2723" t="s">
        <v>66</v>
      </c>
      <c r="X2723" t="s">
        <v>67</v>
      </c>
      <c r="Y2723" t="s">
        <v>67</v>
      </c>
      <c r="Z2723" t="s">
        <v>68</v>
      </c>
      <c r="AB2723">
        <v>4</v>
      </c>
      <c r="AC2723" t="s">
        <v>61</v>
      </c>
      <c r="AJ2723" t="s">
        <v>69</v>
      </c>
      <c r="AQ2723" t="s">
        <v>69</v>
      </c>
      <c r="AY2723" t="s">
        <v>2056</v>
      </c>
      <c r="AZ2723">
        <v>3318</v>
      </c>
      <c r="BA2723" t="s">
        <v>2057</v>
      </c>
      <c r="BB2723" t="s">
        <v>2058</v>
      </c>
      <c r="BC2723">
        <v>1985</v>
      </c>
      <c r="BD2723" t="s">
        <v>2059</v>
      </c>
    </row>
    <row r="2724" spans="1:56" x14ac:dyDescent="0.35">
      <c r="A2724">
        <v>7440666</v>
      </c>
      <c r="B2724" t="s">
        <v>2045</v>
      </c>
      <c r="D2724" t="s">
        <v>57</v>
      </c>
      <c r="E2724" t="s">
        <v>86</v>
      </c>
      <c r="F2724" t="s">
        <v>58</v>
      </c>
      <c r="G2724" t="s">
        <v>59</v>
      </c>
      <c r="H2724" t="s">
        <v>60</v>
      </c>
      <c r="I2724" t="s">
        <v>2060</v>
      </c>
      <c r="J2724" t="s">
        <v>289</v>
      </c>
      <c r="K2724" t="s">
        <v>184</v>
      </c>
      <c r="L2724" t="s">
        <v>190</v>
      </c>
      <c r="M2724" t="s">
        <v>63</v>
      </c>
      <c r="N2724" t="s">
        <v>64</v>
      </c>
      <c r="P2724" t="s">
        <v>201</v>
      </c>
      <c r="R2724">
        <v>0.23799999999999999</v>
      </c>
      <c r="T2724">
        <v>0.21099999999999999</v>
      </c>
      <c r="V2724">
        <v>0.26900000000000002</v>
      </c>
      <c r="W2724" t="s">
        <v>66</v>
      </c>
      <c r="X2724" t="s">
        <v>67</v>
      </c>
      <c r="Y2724" t="s">
        <v>67</v>
      </c>
      <c r="Z2724" t="s">
        <v>68</v>
      </c>
      <c r="AB2724">
        <v>4</v>
      </c>
      <c r="AC2724" t="s">
        <v>61</v>
      </c>
      <c r="AJ2724" t="s">
        <v>69</v>
      </c>
      <c r="AY2724" t="s">
        <v>2061</v>
      </c>
      <c r="AZ2724">
        <v>11182</v>
      </c>
      <c r="BA2724" t="s">
        <v>2062</v>
      </c>
      <c r="BB2724" t="s">
        <v>2063</v>
      </c>
      <c r="BC2724">
        <v>1985</v>
      </c>
      <c r="BD2724" t="s">
        <v>185</v>
      </c>
    </row>
    <row r="2725" spans="1:56" x14ac:dyDescent="0.35">
      <c r="A2725">
        <v>7440666</v>
      </c>
      <c r="B2725" t="s">
        <v>2045</v>
      </c>
      <c r="D2725" t="s">
        <v>57</v>
      </c>
      <c r="E2725" t="s">
        <v>86</v>
      </c>
      <c r="F2725" t="s">
        <v>58</v>
      </c>
      <c r="G2725" t="s">
        <v>59</v>
      </c>
      <c r="H2725" t="s">
        <v>60</v>
      </c>
      <c r="I2725" t="s">
        <v>188</v>
      </c>
      <c r="J2725" t="s">
        <v>86</v>
      </c>
      <c r="L2725" t="s">
        <v>62</v>
      </c>
      <c r="M2725" t="s">
        <v>63</v>
      </c>
      <c r="N2725" t="s">
        <v>64</v>
      </c>
      <c r="P2725" t="s">
        <v>1296</v>
      </c>
      <c r="Q2725" t="s">
        <v>435</v>
      </c>
      <c r="R2725">
        <v>1.96</v>
      </c>
      <c r="W2725" t="s">
        <v>66</v>
      </c>
      <c r="X2725" t="s">
        <v>67</v>
      </c>
      <c r="Y2725" t="s">
        <v>67</v>
      </c>
      <c r="Z2725" t="s">
        <v>68</v>
      </c>
      <c r="AB2725">
        <v>4</v>
      </c>
      <c r="AC2725" t="s">
        <v>61</v>
      </c>
      <c r="AJ2725" t="s">
        <v>69</v>
      </c>
      <c r="AQ2725" t="s">
        <v>69</v>
      </c>
      <c r="AY2725" t="s">
        <v>2056</v>
      </c>
      <c r="AZ2725">
        <v>3318</v>
      </c>
      <c r="BA2725" t="s">
        <v>2057</v>
      </c>
      <c r="BB2725" t="s">
        <v>2058</v>
      </c>
      <c r="BC2725">
        <v>1985</v>
      </c>
      <c r="BD2725" t="s">
        <v>2064</v>
      </c>
    </row>
    <row r="2726" spans="1:56" x14ac:dyDescent="0.35">
      <c r="A2726">
        <v>7440666</v>
      </c>
      <c r="B2726" t="s">
        <v>2045</v>
      </c>
      <c r="D2726" t="s">
        <v>57</v>
      </c>
      <c r="E2726" t="s">
        <v>86</v>
      </c>
      <c r="F2726" t="s">
        <v>58</v>
      </c>
      <c r="G2726" t="s">
        <v>59</v>
      </c>
      <c r="H2726" t="s">
        <v>60</v>
      </c>
      <c r="I2726" t="s">
        <v>188</v>
      </c>
      <c r="J2726" t="s">
        <v>289</v>
      </c>
      <c r="K2726" t="s">
        <v>184</v>
      </c>
      <c r="L2726" t="s">
        <v>62</v>
      </c>
      <c r="M2726" t="s">
        <v>63</v>
      </c>
      <c r="N2726" t="s">
        <v>64</v>
      </c>
      <c r="O2726">
        <v>6</v>
      </c>
      <c r="P2726" t="s">
        <v>201</v>
      </c>
      <c r="R2726">
        <v>1.34029</v>
      </c>
      <c r="W2726" t="s">
        <v>66</v>
      </c>
      <c r="X2726" t="s">
        <v>67</v>
      </c>
      <c r="Y2726" t="s">
        <v>67</v>
      </c>
      <c r="Z2726" t="s">
        <v>68</v>
      </c>
      <c r="AB2726">
        <v>4</v>
      </c>
      <c r="AC2726" t="s">
        <v>61</v>
      </c>
      <c r="AJ2726" t="s">
        <v>69</v>
      </c>
      <c r="AY2726" t="s">
        <v>2046</v>
      </c>
      <c r="AZ2726">
        <v>96586</v>
      </c>
      <c r="BA2726" t="s">
        <v>2047</v>
      </c>
      <c r="BB2726" t="s">
        <v>2048</v>
      </c>
      <c r="BC2726">
        <v>2006</v>
      </c>
      <c r="BD2726" t="s">
        <v>185</v>
      </c>
    </row>
    <row r="2727" spans="1:56" x14ac:dyDescent="0.35">
      <c r="A2727">
        <v>7440666</v>
      </c>
      <c r="B2727" t="s">
        <v>2045</v>
      </c>
      <c r="D2727" t="s">
        <v>57</v>
      </c>
      <c r="E2727" t="s">
        <v>86</v>
      </c>
      <c r="F2727" t="s">
        <v>58</v>
      </c>
      <c r="G2727" t="s">
        <v>59</v>
      </c>
      <c r="H2727" t="s">
        <v>60</v>
      </c>
      <c r="I2727" t="s">
        <v>188</v>
      </c>
      <c r="J2727" t="s">
        <v>289</v>
      </c>
      <c r="K2727" t="s">
        <v>184</v>
      </c>
      <c r="L2727" t="s">
        <v>62</v>
      </c>
      <c r="M2727" t="s">
        <v>63</v>
      </c>
      <c r="N2727" t="s">
        <v>64</v>
      </c>
      <c r="O2727">
        <v>6</v>
      </c>
      <c r="P2727" t="s">
        <v>1296</v>
      </c>
      <c r="R2727">
        <v>1.27491</v>
      </c>
      <c r="W2727" t="s">
        <v>66</v>
      </c>
      <c r="X2727" t="s">
        <v>67</v>
      </c>
      <c r="Y2727" t="s">
        <v>67</v>
      </c>
      <c r="Z2727" t="s">
        <v>68</v>
      </c>
      <c r="AB2727">
        <v>4</v>
      </c>
      <c r="AC2727" t="s">
        <v>61</v>
      </c>
      <c r="AJ2727" t="s">
        <v>69</v>
      </c>
      <c r="AY2727" t="s">
        <v>2046</v>
      </c>
      <c r="AZ2727">
        <v>96586</v>
      </c>
      <c r="BA2727" t="s">
        <v>2047</v>
      </c>
      <c r="BB2727" t="s">
        <v>2048</v>
      </c>
      <c r="BC2727">
        <v>2006</v>
      </c>
      <c r="BD2727" t="s">
        <v>185</v>
      </c>
    </row>
    <row r="2728" spans="1:56" x14ac:dyDescent="0.35">
      <c r="A2728">
        <v>7440666</v>
      </c>
      <c r="B2728" t="s">
        <v>2045</v>
      </c>
      <c r="D2728" t="s">
        <v>57</v>
      </c>
      <c r="E2728" t="s">
        <v>86</v>
      </c>
      <c r="F2728" t="s">
        <v>58</v>
      </c>
      <c r="G2728" t="s">
        <v>59</v>
      </c>
      <c r="H2728" t="s">
        <v>60</v>
      </c>
      <c r="I2728" t="s">
        <v>188</v>
      </c>
      <c r="J2728" t="s">
        <v>289</v>
      </c>
      <c r="K2728" t="s">
        <v>184</v>
      </c>
      <c r="L2728" t="s">
        <v>62</v>
      </c>
      <c r="M2728" t="s">
        <v>63</v>
      </c>
      <c r="N2728" t="s">
        <v>64</v>
      </c>
      <c r="O2728">
        <v>6</v>
      </c>
      <c r="P2728" t="s">
        <v>201</v>
      </c>
      <c r="R2728">
        <v>1.333752</v>
      </c>
      <c r="W2728" t="s">
        <v>66</v>
      </c>
      <c r="X2728" t="s">
        <v>67</v>
      </c>
      <c r="Y2728" t="s">
        <v>67</v>
      </c>
      <c r="Z2728" t="s">
        <v>68</v>
      </c>
      <c r="AB2728">
        <v>4</v>
      </c>
      <c r="AC2728" t="s">
        <v>61</v>
      </c>
      <c r="AJ2728" t="s">
        <v>69</v>
      </c>
      <c r="AY2728" t="s">
        <v>2046</v>
      </c>
      <c r="AZ2728">
        <v>96586</v>
      </c>
      <c r="BA2728" t="s">
        <v>2047</v>
      </c>
      <c r="BB2728" t="s">
        <v>2048</v>
      </c>
      <c r="BC2728">
        <v>2006</v>
      </c>
      <c r="BD2728" t="s">
        <v>185</v>
      </c>
    </row>
    <row r="2729" spans="1:56" x14ac:dyDescent="0.35">
      <c r="A2729">
        <v>7440666</v>
      </c>
      <c r="B2729" t="s">
        <v>2045</v>
      </c>
      <c r="D2729" t="s">
        <v>57</v>
      </c>
      <c r="E2729" t="s">
        <v>86</v>
      </c>
      <c r="F2729" t="s">
        <v>58</v>
      </c>
      <c r="G2729" t="s">
        <v>59</v>
      </c>
      <c r="H2729" t="s">
        <v>60</v>
      </c>
      <c r="I2729" t="s">
        <v>188</v>
      </c>
      <c r="J2729" t="s">
        <v>289</v>
      </c>
      <c r="K2729" t="s">
        <v>184</v>
      </c>
      <c r="L2729" t="s">
        <v>62</v>
      </c>
      <c r="M2729" t="s">
        <v>63</v>
      </c>
      <c r="N2729" t="s">
        <v>64</v>
      </c>
      <c r="O2729">
        <v>6</v>
      </c>
      <c r="P2729" t="s">
        <v>201</v>
      </c>
      <c r="R2729">
        <v>0.48381200000000002</v>
      </c>
      <c r="W2729" t="s">
        <v>66</v>
      </c>
      <c r="X2729" t="s">
        <v>67</v>
      </c>
      <c r="Y2729" t="s">
        <v>67</v>
      </c>
      <c r="Z2729" t="s">
        <v>68</v>
      </c>
      <c r="AB2729">
        <v>4</v>
      </c>
      <c r="AC2729" t="s">
        <v>61</v>
      </c>
      <c r="AJ2729" t="s">
        <v>69</v>
      </c>
      <c r="AY2729" t="s">
        <v>2046</v>
      </c>
      <c r="AZ2729">
        <v>96586</v>
      </c>
      <c r="BA2729" t="s">
        <v>2047</v>
      </c>
      <c r="BB2729" t="s">
        <v>2048</v>
      </c>
      <c r="BC2729">
        <v>2006</v>
      </c>
      <c r="BD2729" t="s">
        <v>185</v>
      </c>
    </row>
    <row r="2730" spans="1:56" x14ac:dyDescent="0.35">
      <c r="A2730">
        <v>7440666</v>
      </c>
      <c r="B2730" t="s">
        <v>2045</v>
      </c>
      <c r="D2730" t="s">
        <v>57</v>
      </c>
      <c r="E2730" t="s">
        <v>86</v>
      </c>
      <c r="F2730" t="s">
        <v>58</v>
      </c>
      <c r="G2730" t="s">
        <v>59</v>
      </c>
      <c r="H2730" t="s">
        <v>60</v>
      </c>
      <c r="I2730" t="s">
        <v>188</v>
      </c>
      <c r="J2730" t="s">
        <v>289</v>
      </c>
      <c r="K2730" t="s">
        <v>184</v>
      </c>
      <c r="L2730" t="s">
        <v>62</v>
      </c>
      <c r="M2730" t="s">
        <v>63</v>
      </c>
      <c r="N2730" t="s">
        <v>64</v>
      </c>
      <c r="O2730">
        <v>6</v>
      </c>
      <c r="P2730" t="s">
        <v>1296</v>
      </c>
      <c r="R2730">
        <v>1.2618339999999999</v>
      </c>
      <c r="W2730" t="s">
        <v>66</v>
      </c>
      <c r="X2730" t="s">
        <v>67</v>
      </c>
      <c r="Y2730" t="s">
        <v>67</v>
      </c>
      <c r="Z2730" t="s">
        <v>68</v>
      </c>
      <c r="AB2730">
        <v>4</v>
      </c>
      <c r="AC2730" t="s">
        <v>61</v>
      </c>
      <c r="AJ2730" t="s">
        <v>69</v>
      </c>
      <c r="AY2730" t="s">
        <v>2046</v>
      </c>
      <c r="AZ2730">
        <v>96586</v>
      </c>
      <c r="BA2730" t="s">
        <v>2047</v>
      </c>
      <c r="BB2730" t="s">
        <v>2048</v>
      </c>
      <c r="BC2730">
        <v>2006</v>
      </c>
      <c r="BD2730" t="s">
        <v>185</v>
      </c>
    </row>
    <row r="2731" spans="1:56" x14ac:dyDescent="0.35">
      <c r="A2731">
        <v>7440666</v>
      </c>
      <c r="B2731" t="s">
        <v>2045</v>
      </c>
      <c r="D2731" t="s">
        <v>57</v>
      </c>
      <c r="E2731" t="s">
        <v>86</v>
      </c>
      <c r="F2731" t="s">
        <v>58</v>
      </c>
      <c r="G2731" t="s">
        <v>59</v>
      </c>
      <c r="H2731" t="s">
        <v>60</v>
      </c>
      <c r="I2731" t="s">
        <v>188</v>
      </c>
      <c r="J2731" t="s">
        <v>289</v>
      </c>
      <c r="K2731" t="s">
        <v>184</v>
      </c>
      <c r="L2731" t="s">
        <v>62</v>
      </c>
      <c r="M2731" t="s">
        <v>63</v>
      </c>
      <c r="N2731" t="s">
        <v>64</v>
      </c>
      <c r="O2731">
        <v>6</v>
      </c>
      <c r="P2731" t="s">
        <v>1296</v>
      </c>
      <c r="R2731">
        <v>0.45112200000000002</v>
      </c>
      <c r="W2731" t="s">
        <v>66</v>
      </c>
      <c r="X2731" t="s">
        <v>67</v>
      </c>
      <c r="Y2731" t="s">
        <v>67</v>
      </c>
      <c r="Z2731" t="s">
        <v>68</v>
      </c>
      <c r="AB2731">
        <v>4</v>
      </c>
      <c r="AC2731" t="s">
        <v>61</v>
      </c>
      <c r="AJ2731" t="s">
        <v>69</v>
      </c>
      <c r="AY2731" t="s">
        <v>2046</v>
      </c>
      <c r="AZ2731">
        <v>96586</v>
      </c>
      <c r="BA2731" t="s">
        <v>2047</v>
      </c>
      <c r="BB2731" t="s">
        <v>2048</v>
      </c>
      <c r="BC2731">
        <v>2006</v>
      </c>
      <c r="BD2731" t="s">
        <v>185</v>
      </c>
    </row>
    <row r="2732" spans="1:56" x14ac:dyDescent="0.35">
      <c r="A2732">
        <v>7440666</v>
      </c>
      <c r="B2732" t="s">
        <v>2045</v>
      </c>
      <c r="D2732" t="s">
        <v>57</v>
      </c>
      <c r="E2732" t="s">
        <v>86</v>
      </c>
      <c r="F2732" t="s">
        <v>58</v>
      </c>
      <c r="G2732" t="s">
        <v>59</v>
      </c>
      <c r="H2732" t="s">
        <v>60</v>
      </c>
      <c r="I2732" t="s">
        <v>188</v>
      </c>
      <c r="J2732" t="s">
        <v>289</v>
      </c>
      <c r="K2732" t="s">
        <v>184</v>
      </c>
      <c r="L2732" t="s">
        <v>62</v>
      </c>
      <c r="M2732" t="s">
        <v>63</v>
      </c>
      <c r="N2732" t="s">
        <v>64</v>
      </c>
      <c r="O2732">
        <v>6</v>
      </c>
      <c r="P2732" t="s">
        <v>1296</v>
      </c>
      <c r="R2732">
        <v>0.84994000000000003</v>
      </c>
      <c r="W2732" t="s">
        <v>66</v>
      </c>
      <c r="X2732" t="s">
        <v>67</v>
      </c>
      <c r="Y2732" t="s">
        <v>67</v>
      </c>
      <c r="Z2732" t="s">
        <v>68</v>
      </c>
      <c r="AB2732">
        <v>4</v>
      </c>
      <c r="AC2732" t="s">
        <v>61</v>
      </c>
      <c r="AJ2732" t="s">
        <v>69</v>
      </c>
      <c r="AY2732" t="s">
        <v>2046</v>
      </c>
      <c r="AZ2732">
        <v>96586</v>
      </c>
      <c r="BA2732" t="s">
        <v>2047</v>
      </c>
      <c r="BB2732" t="s">
        <v>2048</v>
      </c>
      <c r="BC2732">
        <v>2006</v>
      </c>
      <c r="BD2732" t="s">
        <v>185</v>
      </c>
    </row>
    <row r="2733" spans="1:56" x14ac:dyDescent="0.35">
      <c r="A2733">
        <v>7440666</v>
      </c>
      <c r="B2733" t="s">
        <v>2045</v>
      </c>
      <c r="D2733" t="s">
        <v>57</v>
      </c>
      <c r="E2733" t="s">
        <v>86</v>
      </c>
      <c r="F2733" t="s">
        <v>58</v>
      </c>
      <c r="G2733" t="s">
        <v>59</v>
      </c>
      <c r="H2733" t="s">
        <v>60</v>
      </c>
      <c r="I2733" t="s">
        <v>188</v>
      </c>
      <c r="J2733" t="s">
        <v>289</v>
      </c>
      <c r="K2733" t="s">
        <v>184</v>
      </c>
      <c r="L2733" t="s">
        <v>62</v>
      </c>
      <c r="M2733" t="s">
        <v>63</v>
      </c>
      <c r="N2733" t="s">
        <v>64</v>
      </c>
      <c r="O2733">
        <v>6</v>
      </c>
      <c r="P2733" t="s">
        <v>201</v>
      </c>
      <c r="R2733">
        <v>0.95454799999999995</v>
      </c>
      <c r="W2733" t="s">
        <v>66</v>
      </c>
      <c r="X2733" t="s">
        <v>67</v>
      </c>
      <c r="Y2733" t="s">
        <v>67</v>
      </c>
      <c r="Z2733" t="s">
        <v>68</v>
      </c>
      <c r="AB2733">
        <v>4</v>
      </c>
      <c r="AC2733" t="s">
        <v>61</v>
      </c>
      <c r="AJ2733" t="s">
        <v>69</v>
      </c>
      <c r="AY2733" t="s">
        <v>2046</v>
      </c>
      <c r="AZ2733">
        <v>96586</v>
      </c>
      <c r="BA2733" t="s">
        <v>2047</v>
      </c>
      <c r="BB2733" t="s">
        <v>2048</v>
      </c>
      <c r="BC2733">
        <v>2006</v>
      </c>
      <c r="BD2733" t="s">
        <v>185</v>
      </c>
    </row>
    <row r="2734" spans="1:56" x14ac:dyDescent="0.35">
      <c r="A2734">
        <v>7440666</v>
      </c>
      <c r="B2734" t="s">
        <v>2045</v>
      </c>
      <c r="D2734" t="s">
        <v>57</v>
      </c>
      <c r="E2734" t="s">
        <v>86</v>
      </c>
      <c r="F2734" t="s">
        <v>58</v>
      </c>
      <c r="G2734" t="s">
        <v>59</v>
      </c>
      <c r="H2734" t="s">
        <v>60</v>
      </c>
      <c r="I2734" t="s">
        <v>188</v>
      </c>
      <c r="J2734" t="s">
        <v>289</v>
      </c>
      <c r="K2734" t="s">
        <v>184</v>
      </c>
      <c r="L2734" t="s">
        <v>62</v>
      </c>
      <c r="M2734" t="s">
        <v>63</v>
      </c>
      <c r="N2734" t="s">
        <v>64</v>
      </c>
      <c r="O2734">
        <v>6</v>
      </c>
      <c r="P2734" t="s">
        <v>1296</v>
      </c>
      <c r="R2734">
        <v>0.928396</v>
      </c>
      <c r="W2734" t="s">
        <v>66</v>
      </c>
      <c r="X2734" t="s">
        <v>67</v>
      </c>
      <c r="Y2734" t="s">
        <v>67</v>
      </c>
      <c r="Z2734" t="s">
        <v>68</v>
      </c>
      <c r="AB2734">
        <v>4</v>
      </c>
      <c r="AC2734" t="s">
        <v>61</v>
      </c>
      <c r="AJ2734" t="s">
        <v>69</v>
      </c>
      <c r="AY2734" t="s">
        <v>2046</v>
      </c>
      <c r="AZ2734">
        <v>96586</v>
      </c>
      <c r="BA2734" t="s">
        <v>2047</v>
      </c>
      <c r="BB2734" t="s">
        <v>2048</v>
      </c>
      <c r="BC2734">
        <v>2006</v>
      </c>
      <c r="BD2734" t="s">
        <v>185</v>
      </c>
    </row>
    <row r="2735" spans="1:56" x14ac:dyDescent="0.35">
      <c r="A2735">
        <v>7440666</v>
      </c>
      <c r="B2735" t="s">
        <v>2045</v>
      </c>
      <c r="D2735" t="s">
        <v>57</v>
      </c>
      <c r="E2735" t="s">
        <v>86</v>
      </c>
      <c r="F2735" t="s">
        <v>58</v>
      </c>
      <c r="G2735" t="s">
        <v>59</v>
      </c>
      <c r="H2735" t="s">
        <v>60</v>
      </c>
      <c r="I2735" t="s">
        <v>188</v>
      </c>
      <c r="J2735" t="s">
        <v>289</v>
      </c>
      <c r="K2735" t="s">
        <v>184</v>
      </c>
      <c r="L2735" t="s">
        <v>62</v>
      </c>
      <c r="M2735" t="s">
        <v>63</v>
      </c>
      <c r="N2735" t="s">
        <v>64</v>
      </c>
      <c r="O2735">
        <v>6</v>
      </c>
      <c r="P2735" t="s">
        <v>201</v>
      </c>
      <c r="R2735">
        <v>0.98723799999999995</v>
      </c>
      <c r="W2735" t="s">
        <v>66</v>
      </c>
      <c r="X2735" t="s">
        <v>67</v>
      </c>
      <c r="Y2735" t="s">
        <v>67</v>
      </c>
      <c r="Z2735" t="s">
        <v>68</v>
      </c>
      <c r="AB2735">
        <v>4</v>
      </c>
      <c r="AC2735" t="s">
        <v>61</v>
      </c>
      <c r="AJ2735" t="s">
        <v>69</v>
      </c>
      <c r="AY2735" t="s">
        <v>2046</v>
      </c>
      <c r="AZ2735">
        <v>96586</v>
      </c>
      <c r="BA2735" t="s">
        <v>2047</v>
      </c>
      <c r="BB2735" t="s">
        <v>2048</v>
      </c>
      <c r="BC2735">
        <v>2006</v>
      </c>
      <c r="BD2735" t="s">
        <v>185</v>
      </c>
    </row>
    <row r="2736" spans="1:56" x14ac:dyDescent="0.35">
      <c r="A2736">
        <v>7440666</v>
      </c>
      <c r="B2736" t="s">
        <v>2045</v>
      </c>
      <c r="D2736" t="s">
        <v>57</v>
      </c>
      <c r="E2736" t="s">
        <v>86</v>
      </c>
      <c r="F2736" t="s">
        <v>58</v>
      </c>
      <c r="G2736" t="s">
        <v>59</v>
      </c>
      <c r="H2736" t="s">
        <v>60</v>
      </c>
      <c r="I2736" t="s">
        <v>188</v>
      </c>
      <c r="J2736" t="s">
        <v>289</v>
      </c>
      <c r="K2736" t="s">
        <v>184</v>
      </c>
      <c r="L2736" t="s">
        <v>62</v>
      </c>
      <c r="M2736" t="s">
        <v>63</v>
      </c>
      <c r="N2736" t="s">
        <v>64</v>
      </c>
      <c r="O2736">
        <v>6</v>
      </c>
      <c r="P2736" t="s">
        <v>201</v>
      </c>
      <c r="R2736">
        <v>0.74533199999999999</v>
      </c>
      <c r="W2736" t="s">
        <v>66</v>
      </c>
      <c r="X2736" t="s">
        <v>67</v>
      </c>
      <c r="Y2736" t="s">
        <v>67</v>
      </c>
      <c r="Z2736" t="s">
        <v>68</v>
      </c>
      <c r="AB2736">
        <v>4</v>
      </c>
      <c r="AC2736" t="s">
        <v>61</v>
      </c>
      <c r="AJ2736" t="s">
        <v>69</v>
      </c>
      <c r="AY2736" t="s">
        <v>2046</v>
      </c>
      <c r="AZ2736">
        <v>96586</v>
      </c>
      <c r="BA2736" t="s">
        <v>2047</v>
      </c>
      <c r="BB2736" t="s">
        <v>2048</v>
      </c>
      <c r="BC2736">
        <v>2006</v>
      </c>
      <c r="BD2736" t="s">
        <v>185</v>
      </c>
    </row>
    <row r="2737" spans="1:56" x14ac:dyDescent="0.35">
      <c r="A2737">
        <v>7440666</v>
      </c>
      <c r="B2737" t="s">
        <v>2045</v>
      </c>
      <c r="D2737" t="s">
        <v>57</v>
      </c>
      <c r="E2737" t="s">
        <v>86</v>
      </c>
      <c r="F2737" t="s">
        <v>58</v>
      </c>
      <c r="G2737" t="s">
        <v>59</v>
      </c>
      <c r="H2737" t="s">
        <v>60</v>
      </c>
      <c r="I2737" t="s">
        <v>188</v>
      </c>
      <c r="J2737" t="s">
        <v>289</v>
      </c>
      <c r="K2737" t="s">
        <v>184</v>
      </c>
      <c r="L2737" t="s">
        <v>62</v>
      </c>
      <c r="M2737" t="s">
        <v>63</v>
      </c>
      <c r="N2737" t="s">
        <v>64</v>
      </c>
      <c r="O2737">
        <v>6</v>
      </c>
      <c r="P2737" t="s">
        <v>1296</v>
      </c>
      <c r="R2737">
        <v>0.679952</v>
      </c>
      <c r="W2737" t="s">
        <v>66</v>
      </c>
      <c r="X2737" t="s">
        <v>67</v>
      </c>
      <c r="Y2737" t="s">
        <v>67</v>
      </c>
      <c r="Z2737" t="s">
        <v>68</v>
      </c>
      <c r="AB2737">
        <v>4</v>
      </c>
      <c r="AC2737" t="s">
        <v>61</v>
      </c>
      <c r="AJ2737" t="s">
        <v>69</v>
      </c>
      <c r="AY2737" t="s">
        <v>2046</v>
      </c>
      <c r="AZ2737">
        <v>96586</v>
      </c>
      <c r="BA2737" t="s">
        <v>2047</v>
      </c>
      <c r="BB2737" t="s">
        <v>2048</v>
      </c>
      <c r="BC2737">
        <v>2006</v>
      </c>
      <c r="BD2737" t="s">
        <v>185</v>
      </c>
    </row>
    <row r="2738" spans="1:56" x14ac:dyDescent="0.35">
      <c r="A2738">
        <v>7446084</v>
      </c>
      <c r="B2738" t="s">
        <v>2065</v>
      </c>
      <c r="D2738" t="s">
        <v>85</v>
      </c>
      <c r="E2738" t="s">
        <v>86</v>
      </c>
      <c r="F2738" t="s">
        <v>58</v>
      </c>
      <c r="G2738" t="s">
        <v>59</v>
      </c>
      <c r="H2738" t="s">
        <v>60</v>
      </c>
      <c r="J2738" t="s">
        <v>86</v>
      </c>
      <c r="K2738" t="s">
        <v>506</v>
      </c>
      <c r="L2738" t="s">
        <v>476</v>
      </c>
      <c r="M2738" t="s">
        <v>63</v>
      </c>
      <c r="N2738" t="s">
        <v>64</v>
      </c>
      <c r="O2738">
        <v>3</v>
      </c>
      <c r="P2738" t="s">
        <v>201</v>
      </c>
      <c r="R2738">
        <v>0.03</v>
      </c>
      <c r="W2738" t="s">
        <v>66</v>
      </c>
      <c r="X2738" t="s">
        <v>67</v>
      </c>
      <c r="Y2738" t="s">
        <v>67</v>
      </c>
      <c r="Z2738" t="s">
        <v>68</v>
      </c>
      <c r="AB2738">
        <v>4</v>
      </c>
      <c r="AC2738" t="s">
        <v>61</v>
      </c>
      <c r="AJ2738" t="s">
        <v>69</v>
      </c>
      <c r="AY2738" t="s">
        <v>2066</v>
      </c>
      <c r="AZ2738">
        <v>167639</v>
      </c>
      <c r="BA2738" t="s">
        <v>2067</v>
      </c>
      <c r="BB2738" t="s">
        <v>2068</v>
      </c>
      <c r="BC2738">
        <v>1976</v>
      </c>
      <c r="BD2738" t="s">
        <v>2069</v>
      </c>
    </row>
    <row r="2739" spans="1:56" x14ac:dyDescent="0.35">
      <c r="A2739">
        <v>7446084</v>
      </c>
      <c r="B2739" t="s">
        <v>2065</v>
      </c>
      <c r="D2739" t="s">
        <v>57</v>
      </c>
      <c r="E2739">
        <v>99.5</v>
      </c>
      <c r="F2739" t="s">
        <v>58</v>
      </c>
      <c r="G2739" t="s">
        <v>59</v>
      </c>
      <c r="H2739" t="s">
        <v>60</v>
      </c>
      <c r="I2739" t="s">
        <v>129</v>
      </c>
      <c r="J2739">
        <v>3</v>
      </c>
      <c r="K2739" t="s">
        <v>320</v>
      </c>
      <c r="L2739" t="s">
        <v>74</v>
      </c>
      <c r="M2739" t="s">
        <v>63</v>
      </c>
      <c r="N2739" t="s">
        <v>64</v>
      </c>
      <c r="P2739" t="s">
        <v>201</v>
      </c>
      <c r="R2739">
        <v>7.3</v>
      </c>
      <c r="T2739">
        <v>5.7</v>
      </c>
      <c r="V2739">
        <v>9.1999999999999993</v>
      </c>
      <c r="W2739" t="s">
        <v>66</v>
      </c>
      <c r="X2739" t="s">
        <v>67</v>
      </c>
      <c r="Y2739" t="s">
        <v>67</v>
      </c>
      <c r="Z2739" t="s">
        <v>68</v>
      </c>
      <c r="AB2739">
        <v>4</v>
      </c>
      <c r="AC2739" t="s">
        <v>61</v>
      </c>
      <c r="AJ2739" t="s">
        <v>69</v>
      </c>
      <c r="AY2739" t="s">
        <v>376</v>
      </c>
      <c r="AZ2739">
        <v>2149</v>
      </c>
      <c r="BA2739" t="s">
        <v>2070</v>
      </c>
      <c r="BB2739" t="s">
        <v>2071</v>
      </c>
      <c r="BC2739">
        <v>1976</v>
      </c>
      <c r="BD2739" t="s">
        <v>324</v>
      </c>
    </row>
    <row r="2740" spans="1:56" x14ac:dyDescent="0.35">
      <c r="A2740">
        <v>7446084</v>
      </c>
      <c r="B2740" t="s">
        <v>2065</v>
      </c>
      <c r="D2740" t="s">
        <v>57</v>
      </c>
      <c r="E2740">
        <v>99.5</v>
      </c>
      <c r="F2740" t="s">
        <v>58</v>
      </c>
      <c r="G2740" t="s">
        <v>59</v>
      </c>
      <c r="H2740" t="s">
        <v>60</v>
      </c>
      <c r="I2740" t="s">
        <v>177</v>
      </c>
      <c r="J2740">
        <v>1</v>
      </c>
      <c r="K2740" t="s">
        <v>61</v>
      </c>
      <c r="L2740" t="s">
        <v>74</v>
      </c>
      <c r="M2740" t="s">
        <v>63</v>
      </c>
      <c r="N2740" t="s">
        <v>64</v>
      </c>
      <c r="P2740" t="s">
        <v>201</v>
      </c>
      <c r="R2740">
        <v>2.9</v>
      </c>
      <c r="W2740" t="s">
        <v>66</v>
      </c>
      <c r="X2740" t="s">
        <v>67</v>
      </c>
      <c r="Y2740" t="s">
        <v>67</v>
      </c>
      <c r="Z2740" t="s">
        <v>68</v>
      </c>
      <c r="AB2740">
        <v>4</v>
      </c>
      <c r="AC2740" t="s">
        <v>61</v>
      </c>
      <c r="AJ2740" t="s">
        <v>69</v>
      </c>
      <c r="AY2740" t="s">
        <v>376</v>
      </c>
      <c r="AZ2740">
        <v>2149</v>
      </c>
      <c r="BA2740" t="s">
        <v>2070</v>
      </c>
      <c r="BB2740" t="s">
        <v>2071</v>
      </c>
      <c r="BC2740">
        <v>1976</v>
      </c>
      <c r="BD2740" t="s">
        <v>73</v>
      </c>
    </row>
    <row r="2741" spans="1:56" x14ac:dyDescent="0.35">
      <c r="A2741">
        <v>7446142</v>
      </c>
      <c r="B2741" t="s">
        <v>2072</v>
      </c>
      <c r="D2741" t="s">
        <v>85</v>
      </c>
      <c r="E2741" t="s">
        <v>86</v>
      </c>
      <c r="F2741" t="s">
        <v>58</v>
      </c>
      <c r="G2741" t="s">
        <v>59</v>
      </c>
      <c r="H2741" t="s">
        <v>60</v>
      </c>
      <c r="I2741" t="s">
        <v>1469</v>
      </c>
      <c r="J2741" t="s">
        <v>289</v>
      </c>
      <c r="K2741" t="s">
        <v>184</v>
      </c>
      <c r="L2741" t="s">
        <v>62</v>
      </c>
      <c r="M2741" t="s">
        <v>63</v>
      </c>
      <c r="N2741" t="s">
        <v>64</v>
      </c>
      <c r="P2741" t="s">
        <v>201</v>
      </c>
      <c r="R2741">
        <v>3431</v>
      </c>
      <c r="W2741" t="s">
        <v>66</v>
      </c>
      <c r="X2741" t="s">
        <v>67</v>
      </c>
      <c r="Y2741" t="s">
        <v>67</v>
      </c>
      <c r="Z2741" t="s">
        <v>68</v>
      </c>
      <c r="AB2741">
        <v>4</v>
      </c>
      <c r="AC2741" t="s">
        <v>61</v>
      </c>
      <c r="AJ2741" t="s">
        <v>69</v>
      </c>
      <c r="AY2741" t="s">
        <v>1474</v>
      </c>
      <c r="AZ2741">
        <v>9180</v>
      </c>
      <c r="BA2741" t="s">
        <v>1475</v>
      </c>
      <c r="BB2741" t="s">
        <v>1476</v>
      </c>
      <c r="BC2741">
        <v>1992</v>
      </c>
      <c r="BD2741" t="s">
        <v>185</v>
      </c>
    </row>
    <row r="2742" spans="1:56" x14ac:dyDescent="0.35">
      <c r="A2742">
        <v>7446142</v>
      </c>
      <c r="B2742" t="s">
        <v>2072</v>
      </c>
      <c r="D2742" t="s">
        <v>57</v>
      </c>
      <c r="E2742" t="s">
        <v>86</v>
      </c>
      <c r="F2742" t="s">
        <v>58</v>
      </c>
      <c r="G2742" t="s">
        <v>59</v>
      </c>
      <c r="H2742" t="s">
        <v>60</v>
      </c>
      <c r="I2742" t="s">
        <v>1469</v>
      </c>
      <c r="J2742" t="s">
        <v>289</v>
      </c>
      <c r="K2742" t="s">
        <v>184</v>
      </c>
      <c r="L2742" t="s">
        <v>62</v>
      </c>
      <c r="M2742" t="s">
        <v>63</v>
      </c>
      <c r="N2742" t="s">
        <v>64</v>
      </c>
      <c r="P2742" t="s">
        <v>1296</v>
      </c>
      <c r="R2742">
        <v>148</v>
      </c>
      <c r="W2742" t="s">
        <v>66</v>
      </c>
      <c r="X2742" t="s">
        <v>67</v>
      </c>
      <c r="Y2742" t="s">
        <v>67</v>
      </c>
      <c r="Z2742" t="s">
        <v>68</v>
      </c>
      <c r="AB2742">
        <v>4</v>
      </c>
      <c r="AC2742" t="s">
        <v>61</v>
      </c>
      <c r="AJ2742" t="s">
        <v>69</v>
      </c>
      <c r="AY2742" t="s">
        <v>1474</v>
      </c>
      <c r="AZ2742">
        <v>9180</v>
      </c>
      <c r="BA2742" t="s">
        <v>1475</v>
      </c>
      <c r="BB2742" t="s">
        <v>1476</v>
      </c>
      <c r="BC2742">
        <v>1992</v>
      </c>
      <c r="BD2742" t="s">
        <v>185</v>
      </c>
    </row>
    <row r="2743" spans="1:56" x14ac:dyDescent="0.35">
      <c r="A2743">
        <v>7446142</v>
      </c>
      <c r="B2743" t="s">
        <v>2072</v>
      </c>
      <c r="D2743" t="s">
        <v>57</v>
      </c>
      <c r="E2743" t="s">
        <v>86</v>
      </c>
      <c r="F2743" t="s">
        <v>58</v>
      </c>
      <c r="G2743" t="s">
        <v>59</v>
      </c>
      <c r="H2743" t="s">
        <v>60</v>
      </c>
      <c r="I2743" t="s">
        <v>1469</v>
      </c>
      <c r="J2743" t="s">
        <v>289</v>
      </c>
      <c r="K2743" t="s">
        <v>184</v>
      </c>
      <c r="L2743" t="s">
        <v>62</v>
      </c>
      <c r="M2743" t="s">
        <v>63</v>
      </c>
      <c r="N2743" t="s">
        <v>64</v>
      </c>
      <c r="P2743" t="s">
        <v>201</v>
      </c>
      <c r="R2743">
        <v>3221</v>
      </c>
      <c r="W2743" t="s">
        <v>66</v>
      </c>
      <c r="X2743" t="s">
        <v>67</v>
      </c>
      <c r="Y2743" t="s">
        <v>67</v>
      </c>
      <c r="Z2743" t="s">
        <v>68</v>
      </c>
      <c r="AB2743">
        <v>4</v>
      </c>
      <c r="AC2743" t="s">
        <v>61</v>
      </c>
      <c r="AJ2743" t="s">
        <v>69</v>
      </c>
      <c r="AY2743" t="s">
        <v>1474</v>
      </c>
      <c r="AZ2743">
        <v>9180</v>
      </c>
      <c r="BA2743" t="s">
        <v>1475</v>
      </c>
      <c r="BB2743" t="s">
        <v>1476</v>
      </c>
      <c r="BC2743">
        <v>1992</v>
      </c>
      <c r="BD2743" t="s">
        <v>185</v>
      </c>
    </row>
    <row r="2744" spans="1:56" x14ac:dyDescent="0.35">
      <c r="A2744">
        <v>7446142</v>
      </c>
      <c r="B2744" t="s">
        <v>2072</v>
      </c>
      <c r="C2744" t="s">
        <v>195</v>
      </c>
      <c r="D2744" t="s">
        <v>57</v>
      </c>
      <c r="E2744" t="s">
        <v>86</v>
      </c>
      <c r="F2744" t="s">
        <v>58</v>
      </c>
      <c r="G2744" t="s">
        <v>59</v>
      </c>
      <c r="H2744" t="s">
        <v>60</v>
      </c>
      <c r="I2744" t="s">
        <v>1469</v>
      </c>
      <c r="J2744" t="s">
        <v>289</v>
      </c>
      <c r="K2744" t="s">
        <v>184</v>
      </c>
      <c r="L2744" t="s">
        <v>62</v>
      </c>
      <c r="M2744" t="s">
        <v>63</v>
      </c>
      <c r="N2744" t="s">
        <v>64</v>
      </c>
      <c r="O2744" t="s">
        <v>1470</v>
      </c>
      <c r="P2744" t="s">
        <v>1296</v>
      </c>
      <c r="R2744">
        <v>148</v>
      </c>
      <c r="W2744" t="s">
        <v>66</v>
      </c>
      <c r="X2744" t="s">
        <v>67</v>
      </c>
      <c r="Y2744" t="s">
        <v>67</v>
      </c>
      <c r="Z2744" t="s">
        <v>68</v>
      </c>
      <c r="AB2744">
        <v>4</v>
      </c>
      <c r="AC2744" t="s">
        <v>61</v>
      </c>
      <c r="AJ2744" t="s">
        <v>69</v>
      </c>
      <c r="AY2744" t="s">
        <v>1471</v>
      </c>
      <c r="AZ2744">
        <v>76100</v>
      </c>
      <c r="BA2744" t="s">
        <v>1472</v>
      </c>
      <c r="BB2744" t="s">
        <v>1473</v>
      </c>
      <c r="BC2744">
        <v>1998</v>
      </c>
      <c r="BD2744" t="s">
        <v>185</v>
      </c>
    </row>
    <row r="2745" spans="1:56" x14ac:dyDescent="0.35">
      <c r="A2745">
        <v>7446142</v>
      </c>
      <c r="B2745" t="s">
        <v>2072</v>
      </c>
      <c r="C2745" t="s">
        <v>195</v>
      </c>
      <c r="D2745" t="s">
        <v>57</v>
      </c>
      <c r="E2745" t="s">
        <v>86</v>
      </c>
      <c r="F2745" t="s">
        <v>58</v>
      </c>
      <c r="G2745" t="s">
        <v>59</v>
      </c>
      <c r="H2745" t="s">
        <v>60</v>
      </c>
      <c r="I2745" t="s">
        <v>1469</v>
      </c>
      <c r="J2745" t="s">
        <v>289</v>
      </c>
      <c r="K2745" t="s">
        <v>184</v>
      </c>
      <c r="L2745" t="s">
        <v>62</v>
      </c>
      <c r="M2745" t="s">
        <v>63</v>
      </c>
      <c r="N2745" t="s">
        <v>64</v>
      </c>
      <c r="O2745" t="s">
        <v>1470</v>
      </c>
      <c r="P2745" t="s">
        <v>201</v>
      </c>
      <c r="R2745">
        <v>3221</v>
      </c>
      <c r="W2745" t="s">
        <v>66</v>
      </c>
      <c r="X2745" t="s">
        <v>67</v>
      </c>
      <c r="Y2745" t="s">
        <v>67</v>
      </c>
      <c r="Z2745" t="s">
        <v>68</v>
      </c>
      <c r="AB2745">
        <v>4</v>
      </c>
      <c r="AC2745" t="s">
        <v>61</v>
      </c>
      <c r="AJ2745" t="s">
        <v>69</v>
      </c>
      <c r="AY2745" t="s">
        <v>1471</v>
      </c>
      <c r="AZ2745">
        <v>76100</v>
      </c>
      <c r="BA2745" t="s">
        <v>1472</v>
      </c>
      <c r="BB2745" t="s">
        <v>1473</v>
      </c>
      <c r="BC2745">
        <v>1998</v>
      </c>
      <c r="BD2745" t="s">
        <v>185</v>
      </c>
    </row>
    <row r="2746" spans="1:56" x14ac:dyDescent="0.35">
      <c r="A2746">
        <v>7446142</v>
      </c>
      <c r="B2746" t="s">
        <v>2072</v>
      </c>
      <c r="D2746" t="s">
        <v>57</v>
      </c>
      <c r="E2746" t="s">
        <v>86</v>
      </c>
      <c r="F2746" t="s">
        <v>58</v>
      </c>
      <c r="G2746" t="s">
        <v>59</v>
      </c>
      <c r="H2746" t="s">
        <v>60</v>
      </c>
      <c r="I2746" t="s">
        <v>1469</v>
      </c>
      <c r="J2746" t="s">
        <v>289</v>
      </c>
      <c r="K2746" t="s">
        <v>184</v>
      </c>
      <c r="L2746" t="s">
        <v>62</v>
      </c>
      <c r="M2746" t="s">
        <v>63</v>
      </c>
      <c r="N2746" t="s">
        <v>64</v>
      </c>
      <c r="P2746" t="s">
        <v>1296</v>
      </c>
      <c r="R2746">
        <v>60.8</v>
      </c>
      <c r="W2746" t="s">
        <v>66</v>
      </c>
      <c r="X2746" t="s">
        <v>67</v>
      </c>
      <c r="Y2746" t="s">
        <v>67</v>
      </c>
      <c r="Z2746" t="s">
        <v>68</v>
      </c>
      <c r="AB2746">
        <v>4</v>
      </c>
      <c r="AC2746" t="s">
        <v>61</v>
      </c>
      <c r="AJ2746" t="s">
        <v>69</v>
      </c>
      <c r="AY2746" t="s">
        <v>1474</v>
      </c>
      <c r="AZ2746">
        <v>9180</v>
      </c>
      <c r="BA2746" t="s">
        <v>1475</v>
      </c>
      <c r="BB2746" t="s">
        <v>1476</v>
      </c>
      <c r="BC2746">
        <v>1992</v>
      </c>
      <c r="BD2746" t="s">
        <v>185</v>
      </c>
    </row>
    <row r="2747" spans="1:56" x14ac:dyDescent="0.35">
      <c r="A2747">
        <v>7446142</v>
      </c>
      <c r="B2747" t="s">
        <v>2072</v>
      </c>
      <c r="D2747" t="s">
        <v>57</v>
      </c>
      <c r="E2747" t="s">
        <v>86</v>
      </c>
      <c r="F2747" t="s">
        <v>58</v>
      </c>
      <c r="G2747" t="s">
        <v>59</v>
      </c>
      <c r="H2747" t="s">
        <v>60</v>
      </c>
      <c r="I2747" t="s">
        <v>1469</v>
      </c>
      <c r="J2747" t="s">
        <v>289</v>
      </c>
      <c r="K2747" t="s">
        <v>184</v>
      </c>
      <c r="L2747" t="s">
        <v>62</v>
      </c>
      <c r="M2747" t="s">
        <v>63</v>
      </c>
      <c r="N2747" t="s">
        <v>64</v>
      </c>
      <c r="P2747" t="s">
        <v>201</v>
      </c>
      <c r="R2747">
        <v>6.24</v>
      </c>
      <c r="W2747" t="s">
        <v>66</v>
      </c>
      <c r="X2747" t="s">
        <v>67</v>
      </c>
      <c r="Y2747" t="s">
        <v>67</v>
      </c>
      <c r="Z2747" t="s">
        <v>68</v>
      </c>
      <c r="AB2747">
        <v>4</v>
      </c>
      <c r="AC2747" t="s">
        <v>61</v>
      </c>
      <c r="AJ2747" t="s">
        <v>69</v>
      </c>
      <c r="AY2747" t="s">
        <v>1474</v>
      </c>
      <c r="AZ2747">
        <v>9180</v>
      </c>
      <c r="BA2747" t="s">
        <v>1475</v>
      </c>
      <c r="BB2747" t="s">
        <v>1476</v>
      </c>
      <c r="BC2747">
        <v>1992</v>
      </c>
      <c r="BD2747" t="s">
        <v>185</v>
      </c>
    </row>
    <row r="2748" spans="1:56" x14ac:dyDescent="0.35">
      <c r="A2748">
        <v>7446186</v>
      </c>
      <c r="B2748" t="s">
        <v>2073</v>
      </c>
      <c r="C2748" t="s">
        <v>195</v>
      </c>
      <c r="D2748" t="s">
        <v>85</v>
      </c>
      <c r="E2748" t="s">
        <v>86</v>
      </c>
      <c r="F2748" t="s">
        <v>58</v>
      </c>
      <c r="G2748" t="s">
        <v>59</v>
      </c>
      <c r="H2748" t="s">
        <v>60</v>
      </c>
      <c r="I2748" t="s">
        <v>129</v>
      </c>
      <c r="J2748">
        <v>8</v>
      </c>
      <c r="K2748" t="s">
        <v>196</v>
      </c>
      <c r="L2748" t="s">
        <v>74</v>
      </c>
      <c r="M2748" t="s">
        <v>63</v>
      </c>
      <c r="N2748" t="s">
        <v>64</v>
      </c>
      <c r="P2748" t="s">
        <v>201</v>
      </c>
      <c r="R2748">
        <v>1.78</v>
      </c>
      <c r="W2748" t="s">
        <v>66</v>
      </c>
      <c r="X2748" t="s">
        <v>67</v>
      </c>
      <c r="Y2748" t="s">
        <v>67</v>
      </c>
      <c r="Z2748" t="s">
        <v>68</v>
      </c>
      <c r="AB2748">
        <v>4</v>
      </c>
      <c r="AC2748" t="s">
        <v>61</v>
      </c>
      <c r="AJ2748" t="s">
        <v>69</v>
      </c>
      <c r="AY2748" t="s">
        <v>197</v>
      </c>
      <c r="AZ2748">
        <v>3783</v>
      </c>
      <c r="BA2748" t="s">
        <v>198</v>
      </c>
      <c r="BB2748" t="s">
        <v>199</v>
      </c>
      <c r="BC2748">
        <v>1978</v>
      </c>
      <c r="BD2748" t="s">
        <v>200</v>
      </c>
    </row>
    <row r="2749" spans="1:56" x14ac:dyDescent="0.35">
      <c r="A2749">
        <v>7446186</v>
      </c>
      <c r="B2749" t="s">
        <v>2073</v>
      </c>
      <c r="D2749" t="s">
        <v>57</v>
      </c>
      <c r="E2749" t="s">
        <v>86</v>
      </c>
      <c r="F2749" t="s">
        <v>58</v>
      </c>
      <c r="G2749" t="s">
        <v>59</v>
      </c>
      <c r="H2749" t="s">
        <v>60</v>
      </c>
      <c r="J2749" t="s">
        <v>86</v>
      </c>
      <c r="L2749" t="s">
        <v>74</v>
      </c>
      <c r="M2749" t="s">
        <v>63</v>
      </c>
      <c r="N2749" t="s">
        <v>64</v>
      </c>
      <c r="P2749" t="s">
        <v>201</v>
      </c>
      <c r="R2749">
        <v>0.86</v>
      </c>
      <c r="W2749" t="s">
        <v>66</v>
      </c>
      <c r="X2749" t="s">
        <v>67</v>
      </c>
      <c r="Y2749" t="s">
        <v>67</v>
      </c>
      <c r="Z2749" t="s">
        <v>68</v>
      </c>
      <c r="AB2749">
        <v>4</v>
      </c>
      <c r="AC2749" t="s">
        <v>61</v>
      </c>
      <c r="AJ2749" t="s">
        <v>69</v>
      </c>
      <c r="AY2749" t="s">
        <v>2074</v>
      </c>
      <c r="AZ2749">
        <v>10427</v>
      </c>
      <c r="BA2749" t="s">
        <v>2075</v>
      </c>
      <c r="BB2749" t="s">
        <v>2076</v>
      </c>
      <c r="BC2749">
        <v>1984</v>
      </c>
      <c r="BD2749" t="s">
        <v>90</v>
      </c>
    </row>
    <row r="2750" spans="1:56" x14ac:dyDescent="0.35">
      <c r="A2750">
        <v>7446186</v>
      </c>
      <c r="B2750" t="s">
        <v>2073</v>
      </c>
      <c r="C2750" t="s">
        <v>195</v>
      </c>
      <c r="D2750" t="s">
        <v>85</v>
      </c>
      <c r="E2750" t="s">
        <v>86</v>
      </c>
      <c r="F2750" t="s">
        <v>58</v>
      </c>
      <c r="G2750" t="s">
        <v>59</v>
      </c>
      <c r="H2750" t="s">
        <v>60</v>
      </c>
      <c r="I2750" t="s">
        <v>129</v>
      </c>
      <c r="J2750">
        <v>8</v>
      </c>
      <c r="K2750" t="s">
        <v>196</v>
      </c>
      <c r="L2750" t="s">
        <v>74</v>
      </c>
      <c r="M2750" t="s">
        <v>63</v>
      </c>
      <c r="N2750" t="s">
        <v>64</v>
      </c>
      <c r="P2750" t="s">
        <v>201</v>
      </c>
      <c r="R2750">
        <v>1.81</v>
      </c>
      <c r="W2750" t="s">
        <v>66</v>
      </c>
      <c r="X2750" t="s">
        <v>67</v>
      </c>
      <c r="Y2750" t="s">
        <v>67</v>
      </c>
      <c r="Z2750" t="s">
        <v>68</v>
      </c>
      <c r="AB2750">
        <v>4</v>
      </c>
      <c r="AC2750" t="s">
        <v>61</v>
      </c>
      <c r="AJ2750" t="s">
        <v>69</v>
      </c>
      <c r="AY2750" t="s">
        <v>197</v>
      </c>
      <c r="AZ2750">
        <v>3783</v>
      </c>
      <c r="BA2750" t="s">
        <v>198</v>
      </c>
      <c r="BB2750" t="s">
        <v>199</v>
      </c>
      <c r="BC2750">
        <v>1978</v>
      </c>
      <c r="BD2750" t="s">
        <v>200</v>
      </c>
    </row>
    <row r="2751" spans="1:56" x14ac:dyDescent="0.35">
      <c r="A2751">
        <v>7447394</v>
      </c>
      <c r="B2751" t="s">
        <v>2077</v>
      </c>
      <c r="D2751" t="s">
        <v>57</v>
      </c>
      <c r="E2751" t="s">
        <v>86</v>
      </c>
      <c r="F2751" t="s">
        <v>58</v>
      </c>
      <c r="G2751" t="s">
        <v>59</v>
      </c>
      <c r="H2751" t="s">
        <v>60</v>
      </c>
      <c r="J2751">
        <v>28</v>
      </c>
      <c r="K2751" t="s">
        <v>61</v>
      </c>
      <c r="L2751" t="s">
        <v>190</v>
      </c>
      <c r="M2751" t="s">
        <v>63</v>
      </c>
      <c r="N2751" t="s">
        <v>64</v>
      </c>
      <c r="O2751">
        <v>7</v>
      </c>
      <c r="P2751" t="s">
        <v>201</v>
      </c>
      <c r="R2751">
        <v>0.442</v>
      </c>
      <c r="W2751" t="s">
        <v>66</v>
      </c>
      <c r="X2751" t="s">
        <v>67</v>
      </c>
      <c r="Y2751" t="s">
        <v>67</v>
      </c>
      <c r="Z2751" t="s">
        <v>68</v>
      </c>
      <c r="AB2751">
        <v>4</v>
      </c>
      <c r="AC2751" t="s">
        <v>61</v>
      </c>
      <c r="AJ2751" t="s">
        <v>69</v>
      </c>
      <c r="AY2751" t="s">
        <v>2078</v>
      </c>
      <c r="AZ2751">
        <v>66375</v>
      </c>
      <c r="BA2751" t="s">
        <v>2079</v>
      </c>
      <c r="BB2751" t="s">
        <v>2080</v>
      </c>
      <c r="BC2751">
        <v>2002</v>
      </c>
      <c r="BD2751" t="s">
        <v>73</v>
      </c>
    </row>
    <row r="2752" spans="1:56" x14ac:dyDescent="0.35">
      <c r="A2752">
        <v>7447394</v>
      </c>
      <c r="B2752" t="s">
        <v>2077</v>
      </c>
      <c r="D2752" t="s">
        <v>57</v>
      </c>
      <c r="E2752" t="s">
        <v>86</v>
      </c>
      <c r="F2752" t="s">
        <v>58</v>
      </c>
      <c r="G2752" t="s">
        <v>59</v>
      </c>
      <c r="H2752" t="s">
        <v>60</v>
      </c>
      <c r="J2752">
        <v>28</v>
      </c>
      <c r="K2752" t="s">
        <v>61</v>
      </c>
      <c r="L2752" t="s">
        <v>190</v>
      </c>
      <c r="M2752" t="s">
        <v>63</v>
      </c>
      <c r="N2752" t="s">
        <v>64</v>
      </c>
      <c r="O2752">
        <v>7</v>
      </c>
      <c r="P2752" t="s">
        <v>201</v>
      </c>
      <c r="R2752">
        <v>0.502</v>
      </c>
      <c r="W2752" t="s">
        <v>66</v>
      </c>
      <c r="X2752" t="s">
        <v>67</v>
      </c>
      <c r="Y2752" t="s">
        <v>67</v>
      </c>
      <c r="Z2752" t="s">
        <v>68</v>
      </c>
      <c r="AB2752">
        <v>4</v>
      </c>
      <c r="AC2752" t="s">
        <v>61</v>
      </c>
      <c r="AJ2752" t="s">
        <v>69</v>
      </c>
      <c r="AY2752" t="s">
        <v>2078</v>
      </c>
      <c r="AZ2752">
        <v>66375</v>
      </c>
      <c r="BA2752" t="s">
        <v>2079</v>
      </c>
      <c r="BB2752" t="s">
        <v>2080</v>
      </c>
      <c r="BC2752">
        <v>2002</v>
      </c>
      <c r="BD2752" t="s">
        <v>73</v>
      </c>
    </row>
    <row r="2753" spans="1:56" x14ac:dyDescent="0.35">
      <c r="A2753">
        <v>7447394</v>
      </c>
      <c r="B2753" t="s">
        <v>2077</v>
      </c>
      <c r="D2753" t="s">
        <v>57</v>
      </c>
      <c r="E2753" t="s">
        <v>2081</v>
      </c>
      <c r="F2753" t="s">
        <v>58</v>
      </c>
      <c r="G2753" t="s">
        <v>59</v>
      </c>
      <c r="H2753" t="s">
        <v>60</v>
      </c>
      <c r="I2753" t="s">
        <v>177</v>
      </c>
      <c r="J2753">
        <v>5</v>
      </c>
      <c r="K2753" t="s">
        <v>61</v>
      </c>
      <c r="L2753" t="s">
        <v>62</v>
      </c>
      <c r="M2753" t="s">
        <v>63</v>
      </c>
      <c r="N2753" t="s">
        <v>64</v>
      </c>
      <c r="O2753">
        <v>6</v>
      </c>
      <c r="P2753" t="s">
        <v>1296</v>
      </c>
      <c r="R2753">
        <v>0.53</v>
      </c>
      <c r="T2753">
        <v>0.4</v>
      </c>
      <c r="V2753">
        <v>0.68</v>
      </c>
      <c r="W2753" t="s">
        <v>66</v>
      </c>
      <c r="X2753" t="s">
        <v>67</v>
      </c>
      <c r="Y2753" t="s">
        <v>67</v>
      </c>
      <c r="Z2753" t="s">
        <v>68</v>
      </c>
      <c r="AB2753">
        <v>4</v>
      </c>
      <c r="AC2753" t="s">
        <v>61</v>
      </c>
      <c r="AJ2753" t="s">
        <v>69</v>
      </c>
      <c r="AY2753" t="s">
        <v>2082</v>
      </c>
      <c r="AZ2753">
        <v>121067</v>
      </c>
      <c r="BA2753" t="s">
        <v>2083</v>
      </c>
      <c r="BB2753" t="s">
        <v>2084</v>
      </c>
      <c r="BC2753">
        <v>1982</v>
      </c>
      <c r="BD2753" t="s">
        <v>73</v>
      </c>
    </row>
    <row r="2754" spans="1:56" x14ac:dyDescent="0.35">
      <c r="A2754">
        <v>7447394</v>
      </c>
      <c r="B2754" t="s">
        <v>2077</v>
      </c>
      <c r="D2754" t="s">
        <v>57</v>
      </c>
      <c r="E2754" t="s">
        <v>2081</v>
      </c>
      <c r="F2754" t="s">
        <v>58</v>
      </c>
      <c r="G2754" t="s">
        <v>59</v>
      </c>
      <c r="H2754" t="s">
        <v>60</v>
      </c>
      <c r="I2754" t="s">
        <v>177</v>
      </c>
      <c r="J2754">
        <v>5</v>
      </c>
      <c r="K2754" t="s">
        <v>61</v>
      </c>
      <c r="L2754" t="s">
        <v>62</v>
      </c>
      <c r="M2754" t="s">
        <v>63</v>
      </c>
      <c r="N2754" t="s">
        <v>64</v>
      </c>
      <c r="O2754">
        <v>7</v>
      </c>
      <c r="P2754" t="s">
        <v>1296</v>
      </c>
      <c r="R2754">
        <v>8.4000000000000005E-2</v>
      </c>
      <c r="T2754">
        <v>5.8999999999999997E-2</v>
      </c>
      <c r="V2754">
        <v>0.12</v>
      </c>
      <c r="W2754" t="s">
        <v>66</v>
      </c>
      <c r="X2754" t="s">
        <v>67</v>
      </c>
      <c r="Y2754" t="s">
        <v>67</v>
      </c>
      <c r="Z2754" t="s">
        <v>68</v>
      </c>
      <c r="AB2754">
        <v>4</v>
      </c>
      <c r="AC2754" t="s">
        <v>61</v>
      </c>
      <c r="AJ2754" t="s">
        <v>69</v>
      </c>
      <c r="AY2754" t="s">
        <v>2082</v>
      </c>
      <c r="AZ2754">
        <v>121067</v>
      </c>
      <c r="BA2754" t="s">
        <v>2083</v>
      </c>
      <c r="BB2754" t="s">
        <v>2084</v>
      </c>
      <c r="BC2754">
        <v>1982</v>
      </c>
      <c r="BD2754" t="s">
        <v>73</v>
      </c>
    </row>
    <row r="2755" spans="1:56" x14ac:dyDescent="0.35">
      <c r="A2755">
        <v>7447394</v>
      </c>
      <c r="B2755" t="s">
        <v>2077</v>
      </c>
      <c r="D2755" t="s">
        <v>57</v>
      </c>
      <c r="E2755" t="s">
        <v>86</v>
      </c>
      <c r="F2755" t="s">
        <v>58</v>
      </c>
      <c r="G2755" t="s">
        <v>59</v>
      </c>
      <c r="H2755" t="s">
        <v>60</v>
      </c>
      <c r="J2755">
        <v>28</v>
      </c>
      <c r="K2755" t="s">
        <v>61</v>
      </c>
      <c r="L2755" t="s">
        <v>190</v>
      </c>
      <c r="M2755" t="s">
        <v>63</v>
      </c>
      <c r="N2755" t="s">
        <v>64</v>
      </c>
      <c r="O2755">
        <v>7</v>
      </c>
      <c r="P2755" t="s">
        <v>201</v>
      </c>
      <c r="R2755">
        <v>0.434</v>
      </c>
      <c r="W2755" t="s">
        <v>66</v>
      </c>
      <c r="X2755" t="s">
        <v>67</v>
      </c>
      <c r="Y2755" t="s">
        <v>67</v>
      </c>
      <c r="Z2755" t="s">
        <v>68</v>
      </c>
      <c r="AB2755">
        <v>4</v>
      </c>
      <c r="AC2755" t="s">
        <v>61</v>
      </c>
      <c r="AJ2755" t="s">
        <v>69</v>
      </c>
      <c r="AY2755" t="s">
        <v>2078</v>
      </c>
      <c r="AZ2755">
        <v>66375</v>
      </c>
      <c r="BA2755" t="s">
        <v>2079</v>
      </c>
      <c r="BB2755" t="s">
        <v>2080</v>
      </c>
      <c r="BC2755">
        <v>2002</v>
      </c>
      <c r="BD2755" t="s">
        <v>73</v>
      </c>
    </row>
    <row r="2756" spans="1:56" x14ac:dyDescent="0.35">
      <c r="A2756">
        <v>7447407</v>
      </c>
      <c r="B2756" t="s">
        <v>2085</v>
      </c>
      <c r="C2756" t="s">
        <v>195</v>
      </c>
      <c r="D2756" t="s">
        <v>85</v>
      </c>
      <c r="E2756" t="s">
        <v>86</v>
      </c>
      <c r="F2756" t="s">
        <v>58</v>
      </c>
      <c r="G2756" t="s">
        <v>59</v>
      </c>
      <c r="H2756" t="s">
        <v>60</v>
      </c>
      <c r="J2756" t="s">
        <v>86</v>
      </c>
      <c r="K2756" t="s">
        <v>61</v>
      </c>
      <c r="L2756" t="s">
        <v>62</v>
      </c>
      <c r="M2756" t="s">
        <v>63</v>
      </c>
      <c r="N2756" t="s">
        <v>64</v>
      </c>
      <c r="P2756" t="s">
        <v>201</v>
      </c>
      <c r="R2756">
        <v>880</v>
      </c>
      <c r="T2756">
        <v>750</v>
      </c>
      <c r="V2756">
        <v>1020</v>
      </c>
      <c r="W2756" t="s">
        <v>66</v>
      </c>
      <c r="X2756" t="s">
        <v>67</v>
      </c>
      <c r="Y2756" t="s">
        <v>67</v>
      </c>
      <c r="Z2756" t="s">
        <v>68</v>
      </c>
      <c r="AB2756">
        <v>4</v>
      </c>
      <c r="AC2756" t="s">
        <v>61</v>
      </c>
      <c r="AJ2756" t="s">
        <v>69</v>
      </c>
      <c r="AY2756" t="s">
        <v>1456</v>
      </c>
      <c r="AZ2756">
        <v>18272</v>
      </c>
      <c r="BA2756" t="s">
        <v>1457</v>
      </c>
      <c r="BB2756" t="s">
        <v>1458</v>
      </c>
      <c r="BC2756">
        <v>1997</v>
      </c>
      <c r="BD2756" t="s">
        <v>1459</v>
      </c>
    </row>
    <row r="2757" spans="1:56" x14ac:dyDescent="0.35">
      <c r="A2757">
        <v>7487889</v>
      </c>
      <c r="B2757" t="s">
        <v>2086</v>
      </c>
      <c r="C2757" t="s">
        <v>195</v>
      </c>
      <c r="D2757" t="s">
        <v>85</v>
      </c>
      <c r="E2757" t="s">
        <v>86</v>
      </c>
      <c r="F2757" t="s">
        <v>58</v>
      </c>
      <c r="G2757" t="s">
        <v>59</v>
      </c>
      <c r="H2757" t="s">
        <v>60</v>
      </c>
      <c r="J2757" t="s">
        <v>86</v>
      </c>
      <c r="K2757" t="s">
        <v>61</v>
      </c>
      <c r="L2757" t="s">
        <v>62</v>
      </c>
      <c r="M2757" t="s">
        <v>63</v>
      </c>
      <c r="N2757" t="s">
        <v>64</v>
      </c>
      <c r="P2757" t="s">
        <v>201</v>
      </c>
      <c r="R2757">
        <v>2820</v>
      </c>
      <c r="T2757">
        <v>2610</v>
      </c>
      <c r="V2757">
        <v>3080</v>
      </c>
      <c r="W2757" t="s">
        <v>66</v>
      </c>
      <c r="X2757" t="s">
        <v>67</v>
      </c>
      <c r="Y2757" t="s">
        <v>67</v>
      </c>
      <c r="Z2757" t="s">
        <v>68</v>
      </c>
      <c r="AB2757">
        <v>4</v>
      </c>
      <c r="AC2757" t="s">
        <v>61</v>
      </c>
      <c r="AJ2757" t="s">
        <v>69</v>
      </c>
      <c r="AY2757" t="s">
        <v>1456</v>
      </c>
      <c r="AZ2757">
        <v>18272</v>
      </c>
      <c r="BA2757" t="s">
        <v>1457</v>
      </c>
      <c r="BB2757" t="s">
        <v>1458</v>
      </c>
      <c r="BC2757">
        <v>1997</v>
      </c>
      <c r="BD2757" t="s">
        <v>1459</v>
      </c>
    </row>
    <row r="2758" spans="1:56" x14ac:dyDescent="0.35">
      <c r="A2758">
        <v>7487889</v>
      </c>
      <c r="B2758" t="s">
        <v>2086</v>
      </c>
      <c r="D2758" t="s">
        <v>85</v>
      </c>
      <c r="E2758" t="s">
        <v>86</v>
      </c>
      <c r="F2758" t="s">
        <v>58</v>
      </c>
      <c r="G2758" t="s">
        <v>59</v>
      </c>
      <c r="H2758" t="s">
        <v>60</v>
      </c>
      <c r="I2758" t="s">
        <v>188</v>
      </c>
      <c r="J2758" t="s">
        <v>289</v>
      </c>
      <c r="K2758" t="s">
        <v>495</v>
      </c>
      <c r="L2758" t="s">
        <v>190</v>
      </c>
      <c r="M2758" t="s">
        <v>63</v>
      </c>
      <c r="N2758" t="s">
        <v>64</v>
      </c>
      <c r="P2758" t="s">
        <v>201</v>
      </c>
      <c r="R2758">
        <v>7900</v>
      </c>
      <c r="T2758">
        <v>7690</v>
      </c>
      <c r="V2758">
        <v>8150</v>
      </c>
      <c r="W2758" t="s">
        <v>66</v>
      </c>
      <c r="X2758" t="s">
        <v>67</v>
      </c>
      <c r="Y2758" t="s">
        <v>67</v>
      </c>
      <c r="Z2758" t="s">
        <v>68</v>
      </c>
      <c r="AB2758">
        <v>4</v>
      </c>
      <c r="AC2758" t="s">
        <v>61</v>
      </c>
      <c r="AJ2758" t="s">
        <v>69</v>
      </c>
      <c r="AY2758" t="s">
        <v>2087</v>
      </c>
      <c r="AZ2758">
        <v>116913</v>
      </c>
      <c r="BA2758" t="s">
        <v>2088</v>
      </c>
      <c r="BB2758" t="s">
        <v>2089</v>
      </c>
      <c r="BC2758">
        <v>1985</v>
      </c>
      <c r="BD2758" t="s">
        <v>499</v>
      </c>
    </row>
    <row r="2759" spans="1:56" x14ac:dyDescent="0.35">
      <c r="A2759">
        <v>7487947</v>
      </c>
      <c r="B2759" t="s">
        <v>2090</v>
      </c>
      <c r="D2759" t="s">
        <v>57</v>
      </c>
      <c r="E2759" t="s">
        <v>86</v>
      </c>
      <c r="F2759" t="s">
        <v>58</v>
      </c>
      <c r="G2759" t="s">
        <v>59</v>
      </c>
      <c r="H2759" t="s">
        <v>60</v>
      </c>
      <c r="J2759" t="s">
        <v>86</v>
      </c>
      <c r="K2759" t="s">
        <v>61</v>
      </c>
      <c r="L2759" t="s">
        <v>74</v>
      </c>
      <c r="M2759" t="s">
        <v>63</v>
      </c>
      <c r="N2759" t="s">
        <v>64</v>
      </c>
      <c r="P2759" t="s">
        <v>201</v>
      </c>
      <c r="R2759">
        <v>0.15</v>
      </c>
      <c r="T2759">
        <v>0.128</v>
      </c>
      <c r="V2759">
        <v>0.17599999999999999</v>
      </c>
      <c r="W2759" t="s">
        <v>66</v>
      </c>
      <c r="X2759" t="s">
        <v>67</v>
      </c>
      <c r="Y2759" t="s">
        <v>67</v>
      </c>
      <c r="Z2759" t="s">
        <v>68</v>
      </c>
      <c r="AB2759">
        <v>4</v>
      </c>
      <c r="AC2759" t="s">
        <v>61</v>
      </c>
      <c r="AJ2759" t="s">
        <v>69</v>
      </c>
      <c r="AY2759" t="s">
        <v>367</v>
      </c>
      <c r="AZ2759">
        <v>10579</v>
      </c>
      <c r="BA2759" t="s">
        <v>368</v>
      </c>
      <c r="BB2759" t="s">
        <v>369</v>
      </c>
      <c r="BC2759">
        <v>1983</v>
      </c>
      <c r="BD2759" t="s">
        <v>370</v>
      </c>
    </row>
    <row r="2760" spans="1:56" x14ac:dyDescent="0.35">
      <c r="A2760">
        <v>7487947</v>
      </c>
      <c r="B2760" t="s">
        <v>2090</v>
      </c>
      <c r="D2760" t="s">
        <v>85</v>
      </c>
      <c r="E2760" t="s">
        <v>86</v>
      </c>
      <c r="F2760" t="s">
        <v>58</v>
      </c>
      <c r="G2760" t="s">
        <v>59</v>
      </c>
      <c r="H2760" t="s">
        <v>60</v>
      </c>
      <c r="J2760" t="s">
        <v>86</v>
      </c>
      <c r="K2760" t="s">
        <v>506</v>
      </c>
      <c r="L2760" t="s">
        <v>476</v>
      </c>
      <c r="M2760" t="s">
        <v>63</v>
      </c>
      <c r="N2760" t="s">
        <v>64</v>
      </c>
      <c r="O2760">
        <v>6</v>
      </c>
      <c r="P2760" t="s">
        <v>201</v>
      </c>
      <c r="R2760">
        <v>5.3999999999999999E-2</v>
      </c>
      <c r="T2760">
        <v>4.7E-2</v>
      </c>
      <c r="V2760">
        <v>6.3E-2</v>
      </c>
      <c r="W2760" t="s">
        <v>66</v>
      </c>
      <c r="X2760" t="s">
        <v>67</v>
      </c>
      <c r="Y2760" t="s">
        <v>67</v>
      </c>
      <c r="Z2760" t="s">
        <v>68</v>
      </c>
      <c r="AB2760">
        <v>4</v>
      </c>
      <c r="AC2760" t="s">
        <v>61</v>
      </c>
      <c r="AJ2760" t="s">
        <v>69</v>
      </c>
      <c r="AY2760" t="s">
        <v>2066</v>
      </c>
      <c r="AZ2760">
        <v>167639</v>
      </c>
      <c r="BA2760" t="s">
        <v>2067</v>
      </c>
      <c r="BB2760" t="s">
        <v>2068</v>
      </c>
      <c r="BC2760">
        <v>1976</v>
      </c>
      <c r="BD2760" t="s">
        <v>2069</v>
      </c>
    </row>
    <row r="2761" spans="1:56" x14ac:dyDescent="0.35">
      <c r="A2761">
        <v>7487947</v>
      </c>
      <c r="B2761" t="s">
        <v>2090</v>
      </c>
      <c r="D2761" t="s">
        <v>57</v>
      </c>
      <c r="E2761" t="s">
        <v>86</v>
      </c>
      <c r="F2761" t="s">
        <v>58</v>
      </c>
      <c r="G2761" t="s">
        <v>59</v>
      </c>
      <c r="H2761" t="s">
        <v>60</v>
      </c>
      <c r="I2761" t="s">
        <v>129</v>
      </c>
      <c r="J2761">
        <v>3</v>
      </c>
      <c r="K2761" t="s">
        <v>320</v>
      </c>
      <c r="L2761" t="s">
        <v>74</v>
      </c>
      <c r="M2761" t="s">
        <v>63</v>
      </c>
      <c r="N2761" t="s">
        <v>64</v>
      </c>
      <c r="P2761" t="s">
        <v>201</v>
      </c>
      <c r="R2761">
        <v>0.16800000000000001</v>
      </c>
      <c r="T2761">
        <v>0.1</v>
      </c>
      <c r="V2761">
        <v>0.182</v>
      </c>
      <c r="W2761" t="s">
        <v>66</v>
      </c>
      <c r="X2761" t="s">
        <v>67</v>
      </c>
      <c r="Y2761" t="s">
        <v>67</v>
      </c>
      <c r="Z2761" t="s">
        <v>68</v>
      </c>
      <c r="AB2761">
        <v>4</v>
      </c>
      <c r="AC2761" t="s">
        <v>61</v>
      </c>
      <c r="AJ2761" t="s">
        <v>69</v>
      </c>
      <c r="AY2761" t="s">
        <v>2091</v>
      </c>
      <c r="AZ2761">
        <v>15318</v>
      </c>
      <c r="BA2761" t="s">
        <v>2092</v>
      </c>
      <c r="BB2761" t="s">
        <v>2093</v>
      </c>
      <c r="BC2761">
        <v>1982</v>
      </c>
      <c r="BD2761" t="s">
        <v>324</v>
      </c>
    </row>
    <row r="2762" spans="1:56" x14ac:dyDescent="0.35">
      <c r="A2762">
        <v>7576650</v>
      </c>
      <c r="B2762" t="s">
        <v>2094</v>
      </c>
      <c r="D2762" t="s">
        <v>85</v>
      </c>
      <c r="E2762" t="s">
        <v>86</v>
      </c>
      <c r="F2762" t="s">
        <v>58</v>
      </c>
      <c r="G2762" t="s">
        <v>59</v>
      </c>
      <c r="H2762" t="s">
        <v>60</v>
      </c>
      <c r="J2762" t="s">
        <v>86</v>
      </c>
      <c r="L2762" t="s">
        <v>62</v>
      </c>
      <c r="M2762" t="s">
        <v>63</v>
      </c>
      <c r="N2762" t="s">
        <v>64</v>
      </c>
      <c r="P2762" t="s">
        <v>100</v>
      </c>
      <c r="Q2762" t="s">
        <v>153</v>
      </c>
      <c r="R2762">
        <v>180</v>
      </c>
      <c r="W2762" t="s">
        <v>66</v>
      </c>
      <c r="X2762" t="s">
        <v>67</v>
      </c>
      <c r="Y2762" t="s">
        <v>67</v>
      </c>
      <c r="Z2762" t="s">
        <v>68</v>
      </c>
      <c r="AB2762">
        <v>4</v>
      </c>
      <c r="AC2762" t="s">
        <v>61</v>
      </c>
      <c r="AJ2762" t="s">
        <v>69</v>
      </c>
      <c r="AY2762" t="s">
        <v>1243</v>
      </c>
      <c r="AZ2762">
        <v>5789</v>
      </c>
      <c r="BA2762" t="s">
        <v>1244</v>
      </c>
      <c r="BB2762" t="s">
        <v>1245</v>
      </c>
      <c r="BC2762">
        <v>1974</v>
      </c>
      <c r="BD2762" t="s">
        <v>90</v>
      </c>
    </row>
    <row r="2763" spans="1:56" x14ac:dyDescent="0.35">
      <c r="A2763">
        <v>7576650</v>
      </c>
      <c r="B2763" t="s">
        <v>2094</v>
      </c>
      <c r="D2763" t="s">
        <v>85</v>
      </c>
      <c r="E2763">
        <v>15</v>
      </c>
      <c r="F2763" t="s">
        <v>58</v>
      </c>
      <c r="G2763" t="s">
        <v>59</v>
      </c>
      <c r="H2763" t="s">
        <v>60</v>
      </c>
      <c r="J2763" t="s">
        <v>86</v>
      </c>
      <c r="L2763" t="s">
        <v>62</v>
      </c>
      <c r="M2763" t="s">
        <v>63</v>
      </c>
      <c r="N2763" t="s">
        <v>64</v>
      </c>
      <c r="P2763" t="s">
        <v>100</v>
      </c>
      <c r="Q2763" t="s">
        <v>153</v>
      </c>
      <c r="R2763">
        <v>180</v>
      </c>
      <c r="W2763" t="s">
        <v>66</v>
      </c>
      <c r="X2763" t="s">
        <v>67</v>
      </c>
      <c r="Y2763" t="s">
        <v>67</v>
      </c>
      <c r="Z2763" t="s">
        <v>68</v>
      </c>
      <c r="AB2763">
        <v>4</v>
      </c>
      <c r="AC2763" t="s">
        <v>61</v>
      </c>
      <c r="AJ2763" t="s">
        <v>69</v>
      </c>
      <c r="AY2763" t="s">
        <v>1246</v>
      </c>
      <c r="AZ2763">
        <v>6969</v>
      </c>
      <c r="BA2763" t="s">
        <v>1247</v>
      </c>
      <c r="BB2763" t="s">
        <v>1248</v>
      </c>
      <c r="BC2763">
        <v>1973</v>
      </c>
      <c r="BD2763" t="s">
        <v>90</v>
      </c>
    </row>
    <row r="2764" spans="1:56" x14ac:dyDescent="0.35">
      <c r="A2764">
        <v>7601890</v>
      </c>
      <c r="B2764" t="s">
        <v>2095</v>
      </c>
      <c r="C2764" t="s">
        <v>195</v>
      </c>
      <c r="D2764" t="s">
        <v>85</v>
      </c>
      <c r="E2764" t="s">
        <v>79</v>
      </c>
      <c r="F2764" t="s">
        <v>58</v>
      </c>
      <c r="G2764" t="s">
        <v>59</v>
      </c>
      <c r="H2764" t="s">
        <v>60</v>
      </c>
      <c r="I2764" t="s">
        <v>129</v>
      </c>
      <c r="J2764" t="s">
        <v>2096</v>
      </c>
      <c r="K2764" t="s">
        <v>61</v>
      </c>
      <c r="L2764" t="s">
        <v>62</v>
      </c>
      <c r="M2764" t="s">
        <v>63</v>
      </c>
      <c r="N2764" t="s">
        <v>64</v>
      </c>
      <c r="O2764">
        <v>7</v>
      </c>
      <c r="P2764" t="s">
        <v>201</v>
      </c>
      <c r="R2764">
        <v>1655</v>
      </c>
      <c r="T2764">
        <v>1507</v>
      </c>
      <c r="V2764">
        <v>1817</v>
      </c>
      <c r="W2764" t="s">
        <v>66</v>
      </c>
      <c r="X2764" t="s">
        <v>67</v>
      </c>
      <c r="Y2764" t="s">
        <v>67</v>
      </c>
      <c r="Z2764" t="s">
        <v>68</v>
      </c>
      <c r="AB2764">
        <v>4</v>
      </c>
      <c r="AC2764" t="s">
        <v>61</v>
      </c>
      <c r="AJ2764" t="s">
        <v>69</v>
      </c>
      <c r="AY2764" t="s">
        <v>2097</v>
      </c>
      <c r="AZ2764">
        <v>165478</v>
      </c>
      <c r="BA2764" t="s">
        <v>2098</v>
      </c>
      <c r="BB2764" t="s">
        <v>2099</v>
      </c>
      <c r="BC2764">
        <v>1998</v>
      </c>
      <c r="BD2764" t="s">
        <v>73</v>
      </c>
    </row>
    <row r="2765" spans="1:56" x14ac:dyDescent="0.35">
      <c r="A2765">
        <v>7601890</v>
      </c>
      <c r="B2765" t="s">
        <v>2095</v>
      </c>
      <c r="C2765" t="s">
        <v>195</v>
      </c>
      <c r="D2765" t="s">
        <v>85</v>
      </c>
      <c r="E2765" t="s">
        <v>79</v>
      </c>
      <c r="F2765" t="s">
        <v>58</v>
      </c>
      <c r="G2765" t="s">
        <v>59</v>
      </c>
      <c r="H2765" t="s">
        <v>60</v>
      </c>
      <c r="I2765" t="s">
        <v>129</v>
      </c>
      <c r="J2765" t="s">
        <v>2096</v>
      </c>
      <c r="K2765" t="s">
        <v>61</v>
      </c>
      <c r="L2765" t="s">
        <v>62</v>
      </c>
      <c r="M2765" t="s">
        <v>63</v>
      </c>
      <c r="N2765" t="s">
        <v>64</v>
      </c>
      <c r="O2765">
        <v>7</v>
      </c>
      <c r="P2765" t="s">
        <v>201</v>
      </c>
      <c r="R2765">
        <v>1128</v>
      </c>
      <c r="T2765">
        <v>743</v>
      </c>
      <c r="V2765">
        <v>1712</v>
      </c>
      <c r="W2765" t="s">
        <v>66</v>
      </c>
      <c r="X2765" t="s">
        <v>67</v>
      </c>
      <c r="Y2765" t="s">
        <v>67</v>
      </c>
      <c r="Z2765" t="s">
        <v>68</v>
      </c>
      <c r="AB2765">
        <v>4</v>
      </c>
      <c r="AC2765" t="s">
        <v>61</v>
      </c>
      <c r="AJ2765" t="s">
        <v>69</v>
      </c>
      <c r="AY2765" t="s">
        <v>2097</v>
      </c>
      <c r="AZ2765">
        <v>165478</v>
      </c>
      <c r="BA2765" t="s">
        <v>2098</v>
      </c>
      <c r="BB2765" t="s">
        <v>2099</v>
      </c>
      <c r="BC2765">
        <v>1998</v>
      </c>
      <c r="BD2765" t="s">
        <v>73</v>
      </c>
    </row>
    <row r="2766" spans="1:56" x14ac:dyDescent="0.35">
      <c r="A2766">
        <v>7601890</v>
      </c>
      <c r="B2766" t="s">
        <v>2095</v>
      </c>
      <c r="C2766" t="s">
        <v>195</v>
      </c>
      <c r="D2766" t="s">
        <v>85</v>
      </c>
      <c r="E2766" t="s">
        <v>79</v>
      </c>
      <c r="F2766" t="s">
        <v>58</v>
      </c>
      <c r="G2766" t="s">
        <v>59</v>
      </c>
      <c r="H2766" t="s">
        <v>60</v>
      </c>
      <c r="I2766" t="s">
        <v>188</v>
      </c>
      <c r="J2766" t="s">
        <v>289</v>
      </c>
      <c r="K2766" t="s">
        <v>184</v>
      </c>
      <c r="L2766" t="s">
        <v>190</v>
      </c>
      <c r="M2766" t="s">
        <v>63</v>
      </c>
      <c r="N2766" t="s">
        <v>64</v>
      </c>
      <c r="O2766">
        <v>7</v>
      </c>
      <c r="P2766" t="s">
        <v>201</v>
      </c>
      <c r="R2766">
        <v>397</v>
      </c>
      <c r="W2766" t="s">
        <v>66</v>
      </c>
      <c r="X2766" t="s">
        <v>67</v>
      </c>
      <c r="Y2766" t="s">
        <v>67</v>
      </c>
      <c r="Z2766" t="s">
        <v>68</v>
      </c>
      <c r="AB2766">
        <v>4</v>
      </c>
      <c r="AC2766" t="s">
        <v>61</v>
      </c>
      <c r="AJ2766" t="s">
        <v>69</v>
      </c>
      <c r="AY2766" t="s">
        <v>2097</v>
      </c>
      <c r="AZ2766">
        <v>165478</v>
      </c>
      <c r="BA2766" t="s">
        <v>2098</v>
      </c>
      <c r="BB2766" t="s">
        <v>2099</v>
      </c>
      <c r="BC2766">
        <v>1998</v>
      </c>
      <c r="BD2766" t="s">
        <v>185</v>
      </c>
    </row>
    <row r="2767" spans="1:56" x14ac:dyDescent="0.35">
      <c r="A2767">
        <v>7601890</v>
      </c>
      <c r="B2767" t="s">
        <v>2095</v>
      </c>
      <c r="C2767" t="s">
        <v>195</v>
      </c>
      <c r="D2767" t="s">
        <v>85</v>
      </c>
      <c r="E2767" t="s">
        <v>79</v>
      </c>
      <c r="F2767" t="s">
        <v>58</v>
      </c>
      <c r="G2767" t="s">
        <v>59</v>
      </c>
      <c r="H2767" t="s">
        <v>60</v>
      </c>
      <c r="I2767" t="s">
        <v>188</v>
      </c>
      <c r="J2767" t="s">
        <v>289</v>
      </c>
      <c r="K2767" t="s">
        <v>184</v>
      </c>
      <c r="L2767" t="s">
        <v>190</v>
      </c>
      <c r="M2767" t="s">
        <v>63</v>
      </c>
      <c r="N2767" t="s">
        <v>64</v>
      </c>
      <c r="O2767">
        <v>7</v>
      </c>
      <c r="P2767" t="s">
        <v>201</v>
      </c>
      <c r="R2767">
        <v>582.65970000000004</v>
      </c>
      <c r="T2767">
        <v>490</v>
      </c>
      <c r="V2767">
        <v>870</v>
      </c>
      <c r="W2767" t="s">
        <v>66</v>
      </c>
      <c r="X2767" t="s">
        <v>67</v>
      </c>
      <c r="Y2767" t="s">
        <v>67</v>
      </c>
      <c r="Z2767" t="s">
        <v>68</v>
      </c>
      <c r="AB2767">
        <v>4</v>
      </c>
      <c r="AC2767" t="s">
        <v>61</v>
      </c>
      <c r="AJ2767" t="s">
        <v>69</v>
      </c>
      <c r="AY2767" t="s">
        <v>2097</v>
      </c>
      <c r="AZ2767">
        <v>165478</v>
      </c>
      <c r="BA2767" t="s">
        <v>2098</v>
      </c>
      <c r="BB2767" t="s">
        <v>2099</v>
      </c>
      <c r="BC2767">
        <v>1998</v>
      </c>
      <c r="BD2767" t="s">
        <v>185</v>
      </c>
    </row>
    <row r="2768" spans="1:56" x14ac:dyDescent="0.35">
      <c r="A2768">
        <v>7601890</v>
      </c>
      <c r="B2768" t="s">
        <v>2095</v>
      </c>
      <c r="C2768" t="s">
        <v>195</v>
      </c>
      <c r="D2768" t="s">
        <v>85</v>
      </c>
      <c r="E2768" t="s">
        <v>79</v>
      </c>
      <c r="F2768" t="s">
        <v>58</v>
      </c>
      <c r="G2768" t="s">
        <v>59</v>
      </c>
      <c r="H2768" t="s">
        <v>60</v>
      </c>
      <c r="I2768" t="s">
        <v>188</v>
      </c>
      <c r="J2768" t="s">
        <v>289</v>
      </c>
      <c r="K2768" t="s">
        <v>184</v>
      </c>
      <c r="L2768" t="s">
        <v>190</v>
      </c>
      <c r="M2768" t="s">
        <v>63</v>
      </c>
      <c r="N2768" t="s">
        <v>64</v>
      </c>
      <c r="O2768">
        <v>7</v>
      </c>
      <c r="P2768" t="s">
        <v>201</v>
      </c>
      <c r="R2768">
        <v>597.35429999999997</v>
      </c>
      <c r="T2768">
        <v>524.01750000000004</v>
      </c>
      <c r="V2768">
        <v>701.1934</v>
      </c>
      <c r="W2768" t="s">
        <v>66</v>
      </c>
      <c r="X2768" t="s">
        <v>67</v>
      </c>
      <c r="Y2768" t="s">
        <v>67</v>
      </c>
      <c r="Z2768" t="s">
        <v>68</v>
      </c>
      <c r="AB2768">
        <v>4</v>
      </c>
      <c r="AC2768" t="s">
        <v>61</v>
      </c>
      <c r="AJ2768" t="s">
        <v>69</v>
      </c>
      <c r="AY2768" t="s">
        <v>2097</v>
      </c>
      <c r="AZ2768">
        <v>165478</v>
      </c>
      <c r="BA2768" t="s">
        <v>2098</v>
      </c>
      <c r="BB2768" t="s">
        <v>2099</v>
      </c>
      <c r="BC2768">
        <v>1998</v>
      </c>
      <c r="BD2768" t="s">
        <v>185</v>
      </c>
    </row>
    <row r="2769" spans="1:56" x14ac:dyDescent="0.35">
      <c r="A2769">
        <v>7601890</v>
      </c>
      <c r="B2769" t="s">
        <v>2095</v>
      </c>
      <c r="C2769" t="s">
        <v>195</v>
      </c>
      <c r="D2769" t="s">
        <v>85</v>
      </c>
      <c r="E2769" t="s">
        <v>79</v>
      </c>
      <c r="F2769" t="s">
        <v>58</v>
      </c>
      <c r="G2769" t="s">
        <v>59</v>
      </c>
      <c r="H2769" t="s">
        <v>60</v>
      </c>
      <c r="I2769" t="s">
        <v>188</v>
      </c>
      <c r="J2769" t="s">
        <v>289</v>
      </c>
      <c r="K2769" t="s">
        <v>184</v>
      </c>
      <c r="L2769" t="s">
        <v>190</v>
      </c>
      <c r="M2769" t="s">
        <v>63</v>
      </c>
      <c r="N2769" t="s">
        <v>64</v>
      </c>
      <c r="O2769">
        <v>7</v>
      </c>
      <c r="P2769" t="s">
        <v>201</v>
      </c>
      <c r="R2769">
        <v>582.66</v>
      </c>
      <c r="T2769">
        <v>396.48590000000002</v>
      </c>
      <c r="V2769">
        <v>712.07730000000004</v>
      </c>
      <c r="W2769" t="s">
        <v>66</v>
      </c>
      <c r="X2769" t="s">
        <v>67</v>
      </c>
      <c r="Y2769" t="s">
        <v>67</v>
      </c>
      <c r="Z2769" t="s">
        <v>68</v>
      </c>
      <c r="AB2769">
        <v>4</v>
      </c>
      <c r="AC2769" t="s">
        <v>61</v>
      </c>
      <c r="AJ2769" t="s">
        <v>69</v>
      </c>
      <c r="AY2769" t="s">
        <v>2097</v>
      </c>
      <c r="AZ2769">
        <v>165478</v>
      </c>
      <c r="BA2769" t="s">
        <v>2098</v>
      </c>
      <c r="BB2769" t="s">
        <v>2099</v>
      </c>
      <c r="BC2769">
        <v>1998</v>
      </c>
      <c r="BD2769" t="s">
        <v>185</v>
      </c>
    </row>
    <row r="2770" spans="1:56" x14ac:dyDescent="0.35">
      <c r="A2770">
        <v>7601890</v>
      </c>
      <c r="B2770" t="s">
        <v>2095</v>
      </c>
      <c r="C2770" t="s">
        <v>195</v>
      </c>
      <c r="D2770" t="s">
        <v>85</v>
      </c>
      <c r="E2770" t="s">
        <v>79</v>
      </c>
      <c r="F2770" t="s">
        <v>58</v>
      </c>
      <c r="G2770" t="s">
        <v>59</v>
      </c>
      <c r="H2770" t="s">
        <v>60</v>
      </c>
      <c r="I2770" t="s">
        <v>188</v>
      </c>
      <c r="J2770" t="s">
        <v>289</v>
      </c>
      <c r="K2770" t="s">
        <v>184</v>
      </c>
      <c r="L2770" t="s">
        <v>190</v>
      </c>
      <c r="M2770" t="s">
        <v>63</v>
      </c>
      <c r="N2770" t="s">
        <v>64</v>
      </c>
      <c r="O2770">
        <v>7</v>
      </c>
      <c r="P2770" t="s">
        <v>201</v>
      </c>
      <c r="R2770">
        <v>614.19830000000002</v>
      </c>
      <c r="T2770">
        <v>540.49350000000004</v>
      </c>
      <c r="V2770">
        <v>713.50480000000005</v>
      </c>
      <c r="W2770" t="s">
        <v>66</v>
      </c>
      <c r="X2770" t="s">
        <v>67</v>
      </c>
      <c r="Y2770" t="s">
        <v>67</v>
      </c>
      <c r="Z2770" t="s">
        <v>68</v>
      </c>
      <c r="AB2770">
        <v>4</v>
      </c>
      <c r="AC2770" t="s">
        <v>61</v>
      </c>
      <c r="AJ2770" t="s">
        <v>69</v>
      </c>
      <c r="AY2770" t="s">
        <v>2097</v>
      </c>
      <c r="AZ2770">
        <v>165478</v>
      </c>
      <c r="BA2770" t="s">
        <v>2098</v>
      </c>
      <c r="BB2770" t="s">
        <v>2099</v>
      </c>
      <c r="BC2770">
        <v>1998</v>
      </c>
      <c r="BD2770" t="s">
        <v>185</v>
      </c>
    </row>
    <row r="2771" spans="1:56" x14ac:dyDescent="0.35">
      <c r="A2771">
        <v>7631905</v>
      </c>
      <c r="B2771" t="s">
        <v>2100</v>
      </c>
      <c r="D2771" t="s">
        <v>85</v>
      </c>
      <c r="E2771" t="s">
        <v>86</v>
      </c>
      <c r="F2771" t="s">
        <v>58</v>
      </c>
      <c r="G2771" t="s">
        <v>59</v>
      </c>
      <c r="H2771" t="s">
        <v>60</v>
      </c>
      <c r="J2771" t="s">
        <v>289</v>
      </c>
      <c r="K2771" t="s">
        <v>184</v>
      </c>
      <c r="L2771" t="s">
        <v>190</v>
      </c>
      <c r="M2771" t="s">
        <v>63</v>
      </c>
      <c r="N2771" t="s">
        <v>64</v>
      </c>
      <c r="O2771">
        <v>6</v>
      </c>
      <c r="P2771" t="s">
        <v>201</v>
      </c>
      <c r="R2771">
        <v>26.2</v>
      </c>
      <c r="W2771" t="s">
        <v>66</v>
      </c>
      <c r="X2771" t="s">
        <v>67</v>
      </c>
      <c r="Y2771" t="s">
        <v>67</v>
      </c>
      <c r="Z2771" t="s">
        <v>68</v>
      </c>
      <c r="AB2771">
        <v>4</v>
      </c>
      <c r="AC2771" t="s">
        <v>61</v>
      </c>
      <c r="AJ2771" t="s">
        <v>69</v>
      </c>
      <c r="AY2771" t="s">
        <v>2101</v>
      </c>
      <c r="AZ2771">
        <v>119883</v>
      </c>
      <c r="BA2771" t="s">
        <v>2102</v>
      </c>
      <c r="BB2771" t="s">
        <v>2103</v>
      </c>
      <c r="BC2771">
        <v>1994</v>
      </c>
      <c r="BD2771" t="s">
        <v>185</v>
      </c>
    </row>
    <row r="2772" spans="1:56" x14ac:dyDescent="0.35">
      <c r="A2772">
        <v>7631905</v>
      </c>
      <c r="B2772" t="s">
        <v>2100</v>
      </c>
      <c r="D2772" t="s">
        <v>85</v>
      </c>
      <c r="E2772" t="s">
        <v>86</v>
      </c>
      <c r="F2772" t="s">
        <v>58</v>
      </c>
      <c r="G2772" t="s">
        <v>59</v>
      </c>
      <c r="H2772" t="s">
        <v>60</v>
      </c>
      <c r="I2772" t="s">
        <v>177</v>
      </c>
      <c r="J2772" t="s">
        <v>86</v>
      </c>
      <c r="K2772" t="s">
        <v>61</v>
      </c>
      <c r="L2772" t="s">
        <v>62</v>
      </c>
      <c r="M2772" t="s">
        <v>63</v>
      </c>
      <c r="N2772" t="s">
        <v>64</v>
      </c>
      <c r="O2772">
        <v>9</v>
      </c>
      <c r="P2772" t="s">
        <v>201</v>
      </c>
      <c r="R2772">
        <v>59</v>
      </c>
      <c r="T2772">
        <v>55</v>
      </c>
      <c r="V2772">
        <v>64</v>
      </c>
      <c r="W2772" t="s">
        <v>66</v>
      </c>
      <c r="X2772" t="s">
        <v>67</v>
      </c>
      <c r="Y2772" t="s">
        <v>67</v>
      </c>
      <c r="Z2772" t="s">
        <v>68</v>
      </c>
      <c r="AB2772">
        <v>4</v>
      </c>
      <c r="AC2772" t="s">
        <v>61</v>
      </c>
      <c r="AJ2772" t="s">
        <v>69</v>
      </c>
      <c r="AY2772" t="s">
        <v>1075</v>
      </c>
      <c r="AZ2772">
        <v>79952</v>
      </c>
      <c r="BA2772" t="s">
        <v>2104</v>
      </c>
      <c r="BB2772" t="s">
        <v>2105</v>
      </c>
      <c r="BC2772">
        <v>1996</v>
      </c>
      <c r="BD2772" t="s">
        <v>691</v>
      </c>
    </row>
    <row r="2773" spans="1:56" x14ac:dyDescent="0.35">
      <c r="A2773">
        <v>7631905</v>
      </c>
      <c r="B2773" t="s">
        <v>2100</v>
      </c>
      <c r="D2773" t="s">
        <v>85</v>
      </c>
      <c r="E2773" t="s">
        <v>86</v>
      </c>
      <c r="F2773" t="s">
        <v>58</v>
      </c>
      <c r="G2773" t="s">
        <v>59</v>
      </c>
      <c r="H2773" t="s">
        <v>60</v>
      </c>
      <c r="J2773" t="s">
        <v>289</v>
      </c>
      <c r="K2773" t="s">
        <v>184</v>
      </c>
      <c r="L2773" t="s">
        <v>190</v>
      </c>
      <c r="M2773" t="s">
        <v>63</v>
      </c>
      <c r="N2773" t="s">
        <v>64</v>
      </c>
      <c r="O2773">
        <v>6</v>
      </c>
      <c r="P2773" t="s">
        <v>201</v>
      </c>
      <c r="R2773">
        <v>75.900000000000006</v>
      </c>
      <c r="W2773" t="s">
        <v>66</v>
      </c>
      <c r="X2773" t="s">
        <v>67</v>
      </c>
      <c r="Y2773" t="s">
        <v>67</v>
      </c>
      <c r="Z2773" t="s">
        <v>68</v>
      </c>
      <c r="AB2773">
        <v>4</v>
      </c>
      <c r="AC2773" t="s">
        <v>61</v>
      </c>
      <c r="AJ2773" t="s">
        <v>69</v>
      </c>
      <c r="AY2773" t="s">
        <v>2101</v>
      </c>
      <c r="AZ2773">
        <v>119883</v>
      </c>
      <c r="BA2773" t="s">
        <v>2102</v>
      </c>
      <c r="BB2773" t="s">
        <v>2103</v>
      </c>
      <c r="BC2773">
        <v>1994</v>
      </c>
      <c r="BD2773" t="s">
        <v>185</v>
      </c>
    </row>
    <row r="2774" spans="1:56" x14ac:dyDescent="0.35">
      <c r="A2774">
        <v>7631994</v>
      </c>
      <c r="B2774" t="s">
        <v>2106</v>
      </c>
      <c r="C2774" t="s">
        <v>195</v>
      </c>
      <c r="D2774" t="s">
        <v>57</v>
      </c>
      <c r="E2774" t="s">
        <v>86</v>
      </c>
      <c r="F2774" t="s">
        <v>58</v>
      </c>
      <c r="G2774" t="s">
        <v>59</v>
      </c>
      <c r="H2774" t="s">
        <v>60</v>
      </c>
      <c r="I2774" t="s">
        <v>188</v>
      </c>
      <c r="J2774" t="s">
        <v>2107</v>
      </c>
      <c r="K2774" t="s">
        <v>61</v>
      </c>
      <c r="L2774" t="s">
        <v>190</v>
      </c>
      <c r="M2774" t="s">
        <v>63</v>
      </c>
      <c r="N2774" t="s">
        <v>64</v>
      </c>
      <c r="O2774">
        <v>6</v>
      </c>
      <c r="P2774" t="s">
        <v>201</v>
      </c>
      <c r="R2774">
        <v>1406</v>
      </c>
      <c r="T2774">
        <v>1236</v>
      </c>
      <c r="V2774">
        <v>1577</v>
      </c>
      <c r="W2774" t="s">
        <v>66</v>
      </c>
      <c r="X2774" t="s">
        <v>67</v>
      </c>
      <c r="Y2774" t="s">
        <v>67</v>
      </c>
      <c r="Z2774" t="s">
        <v>68</v>
      </c>
      <c r="AB2774">
        <v>4</v>
      </c>
      <c r="AC2774" t="s">
        <v>61</v>
      </c>
      <c r="AJ2774" t="s">
        <v>69</v>
      </c>
      <c r="AY2774" t="s">
        <v>2108</v>
      </c>
      <c r="AZ2774">
        <v>60121</v>
      </c>
      <c r="BA2774" t="s">
        <v>2109</v>
      </c>
      <c r="BB2774" t="s">
        <v>2110</v>
      </c>
      <c r="BC2774">
        <v>2000</v>
      </c>
      <c r="BD2774" t="s">
        <v>73</v>
      </c>
    </row>
    <row r="2775" spans="1:56" x14ac:dyDescent="0.35">
      <c r="A2775">
        <v>7631994</v>
      </c>
      <c r="B2775" t="s">
        <v>2106</v>
      </c>
      <c r="D2775" t="s">
        <v>85</v>
      </c>
      <c r="E2775" t="s">
        <v>86</v>
      </c>
      <c r="F2775" t="s">
        <v>58</v>
      </c>
      <c r="G2775" t="s">
        <v>59</v>
      </c>
      <c r="H2775" t="s">
        <v>60</v>
      </c>
      <c r="I2775" t="s">
        <v>188</v>
      </c>
      <c r="J2775" t="s">
        <v>289</v>
      </c>
      <c r="K2775" t="s">
        <v>495</v>
      </c>
      <c r="L2775" t="s">
        <v>190</v>
      </c>
      <c r="M2775" t="s">
        <v>63</v>
      </c>
      <c r="N2775" t="s">
        <v>64</v>
      </c>
      <c r="P2775" t="s">
        <v>201</v>
      </c>
      <c r="R2775">
        <v>15300</v>
      </c>
      <c r="T2775">
        <v>14460</v>
      </c>
      <c r="V2775">
        <v>16200</v>
      </c>
      <c r="W2775" t="s">
        <v>66</v>
      </c>
      <c r="X2775" t="s">
        <v>67</v>
      </c>
      <c r="Y2775" t="s">
        <v>67</v>
      </c>
      <c r="Z2775" t="s">
        <v>68</v>
      </c>
      <c r="AB2775">
        <v>4</v>
      </c>
      <c r="AC2775" t="s">
        <v>61</v>
      </c>
      <c r="AJ2775" t="s">
        <v>69</v>
      </c>
      <c r="AY2775" t="s">
        <v>2087</v>
      </c>
      <c r="AZ2775">
        <v>116913</v>
      </c>
      <c r="BA2775" t="s">
        <v>2088</v>
      </c>
      <c r="BB2775" t="s">
        <v>2089</v>
      </c>
      <c r="BC2775">
        <v>1985</v>
      </c>
      <c r="BD2775" t="s">
        <v>499</v>
      </c>
    </row>
    <row r="2776" spans="1:56" x14ac:dyDescent="0.35">
      <c r="A2776">
        <v>7631994</v>
      </c>
      <c r="B2776" t="s">
        <v>2106</v>
      </c>
      <c r="D2776" t="s">
        <v>637</v>
      </c>
      <c r="E2776" t="s">
        <v>86</v>
      </c>
      <c r="F2776" t="s">
        <v>58</v>
      </c>
      <c r="G2776" t="s">
        <v>59</v>
      </c>
      <c r="H2776" t="s">
        <v>60</v>
      </c>
      <c r="I2776" t="s">
        <v>188</v>
      </c>
      <c r="J2776" t="s">
        <v>289</v>
      </c>
      <c r="K2776" t="s">
        <v>184</v>
      </c>
      <c r="L2776" t="s">
        <v>190</v>
      </c>
      <c r="M2776" t="s">
        <v>63</v>
      </c>
      <c r="N2776" t="s">
        <v>64</v>
      </c>
      <c r="O2776">
        <v>6</v>
      </c>
      <c r="P2776" t="s">
        <v>201</v>
      </c>
      <c r="R2776">
        <v>1500</v>
      </c>
      <c r="T2776">
        <v>1454</v>
      </c>
      <c r="V2776">
        <v>1548</v>
      </c>
      <c r="W2776" t="s">
        <v>66</v>
      </c>
      <c r="X2776" t="s">
        <v>67</v>
      </c>
      <c r="Y2776" t="s">
        <v>290</v>
      </c>
      <c r="Z2776" t="s">
        <v>68</v>
      </c>
      <c r="AB2776">
        <v>4</v>
      </c>
      <c r="AC2776" t="s">
        <v>61</v>
      </c>
      <c r="AJ2776" t="s">
        <v>69</v>
      </c>
      <c r="AY2776" t="s">
        <v>2111</v>
      </c>
      <c r="AZ2776">
        <v>183436</v>
      </c>
      <c r="BA2776" t="s">
        <v>2112</v>
      </c>
      <c r="BB2776" t="s">
        <v>2113</v>
      </c>
      <c r="BC2776">
        <v>2020</v>
      </c>
      <c r="BD2776" t="s">
        <v>185</v>
      </c>
    </row>
    <row r="2777" spans="1:56" x14ac:dyDescent="0.35">
      <c r="A2777">
        <v>7631994</v>
      </c>
      <c r="B2777" t="s">
        <v>2106</v>
      </c>
      <c r="C2777" t="s">
        <v>195</v>
      </c>
      <c r="D2777" t="s">
        <v>57</v>
      </c>
      <c r="E2777" t="s">
        <v>86</v>
      </c>
      <c r="F2777" t="s">
        <v>58</v>
      </c>
      <c r="G2777" t="s">
        <v>59</v>
      </c>
      <c r="H2777" t="s">
        <v>60</v>
      </c>
      <c r="I2777" t="s">
        <v>188</v>
      </c>
      <c r="J2777" t="s">
        <v>2107</v>
      </c>
      <c r="K2777" t="s">
        <v>61</v>
      </c>
      <c r="L2777" t="s">
        <v>190</v>
      </c>
      <c r="M2777" t="s">
        <v>63</v>
      </c>
      <c r="N2777" t="s">
        <v>64</v>
      </c>
      <c r="O2777">
        <v>6</v>
      </c>
      <c r="P2777" t="s">
        <v>201</v>
      </c>
      <c r="R2777">
        <v>1010</v>
      </c>
      <c r="T2777">
        <v>877</v>
      </c>
      <c r="V2777">
        <v>1143</v>
      </c>
      <c r="W2777" t="s">
        <v>66</v>
      </c>
      <c r="X2777" t="s">
        <v>67</v>
      </c>
      <c r="Y2777" t="s">
        <v>67</v>
      </c>
      <c r="Z2777" t="s">
        <v>68</v>
      </c>
      <c r="AB2777">
        <v>4</v>
      </c>
      <c r="AC2777" t="s">
        <v>61</v>
      </c>
      <c r="AJ2777" t="s">
        <v>69</v>
      </c>
      <c r="AY2777" t="s">
        <v>2108</v>
      </c>
      <c r="AZ2777">
        <v>60121</v>
      </c>
      <c r="BA2777" t="s">
        <v>2109</v>
      </c>
      <c r="BB2777" t="s">
        <v>2110</v>
      </c>
      <c r="BC2777">
        <v>2000</v>
      </c>
      <c r="BD2777" t="s">
        <v>73</v>
      </c>
    </row>
    <row r="2778" spans="1:56" x14ac:dyDescent="0.35">
      <c r="A2778">
        <v>7631994</v>
      </c>
      <c r="B2778" t="s">
        <v>2106</v>
      </c>
      <c r="D2778" t="s">
        <v>637</v>
      </c>
      <c r="E2778" t="s">
        <v>86</v>
      </c>
      <c r="F2778" t="s">
        <v>58</v>
      </c>
      <c r="G2778" t="s">
        <v>59</v>
      </c>
      <c r="H2778" t="s">
        <v>60</v>
      </c>
      <c r="I2778" t="s">
        <v>188</v>
      </c>
      <c r="J2778" t="s">
        <v>289</v>
      </c>
      <c r="K2778" t="s">
        <v>184</v>
      </c>
      <c r="L2778" t="s">
        <v>190</v>
      </c>
      <c r="M2778" t="s">
        <v>63</v>
      </c>
      <c r="N2778" t="s">
        <v>64</v>
      </c>
      <c r="O2778">
        <v>6</v>
      </c>
      <c r="P2778" t="s">
        <v>201</v>
      </c>
      <c r="R2778">
        <v>1537</v>
      </c>
      <c r="T2778">
        <v>1500</v>
      </c>
      <c r="V2778">
        <v>1573</v>
      </c>
      <c r="W2778" t="s">
        <v>66</v>
      </c>
      <c r="X2778" t="s">
        <v>67</v>
      </c>
      <c r="Y2778" t="s">
        <v>290</v>
      </c>
      <c r="Z2778" t="s">
        <v>68</v>
      </c>
      <c r="AB2778">
        <v>4</v>
      </c>
      <c r="AC2778" t="s">
        <v>61</v>
      </c>
      <c r="AJ2778" t="s">
        <v>69</v>
      </c>
      <c r="AY2778" t="s">
        <v>2111</v>
      </c>
      <c r="AZ2778">
        <v>183436</v>
      </c>
      <c r="BA2778" t="s">
        <v>2112</v>
      </c>
      <c r="BB2778" t="s">
        <v>2113</v>
      </c>
      <c r="BC2778">
        <v>2020</v>
      </c>
      <c r="BD2778" t="s">
        <v>185</v>
      </c>
    </row>
    <row r="2779" spans="1:56" x14ac:dyDescent="0.35">
      <c r="A2779">
        <v>7631994</v>
      </c>
      <c r="B2779" t="s">
        <v>2106</v>
      </c>
      <c r="C2779" t="s">
        <v>195</v>
      </c>
      <c r="D2779" t="s">
        <v>57</v>
      </c>
      <c r="E2779" t="s">
        <v>86</v>
      </c>
      <c r="F2779" t="s">
        <v>58</v>
      </c>
      <c r="G2779" t="s">
        <v>59</v>
      </c>
      <c r="H2779" t="s">
        <v>60</v>
      </c>
      <c r="I2779" t="s">
        <v>188</v>
      </c>
      <c r="J2779" t="s">
        <v>2107</v>
      </c>
      <c r="K2779" t="s">
        <v>61</v>
      </c>
      <c r="L2779" t="s">
        <v>190</v>
      </c>
      <c r="M2779" t="s">
        <v>63</v>
      </c>
      <c r="N2779" t="s">
        <v>64</v>
      </c>
      <c r="O2779">
        <v>6</v>
      </c>
      <c r="P2779" t="s">
        <v>201</v>
      </c>
      <c r="R2779">
        <v>1607</v>
      </c>
      <c r="T2779">
        <v>1492</v>
      </c>
      <c r="V2779">
        <v>1723</v>
      </c>
      <c r="W2779" t="s">
        <v>66</v>
      </c>
      <c r="X2779" t="s">
        <v>67</v>
      </c>
      <c r="Y2779" t="s">
        <v>67</v>
      </c>
      <c r="Z2779" t="s">
        <v>68</v>
      </c>
      <c r="AB2779">
        <v>4</v>
      </c>
      <c r="AC2779" t="s">
        <v>61</v>
      </c>
      <c r="AJ2779" t="s">
        <v>69</v>
      </c>
      <c r="AY2779" t="s">
        <v>2108</v>
      </c>
      <c r="AZ2779">
        <v>60121</v>
      </c>
      <c r="BA2779" t="s">
        <v>2109</v>
      </c>
      <c r="BB2779" t="s">
        <v>2110</v>
      </c>
      <c r="BC2779">
        <v>2000</v>
      </c>
      <c r="BD2779" t="s">
        <v>73</v>
      </c>
    </row>
    <row r="2780" spans="1:56" x14ac:dyDescent="0.35">
      <c r="A2780">
        <v>7631994</v>
      </c>
      <c r="B2780" t="s">
        <v>2106</v>
      </c>
      <c r="D2780" t="s">
        <v>57</v>
      </c>
      <c r="E2780" t="s">
        <v>86</v>
      </c>
      <c r="F2780" t="s">
        <v>58</v>
      </c>
      <c r="G2780" t="s">
        <v>59</v>
      </c>
      <c r="H2780" t="s">
        <v>60</v>
      </c>
      <c r="J2780" t="s">
        <v>86</v>
      </c>
      <c r="K2780" t="s">
        <v>1027</v>
      </c>
      <c r="L2780" t="s">
        <v>190</v>
      </c>
      <c r="M2780" t="s">
        <v>63</v>
      </c>
      <c r="N2780" t="s">
        <v>64</v>
      </c>
      <c r="O2780" t="s">
        <v>2114</v>
      </c>
      <c r="P2780" t="s">
        <v>201</v>
      </c>
      <c r="R2780">
        <v>1278</v>
      </c>
      <c r="T2780">
        <v>1027</v>
      </c>
      <c r="V2780">
        <v>1593</v>
      </c>
      <c r="W2780" t="s">
        <v>66</v>
      </c>
      <c r="X2780" t="s">
        <v>67</v>
      </c>
      <c r="Y2780" t="s">
        <v>67</v>
      </c>
      <c r="Z2780" t="s">
        <v>68</v>
      </c>
      <c r="AB2780">
        <v>4</v>
      </c>
      <c r="AC2780" t="s">
        <v>61</v>
      </c>
      <c r="AJ2780" t="s">
        <v>69</v>
      </c>
      <c r="AY2780" t="s">
        <v>2115</v>
      </c>
      <c r="AZ2780">
        <v>77828</v>
      </c>
      <c r="BA2780" t="s">
        <v>2116</v>
      </c>
      <c r="BB2780" t="s">
        <v>2117</v>
      </c>
      <c r="BC2780">
        <v>2002</v>
      </c>
      <c r="BD2780" t="s">
        <v>2118</v>
      </c>
    </row>
    <row r="2781" spans="1:56" x14ac:dyDescent="0.35">
      <c r="A2781">
        <v>7631994</v>
      </c>
      <c r="B2781" t="s">
        <v>2106</v>
      </c>
      <c r="D2781" t="s">
        <v>637</v>
      </c>
      <c r="E2781" t="s">
        <v>86</v>
      </c>
      <c r="F2781" t="s">
        <v>58</v>
      </c>
      <c r="G2781" t="s">
        <v>59</v>
      </c>
      <c r="H2781" t="s">
        <v>60</v>
      </c>
      <c r="I2781" t="s">
        <v>188</v>
      </c>
      <c r="J2781" t="s">
        <v>289</v>
      </c>
      <c r="K2781" t="s">
        <v>184</v>
      </c>
      <c r="L2781" t="s">
        <v>190</v>
      </c>
      <c r="M2781" t="s">
        <v>63</v>
      </c>
      <c r="N2781" t="s">
        <v>64</v>
      </c>
      <c r="O2781">
        <v>6</v>
      </c>
      <c r="P2781" t="s">
        <v>201</v>
      </c>
      <c r="Q2781" t="s">
        <v>153</v>
      </c>
      <c r="R2781">
        <v>958</v>
      </c>
      <c r="W2781" t="s">
        <v>66</v>
      </c>
      <c r="X2781" t="s">
        <v>67</v>
      </c>
      <c r="Y2781" t="s">
        <v>290</v>
      </c>
      <c r="Z2781" t="s">
        <v>68</v>
      </c>
      <c r="AB2781">
        <v>4</v>
      </c>
      <c r="AC2781" t="s">
        <v>61</v>
      </c>
      <c r="AJ2781" t="s">
        <v>69</v>
      </c>
      <c r="AY2781" t="s">
        <v>2111</v>
      </c>
      <c r="AZ2781">
        <v>183436</v>
      </c>
      <c r="BA2781" t="s">
        <v>2112</v>
      </c>
      <c r="BB2781" t="s">
        <v>2113</v>
      </c>
      <c r="BC2781">
        <v>2020</v>
      </c>
      <c r="BD2781" t="s">
        <v>185</v>
      </c>
    </row>
    <row r="2782" spans="1:56" x14ac:dyDescent="0.35">
      <c r="A2782">
        <v>7632000</v>
      </c>
      <c r="B2782" t="s">
        <v>2119</v>
      </c>
      <c r="C2782" t="s">
        <v>195</v>
      </c>
      <c r="D2782" t="s">
        <v>637</v>
      </c>
      <c r="E2782" t="s">
        <v>86</v>
      </c>
      <c r="F2782" t="s">
        <v>58</v>
      </c>
      <c r="G2782" t="s">
        <v>59</v>
      </c>
      <c r="H2782" t="s">
        <v>60</v>
      </c>
      <c r="J2782" t="s">
        <v>86</v>
      </c>
      <c r="L2782" t="s">
        <v>62</v>
      </c>
      <c r="M2782" t="s">
        <v>63</v>
      </c>
      <c r="N2782" t="s">
        <v>64</v>
      </c>
      <c r="O2782">
        <v>1</v>
      </c>
      <c r="P2782" t="s">
        <v>201</v>
      </c>
      <c r="Q2782" t="s">
        <v>172</v>
      </c>
      <c r="R2782">
        <v>150</v>
      </c>
      <c r="W2782" t="s">
        <v>66</v>
      </c>
      <c r="X2782" t="s">
        <v>67</v>
      </c>
      <c r="Y2782" t="s">
        <v>67</v>
      </c>
      <c r="Z2782" t="s">
        <v>68</v>
      </c>
      <c r="AB2782">
        <v>4</v>
      </c>
      <c r="AC2782" t="s">
        <v>61</v>
      </c>
      <c r="AJ2782" t="s">
        <v>69</v>
      </c>
      <c r="AY2782" t="s">
        <v>2120</v>
      </c>
      <c r="AZ2782">
        <v>10097</v>
      </c>
      <c r="BA2782" t="s">
        <v>2121</v>
      </c>
      <c r="BB2782" t="s">
        <v>2122</v>
      </c>
      <c r="BC2782">
        <v>1984</v>
      </c>
      <c r="BD2782" t="s">
        <v>90</v>
      </c>
    </row>
    <row r="2783" spans="1:56" x14ac:dyDescent="0.35">
      <c r="A2783">
        <v>7632000</v>
      </c>
      <c r="B2783" t="s">
        <v>2119</v>
      </c>
      <c r="D2783" t="s">
        <v>57</v>
      </c>
      <c r="E2783" t="s">
        <v>86</v>
      </c>
      <c r="F2783" t="s">
        <v>58</v>
      </c>
      <c r="G2783" t="s">
        <v>59</v>
      </c>
      <c r="H2783" t="s">
        <v>60</v>
      </c>
      <c r="J2783" t="s">
        <v>86</v>
      </c>
      <c r="L2783" t="s">
        <v>74</v>
      </c>
      <c r="M2783" t="s">
        <v>63</v>
      </c>
      <c r="N2783" t="s">
        <v>64</v>
      </c>
      <c r="P2783" t="s">
        <v>201</v>
      </c>
      <c r="R2783">
        <v>2.99</v>
      </c>
      <c r="T2783">
        <v>2.35</v>
      </c>
      <c r="V2783">
        <v>3.81</v>
      </c>
      <c r="W2783" t="s">
        <v>66</v>
      </c>
      <c r="X2783" t="s">
        <v>67</v>
      </c>
      <c r="Y2783" t="s">
        <v>67</v>
      </c>
      <c r="Z2783" t="s">
        <v>68</v>
      </c>
      <c r="AB2783">
        <v>4</v>
      </c>
      <c r="AC2783" t="s">
        <v>61</v>
      </c>
      <c r="AJ2783" t="s">
        <v>69</v>
      </c>
      <c r="AY2783" t="s">
        <v>2123</v>
      </c>
      <c r="AZ2783">
        <v>5090</v>
      </c>
      <c r="BA2783" t="s">
        <v>2124</v>
      </c>
      <c r="BB2783" t="s">
        <v>2125</v>
      </c>
      <c r="BC2783">
        <v>1977</v>
      </c>
      <c r="BD2783" t="s">
        <v>90</v>
      </c>
    </row>
    <row r="2784" spans="1:56" x14ac:dyDescent="0.35">
      <c r="A2784">
        <v>7632000</v>
      </c>
      <c r="B2784" t="s">
        <v>2119</v>
      </c>
      <c r="C2784" t="s">
        <v>195</v>
      </c>
      <c r="D2784" t="s">
        <v>85</v>
      </c>
      <c r="E2784" t="s">
        <v>86</v>
      </c>
      <c r="F2784" t="s">
        <v>58</v>
      </c>
      <c r="G2784" t="s">
        <v>59</v>
      </c>
      <c r="H2784" t="s">
        <v>60</v>
      </c>
      <c r="I2784" t="s">
        <v>129</v>
      </c>
      <c r="J2784" t="s">
        <v>86</v>
      </c>
      <c r="L2784" t="s">
        <v>62</v>
      </c>
      <c r="M2784" t="s">
        <v>63</v>
      </c>
      <c r="N2784" t="s">
        <v>64</v>
      </c>
      <c r="O2784">
        <v>5</v>
      </c>
      <c r="P2784" t="s">
        <v>201</v>
      </c>
      <c r="Q2784" t="s">
        <v>1093</v>
      </c>
      <c r="R2784">
        <v>100</v>
      </c>
      <c r="W2784" t="s">
        <v>66</v>
      </c>
      <c r="X2784" t="s">
        <v>67</v>
      </c>
      <c r="Y2784" t="s">
        <v>67</v>
      </c>
      <c r="Z2784" t="s">
        <v>68</v>
      </c>
      <c r="AB2784">
        <v>4</v>
      </c>
      <c r="AC2784" t="s">
        <v>61</v>
      </c>
      <c r="AJ2784" t="s">
        <v>69</v>
      </c>
      <c r="AY2784" t="s">
        <v>298</v>
      </c>
      <c r="AZ2784">
        <v>11951</v>
      </c>
      <c r="BA2784" t="s">
        <v>299</v>
      </c>
      <c r="BB2784" t="s">
        <v>300</v>
      </c>
      <c r="BC2784">
        <v>1986</v>
      </c>
      <c r="BD2784" t="s">
        <v>90</v>
      </c>
    </row>
    <row r="2785" spans="1:56" x14ac:dyDescent="0.35">
      <c r="A2785">
        <v>7632000</v>
      </c>
      <c r="B2785" t="s">
        <v>2119</v>
      </c>
      <c r="C2785" t="s">
        <v>195</v>
      </c>
      <c r="D2785" t="s">
        <v>85</v>
      </c>
      <c r="E2785" t="s">
        <v>86</v>
      </c>
      <c r="F2785" t="s">
        <v>58</v>
      </c>
      <c r="G2785" t="s">
        <v>59</v>
      </c>
      <c r="H2785" t="s">
        <v>60</v>
      </c>
      <c r="I2785" t="s">
        <v>129</v>
      </c>
      <c r="J2785" t="s">
        <v>86</v>
      </c>
      <c r="L2785" t="s">
        <v>62</v>
      </c>
      <c r="M2785" t="s">
        <v>63</v>
      </c>
      <c r="N2785" t="s">
        <v>64</v>
      </c>
      <c r="O2785">
        <v>5</v>
      </c>
      <c r="P2785" t="s">
        <v>201</v>
      </c>
      <c r="Q2785" t="s">
        <v>153</v>
      </c>
      <c r="R2785">
        <v>100</v>
      </c>
      <c r="W2785" t="s">
        <v>66</v>
      </c>
      <c r="X2785" t="s">
        <v>67</v>
      </c>
      <c r="Y2785" t="s">
        <v>67</v>
      </c>
      <c r="Z2785" t="s">
        <v>68</v>
      </c>
      <c r="AB2785">
        <v>4</v>
      </c>
      <c r="AC2785" t="s">
        <v>61</v>
      </c>
      <c r="AJ2785" t="s">
        <v>69</v>
      </c>
      <c r="AY2785" t="s">
        <v>298</v>
      </c>
      <c r="AZ2785">
        <v>11951</v>
      </c>
      <c r="BA2785" t="s">
        <v>299</v>
      </c>
      <c r="BB2785" t="s">
        <v>300</v>
      </c>
      <c r="BC2785">
        <v>1986</v>
      </c>
      <c r="BD2785" t="s">
        <v>90</v>
      </c>
    </row>
    <row r="2786" spans="1:56" x14ac:dyDescent="0.35">
      <c r="A2786">
        <v>7632000</v>
      </c>
      <c r="B2786" t="s">
        <v>2119</v>
      </c>
      <c r="D2786" t="s">
        <v>57</v>
      </c>
      <c r="E2786" t="s">
        <v>86</v>
      </c>
      <c r="F2786" t="s">
        <v>58</v>
      </c>
      <c r="G2786" t="s">
        <v>59</v>
      </c>
      <c r="H2786" t="s">
        <v>60</v>
      </c>
      <c r="J2786" t="s">
        <v>86</v>
      </c>
      <c r="L2786" t="s">
        <v>74</v>
      </c>
      <c r="M2786" t="s">
        <v>63</v>
      </c>
      <c r="N2786" t="s">
        <v>64</v>
      </c>
      <c r="P2786" t="s">
        <v>201</v>
      </c>
      <c r="R2786">
        <v>2.2999999999999998</v>
      </c>
      <c r="W2786" t="s">
        <v>66</v>
      </c>
      <c r="X2786" t="s">
        <v>67</v>
      </c>
      <c r="Y2786" t="s">
        <v>67</v>
      </c>
      <c r="Z2786" t="s">
        <v>68</v>
      </c>
      <c r="AB2786">
        <v>4</v>
      </c>
      <c r="AC2786" t="s">
        <v>61</v>
      </c>
      <c r="AJ2786" t="s">
        <v>69</v>
      </c>
      <c r="AY2786" t="s">
        <v>2123</v>
      </c>
      <c r="AZ2786">
        <v>5090</v>
      </c>
      <c r="BA2786" t="s">
        <v>2124</v>
      </c>
      <c r="BB2786" t="s">
        <v>2125</v>
      </c>
      <c r="BC2786">
        <v>1977</v>
      </c>
      <c r="BD2786" t="s">
        <v>90</v>
      </c>
    </row>
    <row r="2787" spans="1:56" x14ac:dyDescent="0.35">
      <c r="A2787">
        <v>7632000</v>
      </c>
      <c r="B2787" t="s">
        <v>2119</v>
      </c>
      <c r="C2787" t="s">
        <v>195</v>
      </c>
      <c r="D2787" t="s">
        <v>637</v>
      </c>
      <c r="E2787" t="s">
        <v>86</v>
      </c>
      <c r="F2787" t="s">
        <v>58</v>
      </c>
      <c r="G2787" t="s">
        <v>59</v>
      </c>
      <c r="H2787" t="s">
        <v>60</v>
      </c>
      <c r="J2787" t="s">
        <v>86</v>
      </c>
      <c r="L2787" t="s">
        <v>62</v>
      </c>
      <c r="M2787" t="s">
        <v>63</v>
      </c>
      <c r="N2787" t="s">
        <v>64</v>
      </c>
      <c r="O2787">
        <v>1</v>
      </c>
      <c r="P2787" t="s">
        <v>201</v>
      </c>
      <c r="S2787" t="s">
        <v>153</v>
      </c>
      <c r="T2787">
        <v>225</v>
      </c>
      <c r="U2787" t="s">
        <v>435</v>
      </c>
      <c r="V2787">
        <v>250</v>
      </c>
      <c r="W2787" t="s">
        <v>66</v>
      </c>
      <c r="X2787" t="s">
        <v>67</v>
      </c>
      <c r="Y2787" t="s">
        <v>67</v>
      </c>
      <c r="Z2787" t="s">
        <v>68</v>
      </c>
      <c r="AB2787">
        <v>4</v>
      </c>
      <c r="AC2787" t="s">
        <v>61</v>
      </c>
      <c r="AJ2787" t="s">
        <v>69</v>
      </c>
      <c r="AY2787" t="s">
        <v>2120</v>
      </c>
      <c r="AZ2787">
        <v>10097</v>
      </c>
      <c r="BA2787" t="s">
        <v>2121</v>
      </c>
      <c r="BB2787" t="s">
        <v>2122</v>
      </c>
      <c r="BC2787">
        <v>1984</v>
      </c>
      <c r="BD2787" t="s">
        <v>90</v>
      </c>
    </row>
    <row r="2788" spans="1:56" x14ac:dyDescent="0.35">
      <c r="A2788">
        <v>7646799</v>
      </c>
      <c r="B2788" t="s">
        <v>2126</v>
      </c>
      <c r="D2788" t="s">
        <v>85</v>
      </c>
      <c r="E2788" t="s">
        <v>86</v>
      </c>
      <c r="F2788" t="s">
        <v>58</v>
      </c>
      <c r="G2788" t="s">
        <v>59</v>
      </c>
      <c r="H2788" t="s">
        <v>60</v>
      </c>
      <c r="J2788" t="s">
        <v>86</v>
      </c>
      <c r="L2788" t="s">
        <v>62</v>
      </c>
      <c r="M2788" t="s">
        <v>63</v>
      </c>
      <c r="N2788" t="s">
        <v>64</v>
      </c>
      <c r="O2788">
        <v>6</v>
      </c>
      <c r="P2788" t="s">
        <v>201</v>
      </c>
      <c r="R2788">
        <v>20.8</v>
      </c>
      <c r="T2788">
        <v>16.399999999999999</v>
      </c>
      <c r="V2788">
        <v>25.6</v>
      </c>
      <c r="W2788" t="s">
        <v>66</v>
      </c>
      <c r="X2788" t="s">
        <v>67</v>
      </c>
      <c r="Y2788" t="s">
        <v>67</v>
      </c>
      <c r="Z2788" t="s">
        <v>68</v>
      </c>
      <c r="AB2788">
        <v>4</v>
      </c>
      <c r="AC2788" t="s">
        <v>61</v>
      </c>
      <c r="AJ2788" t="s">
        <v>69</v>
      </c>
      <c r="AY2788" t="s">
        <v>2127</v>
      </c>
      <c r="AZ2788">
        <v>150469</v>
      </c>
      <c r="BA2788" t="s">
        <v>2128</v>
      </c>
      <c r="BB2788" t="s">
        <v>2129</v>
      </c>
      <c r="BC2788">
        <v>1986</v>
      </c>
      <c r="BD2788" t="s">
        <v>90</v>
      </c>
    </row>
    <row r="2789" spans="1:56" x14ac:dyDescent="0.35">
      <c r="A2789">
        <v>7646799</v>
      </c>
      <c r="B2789" t="s">
        <v>2126</v>
      </c>
      <c r="D2789" t="s">
        <v>85</v>
      </c>
      <c r="E2789" t="s">
        <v>86</v>
      </c>
      <c r="F2789" t="s">
        <v>58</v>
      </c>
      <c r="G2789" t="s">
        <v>59</v>
      </c>
      <c r="H2789" t="s">
        <v>60</v>
      </c>
      <c r="J2789" t="s">
        <v>86</v>
      </c>
      <c r="L2789" t="s">
        <v>62</v>
      </c>
      <c r="M2789" t="s">
        <v>63</v>
      </c>
      <c r="N2789" t="s">
        <v>64</v>
      </c>
      <c r="O2789">
        <v>6</v>
      </c>
      <c r="P2789" t="s">
        <v>201</v>
      </c>
      <c r="R2789">
        <v>28.4</v>
      </c>
      <c r="T2789">
        <v>24.5</v>
      </c>
      <c r="V2789">
        <v>33.6</v>
      </c>
      <c r="W2789" t="s">
        <v>66</v>
      </c>
      <c r="X2789" t="s">
        <v>67</v>
      </c>
      <c r="Y2789" t="s">
        <v>67</v>
      </c>
      <c r="Z2789" t="s">
        <v>68</v>
      </c>
      <c r="AB2789">
        <v>4</v>
      </c>
      <c r="AC2789" t="s">
        <v>61</v>
      </c>
      <c r="AJ2789" t="s">
        <v>69</v>
      </c>
      <c r="AY2789" t="s">
        <v>2127</v>
      </c>
      <c r="AZ2789">
        <v>150469</v>
      </c>
      <c r="BA2789" t="s">
        <v>2128</v>
      </c>
      <c r="BB2789" t="s">
        <v>2129</v>
      </c>
      <c r="BC2789">
        <v>1986</v>
      </c>
      <c r="BD2789" t="s">
        <v>90</v>
      </c>
    </row>
    <row r="2790" spans="1:56" x14ac:dyDescent="0.35">
      <c r="A2790">
        <v>7646799</v>
      </c>
      <c r="B2790" t="s">
        <v>2126</v>
      </c>
      <c r="D2790" t="s">
        <v>85</v>
      </c>
      <c r="E2790" t="s">
        <v>86</v>
      </c>
      <c r="F2790" t="s">
        <v>58</v>
      </c>
      <c r="G2790" t="s">
        <v>59</v>
      </c>
      <c r="H2790" t="s">
        <v>60</v>
      </c>
      <c r="J2790" t="s">
        <v>86</v>
      </c>
      <c r="L2790" t="s">
        <v>62</v>
      </c>
      <c r="M2790" t="s">
        <v>63</v>
      </c>
      <c r="N2790" t="s">
        <v>64</v>
      </c>
      <c r="O2790">
        <v>6</v>
      </c>
      <c r="P2790" t="s">
        <v>201</v>
      </c>
      <c r="R2790">
        <v>10</v>
      </c>
      <c r="T2790">
        <v>6.7</v>
      </c>
      <c r="V2790">
        <v>14</v>
      </c>
      <c r="W2790" t="s">
        <v>66</v>
      </c>
      <c r="X2790" t="s">
        <v>67</v>
      </c>
      <c r="Y2790" t="s">
        <v>67</v>
      </c>
      <c r="Z2790" t="s">
        <v>68</v>
      </c>
      <c r="AB2790">
        <v>4</v>
      </c>
      <c r="AC2790" t="s">
        <v>61</v>
      </c>
      <c r="AJ2790" t="s">
        <v>69</v>
      </c>
      <c r="AY2790" t="s">
        <v>2127</v>
      </c>
      <c r="AZ2790">
        <v>150469</v>
      </c>
      <c r="BA2790" t="s">
        <v>2128</v>
      </c>
      <c r="BB2790" t="s">
        <v>2129</v>
      </c>
      <c r="BC2790">
        <v>1986</v>
      </c>
      <c r="BD2790" t="s">
        <v>90</v>
      </c>
    </row>
    <row r="2791" spans="1:56" x14ac:dyDescent="0.35">
      <c r="A2791">
        <v>7646799</v>
      </c>
      <c r="B2791" t="s">
        <v>2126</v>
      </c>
      <c r="D2791" t="s">
        <v>85</v>
      </c>
      <c r="E2791" t="s">
        <v>86</v>
      </c>
      <c r="F2791" t="s">
        <v>58</v>
      </c>
      <c r="G2791" t="s">
        <v>59</v>
      </c>
      <c r="H2791" t="s">
        <v>60</v>
      </c>
      <c r="J2791" t="s">
        <v>86</v>
      </c>
      <c r="L2791" t="s">
        <v>62</v>
      </c>
      <c r="M2791" t="s">
        <v>63</v>
      </c>
      <c r="N2791" t="s">
        <v>64</v>
      </c>
      <c r="O2791">
        <v>6</v>
      </c>
      <c r="P2791" t="s">
        <v>201</v>
      </c>
      <c r="R2791">
        <v>8</v>
      </c>
      <c r="T2791">
        <v>5.3</v>
      </c>
      <c r="V2791">
        <v>10.8</v>
      </c>
      <c r="W2791" t="s">
        <v>66</v>
      </c>
      <c r="X2791" t="s">
        <v>67</v>
      </c>
      <c r="Y2791" t="s">
        <v>67</v>
      </c>
      <c r="Z2791" t="s">
        <v>68</v>
      </c>
      <c r="AB2791">
        <v>4</v>
      </c>
      <c r="AC2791" t="s">
        <v>61</v>
      </c>
      <c r="AJ2791" t="s">
        <v>69</v>
      </c>
      <c r="AY2791" t="s">
        <v>2127</v>
      </c>
      <c r="AZ2791">
        <v>150469</v>
      </c>
      <c r="BA2791" t="s">
        <v>2128</v>
      </c>
      <c r="BB2791" t="s">
        <v>2129</v>
      </c>
      <c r="BC2791">
        <v>1986</v>
      </c>
      <c r="BD2791" t="s">
        <v>90</v>
      </c>
    </row>
    <row r="2792" spans="1:56" x14ac:dyDescent="0.35">
      <c r="A2792">
        <v>7646799</v>
      </c>
      <c r="B2792" t="s">
        <v>2126</v>
      </c>
      <c r="C2792" t="s">
        <v>195</v>
      </c>
      <c r="D2792" t="s">
        <v>85</v>
      </c>
      <c r="E2792" t="s">
        <v>86</v>
      </c>
      <c r="F2792" t="s">
        <v>58</v>
      </c>
      <c r="G2792" t="s">
        <v>59</v>
      </c>
      <c r="H2792" t="s">
        <v>60</v>
      </c>
      <c r="I2792" t="s">
        <v>129</v>
      </c>
      <c r="J2792" t="s">
        <v>86</v>
      </c>
      <c r="L2792" t="s">
        <v>62</v>
      </c>
      <c r="M2792" t="s">
        <v>63</v>
      </c>
      <c r="N2792" t="s">
        <v>64</v>
      </c>
      <c r="O2792">
        <v>5</v>
      </c>
      <c r="P2792" t="s">
        <v>201</v>
      </c>
      <c r="R2792">
        <v>48</v>
      </c>
      <c r="W2792" t="s">
        <v>66</v>
      </c>
      <c r="X2792" t="s">
        <v>67</v>
      </c>
      <c r="Y2792" t="s">
        <v>67</v>
      </c>
      <c r="Z2792" t="s">
        <v>68</v>
      </c>
      <c r="AB2792">
        <v>4</v>
      </c>
      <c r="AC2792" t="s">
        <v>61</v>
      </c>
      <c r="AJ2792" t="s">
        <v>69</v>
      </c>
      <c r="AY2792" t="s">
        <v>298</v>
      </c>
      <c r="AZ2792">
        <v>11951</v>
      </c>
      <c r="BA2792" t="s">
        <v>299</v>
      </c>
      <c r="BB2792" t="s">
        <v>300</v>
      </c>
      <c r="BC2792">
        <v>1986</v>
      </c>
      <c r="BD2792" t="s">
        <v>90</v>
      </c>
    </row>
    <row r="2793" spans="1:56" x14ac:dyDescent="0.35">
      <c r="A2793">
        <v>7646857</v>
      </c>
      <c r="B2793" t="s">
        <v>2130</v>
      </c>
      <c r="D2793" t="s">
        <v>85</v>
      </c>
      <c r="E2793" t="s">
        <v>86</v>
      </c>
      <c r="F2793" t="s">
        <v>58</v>
      </c>
      <c r="G2793" t="s">
        <v>59</v>
      </c>
      <c r="H2793" t="s">
        <v>60</v>
      </c>
      <c r="J2793" t="s">
        <v>86</v>
      </c>
      <c r="L2793" t="s">
        <v>62</v>
      </c>
      <c r="M2793" t="s">
        <v>63</v>
      </c>
      <c r="N2793" t="s">
        <v>64</v>
      </c>
      <c r="O2793">
        <v>6</v>
      </c>
      <c r="P2793" t="s">
        <v>201</v>
      </c>
      <c r="R2793">
        <v>8.34</v>
      </c>
      <c r="T2793">
        <v>7.68</v>
      </c>
      <c r="V2793">
        <v>9.4700000000000006</v>
      </c>
      <c r="W2793" t="s">
        <v>66</v>
      </c>
      <c r="X2793" t="s">
        <v>67</v>
      </c>
      <c r="Y2793" t="s">
        <v>67</v>
      </c>
      <c r="Z2793" t="s">
        <v>68</v>
      </c>
      <c r="AB2793">
        <v>4</v>
      </c>
      <c r="AC2793" t="s">
        <v>61</v>
      </c>
      <c r="AJ2793" t="s">
        <v>69</v>
      </c>
      <c r="AY2793" t="s">
        <v>2127</v>
      </c>
      <c r="AZ2793">
        <v>150469</v>
      </c>
      <c r="BA2793" t="s">
        <v>2128</v>
      </c>
      <c r="BB2793" t="s">
        <v>2129</v>
      </c>
      <c r="BC2793">
        <v>1986</v>
      </c>
      <c r="BD2793" t="s">
        <v>90</v>
      </c>
    </row>
    <row r="2794" spans="1:56" x14ac:dyDescent="0.35">
      <c r="A2794">
        <v>7646857</v>
      </c>
      <c r="B2794" t="s">
        <v>2130</v>
      </c>
      <c r="C2794" t="s">
        <v>386</v>
      </c>
      <c r="D2794" t="s">
        <v>85</v>
      </c>
      <c r="E2794" t="s">
        <v>86</v>
      </c>
      <c r="F2794" t="s">
        <v>58</v>
      </c>
      <c r="G2794" t="s">
        <v>59</v>
      </c>
      <c r="H2794" t="s">
        <v>60</v>
      </c>
      <c r="J2794" t="s">
        <v>86</v>
      </c>
      <c r="L2794" t="s">
        <v>62</v>
      </c>
      <c r="M2794" t="s">
        <v>63</v>
      </c>
      <c r="N2794" t="s">
        <v>64</v>
      </c>
      <c r="P2794" t="s">
        <v>201</v>
      </c>
      <c r="R2794">
        <v>8.49</v>
      </c>
      <c r="T2794">
        <v>5.51</v>
      </c>
      <c r="V2794">
        <v>11.61</v>
      </c>
      <c r="W2794" t="s">
        <v>66</v>
      </c>
      <c r="X2794" t="s">
        <v>67</v>
      </c>
      <c r="Y2794" t="s">
        <v>67</v>
      </c>
      <c r="Z2794" t="s">
        <v>68</v>
      </c>
      <c r="AB2794">
        <v>4</v>
      </c>
      <c r="AC2794" t="s">
        <v>61</v>
      </c>
      <c r="AJ2794" t="s">
        <v>69</v>
      </c>
      <c r="AY2794" t="s">
        <v>2131</v>
      </c>
      <c r="AZ2794">
        <v>10237</v>
      </c>
      <c r="BA2794" t="s">
        <v>2132</v>
      </c>
      <c r="BB2794" t="s">
        <v>2133</v>
      </c>
      <c r="BC2794">
        <v>1983</v>
      </c>
      <c r="BD2794" t="s">
        <v>90</v>
      </c>
    </row>
    <row r="2795" spans="1:56" x14ac:dyDescent="0.35">
      <c r="A2795">
        <v>7646857</v>
      </c>
      <c r="B2795" t="s">
        <v>2130</v>
      </c>
      <c r="D2795" t="s">
        <v>85</v>
      </c>
      <c r="E2795" t="s">
        <v>86</v>
      </c>
      <c r="F2795" t="s">
        <v>58</v>
      </c>
      <c r="G2795" t="s">
        <v>59</v>
      </c>
      <c r="H2795" t="s">
        <v>60</v>
      </c>
      <c r="J2795" t="s">
        <v>86</v>
      </c>
      <c r="L2795" t="s">
        <v>62</v>
      </c>
      <c r="M2795" t="s">
        <v>63</v>
      </c>
      <c r="N2795" t="s">
        <v>64</v>
      </c>
      <c r="O2795">
        <v>6</v>
      </c>
      <c r="P2795" t="s">
        <v>201</v>
      </c>
      <c r="R2795">
        <v>4.82</v>
      </c>
      <c r="T2795">
        <v>3.91</v>
      </c>
      <c r="V2795">
        <v>5.63</v>
      </c>
      <c r="W2795" t="s">
        <v>66</v>
      </c>
      <c r="X2795" t="s">
        <v>67</v>
      </c>
      <c r="Y2795" t="s">
        <v>67</v>
      </c>
      <c r="Z2795" t="s">
        <v>68</v>
      </c>
      <c r="AB2795">
        <v>4</v>
      </c>
      <c r="AC2795" t="s">
        <v>61</v>
      </c>
      <c r="AJ2795" t="s">
        <v>69</v>
      </c>
      <c r="AY2795" t="s">
        <v>2127</v>
      </c>
      <c r="AZ2795">
        <v>150469</v>
      </c>
      <c r="BA2795" t="s">
        <v>2128</v>
      </c>
      <c r="BB2795" t="s">
        <v>2129</v>
      </c>
      <c r="BC2795">
        <v>1986</v>
      </c>
      <c r="BD2795" t="s">
        <v>90</v>
      </c>
    </row>
    <row r="2796" spans="1:56" x14ac:dyDescent="0.35">
      <c r="A2796">
        <v>7646857</v>
      </c>
      <c r="B2796" t="s">
        <v>2130</v>
      </c>
      <c r="D2796" t="s">
        <v>85</v>
      </c>
      <c r="E2796" t="s">
        <v>86</v>
      </c>
      <c r="F2796" t="s">
        <v>58</v>
      </c>
      <c r="G2796" t="s">
        <v>59</v>
      </c>
      <c r="H2796" t="s">
        <v>60</v>
      </c>
      <c r="J2796" t="s">
        <v>86</v>
      </c>
      <c r="L2796" t="s">
        <v>62</v>
      </c>
      <c r="M2796" t="s">
        <v>63</v>
      </c>
      <c r="N2796" t="s">
        <v>64</v>
      </c>
      <c r="O2796">
        <v>6</v>
      </c>
      <c r="P2796" t="s">
        <v>201</v>
      </c>
      <c r="R2796">
        <v>6.73</v>
      </c>
      <c r="T2796">
        <v>5.54</v>
      </c>
      <c r="V2796">
        <v>7.95</v>
      </c>
      <c r="W2796" t="s">
        <v>66</v>
      </c>
      <c r="X2796" t="s">
        <v>67</v>
      </c>
      <c r="Y2796" t="s">
        <v>67</v>
      </c>
      <c r="Z2796" t="s">
        <v>68</v>
      </c>
      <c r="AB2796">
        <v>4</v>
      </c>
      <c r="AC2796" t="s">
        <v>61</v>
      </c>
      <c r="AJ2796" t="s">
        <v>69</v>
      </c>
      <c r="AY2796" t="s">
        <v>2127</v>
      </c>
      <c r="AZ2796">
        <v>150469</v>
      </c>
      <c r="BA2796" t="s">
        <v>2128</v>
      </c>
      <c r="BB2796" t="s">
        <v>2129</v>
      </c>
      <c r="BC2796">
        <v>1986</v>
      </c>
      <c r="BD2796" t="s">
        <v>90</v>
      </c>
    </row>
    <row r="2797" spans="1:56" x14ac:dyDescent="0.35">
      <c r="A2797">
        <v>7646857</v>
      </c>
      <c r="B2797" t="s">
        <v>2130</v>
      </c>
      <c r="D2797" t="s">
        <v>57</v>
      </c>
      <c r="E2797" t="s">
        <v>86</v>
      </c>
      <c r="F2797" t="s">
        <v>58</v>
      </c>
      <c r="G2797" t="s">
        <v>59</v>
      </c>
      <c r="H2797" t="s">
        <v>60</v>
      </c>
      <c r="J2797" t="s">
        <v>289</v>
      </c>
      <c r="K2797" t="s">
        <v>184</v>
      </c>
      <c r="L2797" t="s">
        <v>62</v>
      </c>
      <c r="M2797" t="s">
        <v>63</v>
      </c>
      <c r="N2797" t="s">
        <v>64</v>
      </c>
      <c r="P2797" t="s">
        <v>1296</v>
      </c>
      <c r="R2797">
        <v>0.55000000000000004</v>
      </c>
      <c r="T2797">
        <v>0.45100000000000001</v>
      </c>
      <c r="V2797">
        <v>0.67200000000000004</v>
      </c>
      <c r="W2797" t="s">
        <v>66</v>
      </c>
      <c r="X2797" t="s">
        <v>67</v>
      </c>
      <c r="Y2797" t="s">
        <v>67</v>
      </c>
      <c r="Z2797" t="s">
        <v>68</v>
      </c>
      <c r="AB2797">
        <v>4</v>
      </c>
      <c r="AC2797" t="s">
        <v>61</v>
      </c>
      <c r="AJ2797" t="s">
        <v>69</v>
      </c>
      <c r="AQ2797" t="s">
        <v>69</v>
      </c>
      <c r="AY2797" t="s">
        <v>1691</v>
      </c>
      <c r="AZ2797">
        <v>2124</v>
      </c>
      <c r="BA2797" t="s">
        <v>2134</v>
      </c>
      <c r="BB2797" t="s">
        <v>2135</v>
      </c>
      <c r="BC2797">
        <v>1986</v>
      </c>
      <c r="BD2797" t="s">
        <v>2136</v>
      </c>
    </row>
    <row r="2798" spans="1:56" x14ac:dyDescent="0.35">
      <c r="A2798">
        <v>7646857</v>
      </c>
      <c r="B2798" t="s">
        <v>2130</v>
      </c>
      <c r="D2798" t="s">
        <v>85</v>
      </c>
      <c r="E2798" t="s">
        <v>86</v>
      </c>
      <c r="F2798" t="s">
        <v>58</v>
      </c>
      <c r="G2798" t="s">
        <v>59</v>
      </c>
      <c r="H2798" t="s">
        <v>60</v>
      </c>
      <c r="I2798" t="s">
        <v>1469</v>
      </c>
      <c r="J2798" t="s">
        <v>289</v>
      </c>
      <c r="K2798" t="s">
        <v>184</v>
      </c>
      <c r="L2798" t="s">
        <v>62</v>
      </c>
      <c r="M2798" t="s">
        <v>63</v>
      </c>
      <c r="N2798" t="s">
        <v>64</v>
      </c>
      <c r="P2798" t="s">
        <v>201</v>
      </c>
      <c r="R2798">
        <v>43.7</v>
      </c>
      <c r="W2798" t="s">
        <v>66</v>
      </c>
      <c r="X2798" t="s">
        <v>67</v>
      </c>
      <c r="Y2798" t="s">
        <v>67</v>
      </c>
      <c r="Z2798" t="s">
        <v>68</v>
      </c>
      <c r="AB2798">
        <v>4</v>
      </c>
      <c r="AC2798" t="s">
        <v>61</v>
      </c>
      <c r="AJ2798" t="s">
        <v>69</v>
      </c>
      <c r="AY2798" t="s">
        <v>1474</v>
      </c>
      <c r="AZ2798">
        <v>9180</v>
      </c>
      <c r="BA2798" t="s">
        <v>1475</v>
      </c>
      <c r="BB2798" t="s">
        <v>1476</v>
      </c>
      <c r="BC2798">
        <v>1992</v>
      </c>
      <c r="BD2798" t="s">
        <v>185</v>
      </c>
    </row>
    <row r="2799" spans="1:56" x14ac:dyDescent="0.35">
      <c r="A2799">
        <v>7646857</v>
      </c>
      <c r="B2799" t="s">
        <v>2130</v>
      </c>
      <c r="D2799" t="s">
        <v>57</v>
      </c>
      <c r="E2799" t="s">
        <v>86</v>
      </c>
      <c r="F2799" t="s">
        <v>58</v>
      </c>
      <c r="G2799" t="s">
        <v>59</v>
      </c>
      <c r="H2799" t="s">
        <v>60</v>
      </c>
      <c r="I2799" t="s">
        <v>1469</v>
      </c>
      <c r="J2799" t="s">
        <v>289</v>
      </c>
      <c r="K2799" t="s">
        <v>184</v>
      </c>
      <c r="L2799" t="s">
        <v>62</v>
      </c>
      <c r="M2799" t="s">
        <v>63</v>
      </c>
      <c r="N2799" t="s">
        <v>64</v>
      </c>
      <c r="P2799" t="s">
        <v>1296</v>
      </c>
      <c r="R2799">
        <v>50.2</v>
      </c>
      <c r="W2799" t="s">
        <v>66</v>
      </c>
      <c r="X2799" t="s">
        <v>67</v>
      </c>
      <c r="Y2799" t="s">
        <v>67</v>
      </c>
      <c r="Z2799" t="s">
        <v>68</v>
      </c>
      <c r="AB2799">
        <v>4</v>
      </c>
      <c r="AC2799" t="s">
        <v>61</v>
      </c>
      <c r="AJ2799" t="s">
        <v>69</v>
      </c>
      <c r="AY2799" t="s">
        <v>1474</v>
      </c>
      <c r="AZ2799">
        <v>9180</v>
      </c>
      <c r="BA2799" t="s">
        <v>1475</v>
      </c>
      <c r="BB2799" t="s">
        <v>1476</v>
      </c>
      <c r="BC2799">
        <v>1992</v>
      </c>
      <c r="BD2799" t="s">
        <v>185</v>
      </c>
    </row>
    <row r="2800" spans="1:56" x14ac:dyDescent="0.35">
      <c r="A2800">
        <v>7646857</v>
      </c>
      <c r="B2800" t="s">
        <v>2130</v>
      </c>
      <c r="D2800" t="s">
        <v>85</v>
      </c>
      <c r="E2800" t="s">
        <v>86</v>
      </c>
      <c r="F2800" t="s">
        <v>58</v>
      </c>
      <c r="G2800" t="s">
        <v>59</v>
      </c>
      <c r="H2800" t="s">
        <v>60</v>
      </c>
      <c r="J2800" t="s">
        <v>86</v>
      </c>
      <c r="L2800" t="s">
        <v>62</v>
      </c>
      <c r="M2800" t="s">
        <v>63</v>
      </c>
      <c r="N2800" t="s">
        <v>64</v>
      </c>
      <c r="O2800">
        <v>6</v>
      </c>
      <c r="P2800" t="s">
        <v>201</v>
      </c>
      <c r="R2800">
        <v>6.12</v>
      </c>
      <c r="T2800">
        <v>5.27</v>
      </c>
      <c r="V2800">
        <v>6.87</v>
      </c>
      <c r="W2800" t="s">
        <v>66</v>
      </c>
      <c r="X2800" t="s">
        <v>67</v>
      </c>
      <c r="Y2800" t="s">
        <v>67</v>
      </c>
      <c r="Z2800" t="s">
        <v>68</v>
      </c>
      <c r="AB2800">
        <v>4</v>
      </c>
      <c r="AC2800" t="s">
        <v>61</v>
      </c>
      <c r="AJ2800" t="s">
        <v>69</v>
      </c>
      <c r="AY2800" t="s">
        <v>2127</v>
      </c>
      <c r="AZ2800">
        <v>150469</v>
      </c>
      <c r="BA2800" t="s">
        <v>2128</v>
      </c>
      <c r="BB2800" t="s">
        <v>2129</v>
      </c>
      <c r="BC2800">
        <v>1986</v>
      </c>
      <c r="BD2800" t="s">
        <v>90</v>
      </c>
    </row>
    <row r="2801" spans="1:56" x14ac:dyDescent="0.35">
      <c r="A2801">
        <v>7646857</v>
      </c>
      <c r="B2801" t="s">
        <v>2130</v>
      </c>
      <c r="D2801" t="s">
        <v>85</v>
      </c>
      <c r="E2801" t="s">
        <v>86</v>
      </c>
      <c r="F2801" t="s">
        <v>58</v>
      </c>
      <c r="G2801" t="s">
        <v>59</v>
      </c>
      <c r="H2801" t="s">
        <v>60</v>
      </c>
      <c r="J2801" t="s">
        <v>86</v>
      </c>
      <c r="L2801" t="s">
        <v>62</v>
      </c>
      <c r="M2801" t="s">
        <v>63</v>
      </c>
      <c r="N2801" t="s">
        <v>64</v>
      </c>
      <c r="O2801">
        <v>6</v>
      </c>
      <c r="P2801" t="s">
        <v>201</v>
      </c>
      <c r="R2801">
        <v>7.14</v>
      </c>
      <c r="T2801">
        <v>5.89</v>
      </c>
      <c r="V2801">
        <v>8.3800000000000008</v>
      </c>
      <c r="W2801" t="s">
        <v>66</v>
      </c>
      <c r="X2801" t="s">
        <v>67</v>
      </c>
      <c r="Y2801" t="s">
        <v>67</v>
      </c>
      <c r="Z2801" t="s">
        <v>68</v>
      </c>
      <c r="AB2801">
        <v>4</v>
      </c>
      <c r="AC2801" t="s">
        <v>61</v>
      </c>
      <c r="AJ2801" t="s">
        <v>69</v>
      </c>
      <c r="AY2801" t="s">
        <v>2127</v>
      </c>
      <c r="AZ2801">
        <v>150469</v>
      </c>
      <c r="BA2801" t="s">
        <v>2128</v>
      </c>
      <c r="BB2801" t="s">
        <v>2129</v>
      </c>
      <c r="BC2801">
        <v>1986</v>
      </c>
      <c r="BD2801" t="s">
        <v>90</v>
      </c>
    </row>
    <row r="2802" spans="1:56" x14ac:dyDescent="0.35">
      <c r="A2802">
        <v>7646857</v>
      </c>
      <c r="B2802" t="s">
        <v>2130</v>
      </c>
      <c r="D2802" t="s">
        <v>85</v>
      </c>
      <c r="E2802" t="s">
        <v>86</v>
      </c>
      <c r="F2802" t="s">
        <v>58</v>
      </c>
      <c r="G2802" t="s">
        <v>59</v>
      </c>
      <c r="H2802" t="s">
        <v>60</v>
      </c>
      <c r="J2802" t="s">
        <v>86</v>
      </c>
      <c r="L2802" t="s">
        <v>62</v>
      </c>
      <c r="M2802" t="s">
        <v>63</v>
      </c>
      <c r="N2802" t="s">
        <v>64</v>
      </c>
      <c r="O2802">
        <v>6</v>
      </c>
      <c r="P2802" t="s">
        <v>201</v>
      </c>
      <c r="R2802">
        <v>6.23</v>
      </c>
      <c r="T2802">
        <v>5.23</v>
      </c>
      <c r="V2802">
        <v>7.06</v>
      </c>
      <c r="W2802" t="s">
        <v>66</v>
      </c>
      <c r="X2802" t="s">
        <v>67</v>
      </c>
      <c r="Y2802" t="s">
        <v>67</v>
      </c>
      <c r="Z2802" t="s">
        <v>68</v>
      </c>
      <c r="AB2802">
        <v>4</v>
      </c>
      <c r="AC2802" t="s">
        <v>61</v>
      </c>
      <c r="AJ2802" t="s">
        <v>69</v>
      </c>
      <c r="AY2802" t="s">
        <v>2127</v>
      </c>
      <c r="AZ2802">
        <v>150469</v>
      </c>
      <c r="BA2802" t="s">
        <v>2128</v>
      </c>
      <c r="BB2802" t="s">
        <v>2129</v>
      </c>
      <c r="BC2802">
        <v>1986</v>
      </c>
      <c r="BD2802" t="s">
        <v>90</v>
      </c>
    </row>
    <row r="2803" spans="1:56" x14ac:dyDescent="0.35">
      <c r="A2803">
        <v>7646857</v>
      </c>
      <c r="B2803" t="s">
        <v>2130</v>
      </c>
      <c r="D2803" t="s">
        <v>85</v>
      </c>
      <c r="E2803" t="s">
        <v>86</v>
      </c>
      <c r="F2803" t="s">
        <v>58</v>
      </c>
      <c r="G2803" t="s">
        <v>59</v>
      </c>
      <c r="H2803" t="s">
        <v>60</v>
      </c>
      <c r="J2803" t="s">
        <v>86</v>
      </c>
      <c r="L2803" t="s">
        <v>62</v>
      </c>
      <c r="M2803" t="s">
        <v>63</v>
      </c>
      <c r="N2803" t="s">
        <v>64</v>
      </c>
      <c r="O2803">
        <v>6</v>
      </c>
      <c r="P2803" t="s">
        <v>201</v>
      </c>
      <c r="R2803">
        <v>6.6</v>
      </c>
      <c r="T2803">
        <v>5.83</v>
      </c>
      <c r="V2803">
        <v>7.2</v>
      </c>
      <c r="W2803" t="s">
        <v>66</v>
      </c>
      <c r="X2803" t="s">
        <v>67</v>
      </c>
      <c r="Y2803" t="s">
        <v>67</v>
      </c>
      <c r="Z2803" t="s">
        <v>68</v>
      </c>
      <c r="AB2803">
        <v>4</v>
      </c>
      <c r="AC2803" t="s">
        <v>61</v>
      </c>
      <c r="AJ2803" t="s">
        <v>69</v>
      </c>
      <c r="AY2803" t="s">
        <v>2127</v>
      </c>
      <c r="AZ2803">
        <v>150469</v>
      </c>
      <c r="BA2803" t="s">
        <v>2128</v>
      </c>
      <c r="BB2803" t="s">
        <v>2129</v>
      </c>
      <c r="BC2803">
        <v>1986</v>
      </c>
      <c r="BD2803" t="s">
        <v>90</v>
      </c>
    </row>
    <row r="2804" spans="1:56" x14ac:dyDescent="0.35">
      <c r="A2804">
        <v>7646857</v>
      </c>
      <c r="B2804" t="s">
        <v>2130</v>
      </c>
      <c r="C2804" t="s">
        <v>386</v>
      </c>
      <c r="D2804" t="s">
        <v>85</v>
      </c>
      <c r="E2804" t="s">
        <v>86</v>
      </c>
      <c r="F2804" t="s">
        <v>58</v>
      </c>
      <c r="G2804" t="s">
        <v>59</v>
      </c>
      <c r="H2804" t="s">
        <v>60</v>
      </c>
      <c r="J2804" t="s">
        <v>86</v>
      </c>
      <c r="L2804" t="s">
        <v>62</v>
      </c>
      <c r="M2804" t="s">
        <v>63</v>
      </c>
      <c r="N2804" t="s">
        <v>64</v>
      </c>
      <c r="P2804" t="s">
        <v>201</v>
      </c>
      <c r="R2804">
        <v>6.14</v>
      </c>
      <c r="T2804">
        <v>5.48</v>
      </c>
      <c r="V2804">
        <v>6.98</v>
      </c>
      <c r="W2804" t="s">
        <v>66</v>
      </c>
      <c r="X2804" t="s">
        <v>67</v>
      </c>
      <c r="Y2804" t="s">
        <v>67</v>
      </c>
      <c r="Z2804" t="s">
        <v>68</v>
      </c>
      <c r="AB2804">
        <v>4</v>
      </c>
      <c r="AC2804" t="s">
        <v>61</v>
      </c>
      <c r="AJ2804" t="s">
        <v>69</v>
      </c>
      <c r="AY2804" t="s">
        <v>2131</v>
      </c>
      <c r="AZ2804">
        <v>10237</v>
      </c>
      <c r="BA2804" t="s">
        <v>2132</v>
      </c>
      <c r="BB2804" t="s">
        <v>2133</v>
      </c>
      <c r="BC2804">
        <v>1983</v>
      </c>
      <c r="BD2804" t="s">
        <v>90</v>
      </c>
    </row>
    <row r="2805" spans="1:56" x14ac:dyDescent="0.35">
      <c r="A2805">
        <v>7646857</v>
      </c>
      <c r="B2805" t="s">
        <v>2130</v>
      </c>
      <c r="D2805" t="s">
        <v>57</v>
      </c>
      <c r="E2805" t="s">
        <v>86</v>
      </c>
      <c r="F2805" t="s">
        <v>58</v>
      </c>
      <c r="G2805" t="s">
        <v>59</v>
      </c>
      <c r="H2805" t="s">
        <v>60</v>
      </c>
      <c r="I2805" t="s">
        <v>1469</v>
      </c>
      <c r="J2805" t="s">
        <v>289</v>
      </c>
      <c r="K2805" t="s">
        <v>184</v>
      </c>
      <c r="L2805" t="s">
        <v>62</v>
      </c>
      <c r="M2805" t="s">
        <v>63</v>
      </c>
      <c r="N2805" t="s">
        <v>64</v>
      </c>
      <c r="P2805" t="s">
        <v>1296</v>
      </c>
      <c r="R2805">
        <v>2.58</v>
      </c>
      <c r="W2805" t="s">
        <v>66</v>
      </c>
      <c r="X2805" t="s">
        <v>67</v>
      </c>
      <c r="Y2805" t="s">
        <v>67</v>
      </c>
      <c r="Z2805" t="s">
        <v>68</v>
      </c>
      <c r="AB2805">
        <v>4</v>
      </c>
      <c r="AC2805" t="s">
        <v>61</v>
      </c>
      <c r="AJ2805" t="s">
        <v>69</v>
      </c>
      <c r="AY2805" t="s">
        <v>1474</v>
      </c>
      <c r="AZ2805">
        <v>9180</v>
      </c>
      <c r="BA2805" t="s">
        <v>1475</v>
      </c>
      <c r="BB2805" t="s">
        <v>1476</v>
      </c>
      <c r="BC2805">
        <v>1992</v>
      </c>
      <c r="BD2805" t="s">
        <v>185</v>
      </c>
    </row>
    <row r="2806" spans="1:56" x14ac:dyDescent="0.35">
      <c r="A2806">
        <v>7646857</v>
      </c>
      <c r="B2806" t="s">
        <v>2130</v>
      </c>
      <c r="D2806" t="s">
        <v>57</v>
      </c>
      <c r="E2806" t="s">
        <v>86</v>
      </c>
      <c r="F2806" t="s">
        <v>58</v>
      </c>
      <c r="G2806" t="s">
        <v>59</v>
      </c>
      <c r="H2806" t="s">
        <v>60</v>
      </c>
      <c r="I2806" t="s">
        <v>211</v>
      </c>
      <c r="J2806" t="s">
        <v>86</v>
      </c>
      <c r="L2806" t="s">
        <v>62</v>
      </c>
      <c r="M2806" t="s">
        <v>63</v>
      </c>
      <c r="N2806" t="s">
        <v>64</v>
      </c>
      <c r="P2806" t="s">
        <v>201</v>
      </c>
      <c r="R2806">
        <v>6.09</v>
      </c>
      <c r="T2806">
        <v>5.57</v>
      </c>
      <c r="V2806">
        <v>6.45</v>
      </c>
      <c r="W2806" t="s">
        <v>66</v>
      </c>
      <c r="X2806" t="s">
        <v>67</v>
      </c>
      <c r="Y2806" t="s">
        <v>67</v>
      </c>
      <c r="Z2806" t="s">
        <v>68</v>
      </c>
      <c r="AB2806">
        <v>4</v>
      </c>
      <c r="AC2806" t="s">
        <v>61</v>
      </c>
      <c r="AJ2806" t="s">
        <v>69</v>
      </c>
      <c r="AY2806" t="s">
        <v>2137</v>
      </c>
      <c r="AZ2806">
        <v>10551</v>
      </c>
      <c r="BA2806" t="s">
        <v>2138</v>
      </c>
      <c r="BB2806" t="s">
        <v>2139</v>
      </c>
      <c r="BC2806">
        <v>1983</v>
      </c>
      <c r="BD2806" t="s">
        <v>90</v>
      </c>
    </row>
    <row r="2807" spans="1:56" x14ac:dyDescent="0.35">
      <c r="A2807">
        <v>7646857</v>
      </c>
      <c r="B2807" t="s">
        <v>2130</v>
      </c>
      <c r="D2807" t="s">
        <v>57</v>
      </c>
      <c r="E2807">
        <v>95.6</v>
      </c>
      <c r="F2807" t="s">
        <v>58</v>
      </c>
      <c r="G2807" t="s">
        <v>59</v>
      </c>
      <c r="H2807" t="s">
        <v>60</v>
      </c>
      <c r="I2807" t="s">
        <v>177</v>
      </c>
      <c r="J2807">
        <v>5</v>
      </c>
      <c r="K2807" t="s">
        <v>61</v>
      </c>
      <c r="L2807" t="s">
        <v>62</v>
      </c>
      <c r="M2807" t="s">
        <v>63</v>
      </c>
      <c r="N2807" t="s">
        <v>64</v>
      </c>
      <c r="O2807">
        <v>7</v>
      </c>
      <c r="P2807" t="s">
        <v>1296</v>
      </c>
      <c r="R2807">
        <v>0.4</v>
      </c>
      <c r="T2807">
        <v>0.31</v>
      </c>
      <c r="V2807">
        <v>0.5</v>
      </c>
      <c r="W2807" t="s">
        <v>66</v>
      </c>
      <c r="X2807" t="s">
        <v>67</v>
      </c>
      <c r="Y2807" t="s">
        <v>67</v>
      </c>
      <c r="Z2807" t="s">
        <v>68</v>
      </c>
      <c r="AB2807">
        <v>4</v>
      </c>
      <c r="AC2807" t="s">
        <v>61</v>
      </c>
      <c r="AJ2807" t="s">
        <v>69</v>
      </c>
      <c r="AY2807" t="s">
        <v>2082</v>
      </c>
      <c r="AZ2807">
        <v>121067</v>
      </c>
      <c r="BA2807" t="s">
        <v>2083</v>
      </c>
      <c r="BB2807" t="s">
        <v>2084</v>
      </c>
      <c r="BC2807">
        <v>1982</v>
      </c>
      <c r="BD2807" t="s">
        <v>73</v>
      </c>
    </row>
    <row r="2808" spans="1:56" x14ac:dyDescent="0.35">
      <c r="A2808">
        <v>7646857</v>
      </c>
      <c r="B2808" t="s">
        <v>2130</v>
      </c>
      <c r="D2808" t="s">
        <v>57</v>
      </c>
      <c r="E2808" t="s">
        <v>86</v>
      </c>
      <c r="F2808" t="s">
        <v>58</v>
      </c>
      <c r="G2808" t="s">
        <v>59</v>
      </c>
      <c r="H2808" t="s">
        <v>60</v>
      </c>
      <c r="I2808" t="s">
        <v>1469</v>
      </c>
      <c r="J2808" t="s">
        <v>289</v>
      </c>
      <c r="K2808" t="s">
        <v>184</v>
      </c>
      <c r="L2808" t="s">
        <v>62</v>
      </c>
      <c r="M2808" t="s">
        <v>63</v>
      </c>
      <c r="N2808" t="s">
        <v>64</v>
      </c>
      <c r="P2808" t="s">
        <v>201</v>
      </c>
      <c r="R2808">
        <v>38.1</v>
      </c>
      <c r="W2808" t="s">
        <v>66</v>
      </c>
      <c r="X2808" t="s">
        <v>67</v>
      </c>
      <c r="Y2808" t="s">
        <v>67</v>
      </c>
      <c r="Z2808" t="s">
        <v>68</v>
      </c>
      <c r="AB2808">
        <v>4</v>
      </c>
      <c r="AC2808" t="s">
        <v>61</v>
      </c>
      <c r="AJ2808" t="s">
        <v>69</v>
      </c>
      <c r="AY2808" t="s">
        <v>1474</v>
      </c>
      <c r="AZ2808">
        <v>9180</v>
      </c>
      <c r="BA2808" t="s">
        <v>1475</v>
      </c>
      <c r="BB2808" t="s">
        <v>1476</v>
      </c>
      <c r="BC2808">
        <v>1992</v>
      </c>
      <c r="BD2808" t="s">
        <v>185</v>
      </c>
    </row>
    <row r="2809" spans="1:56" x14ac:dyDescent="0.35">
      <c r="A2809">
        <v>7646857</v>
      </c>
      <c r="B2809" t="s">
        <v>2130</v>
      </c>
      <c r="C2809" t="s">
        <v>386</v>
      </c>
      <c r="D2809" t="s">
        <v>85</v>
      </c>
      <c r="E2809" t="s">
        <v>86</v>
      </c>
      <c r="F2809" t="s">
        <v>58</v>
      </c>
      <c r="G2809" t="s">
        <v>59</v>
      </c>
      <c r="H2809" t="s">
        <v>60</v>
      </c>
      <c r="J2809" t="s">
        <v>86</v>
      </c>
      <c r="L2809" t="s">
        <v>62</v>
      </c>
      <c r="M2809" t="s">
        <v>63</v>
      </c>
      <c r="N2809" t="s">
        <v>64</v>
      </c>
      <c r="P2809" t="s">
        <v>201</v>
      </c>
      <c r="R2809">
        <v>5.96</v>
      </c>
      <c r="T2809">
        <v>4.16</v>
      </c>
      <c r="V2809">
        <v>7.84</v>
      </c>
      <c r="W2809" t="s">
        <v>66</v>
      </c>
      <c r="X2809" t="s">
        <v>67</v>
      </c>
      <c r="Y2809" t="s">
        <v>67</v>
      </c>
      <c r="Z2809" t="s">
        <v>68</v>
      </c>
      <c r="AB2809">
        <v>4</v>
      </c>
      <c r="AC2809" t="s">
        <v>61</v>
      </c>
      <c r="AJ2809" t="s">
        <v>69</v>
      </c>
      <c r="AY2809" t="s">
        <v>2131</v>
      </c>
      <c r="AZ2809">
        <v>10237</v>
      </c>
      <c r="BA2809" t="s">
        <v>2132</v>
      </c>
      <c r="BB2809" t="s">
        <v>2133</v>
      </c>
      <c r="BC2809">
        <v>1983</v>
      </c>
      <c r="BD2809" t="s">
        <v>90</v>
      </c>
    </row>
    <row r="2810" spans="1:56" x14ac:dyDescent="0.35">
      <c r="A2810">
        <v>7646857</v>
      </c>
      <c r="B2810" t="s">
        <v>2130</v>
      </c>
      <c r="C2810" t="s">
        <v>195</v>
      </c>
      <c r="D2810" t="s">
        <v>57</v>
      </c>
      <c r="E2810" t="s">
        <v>86</v>
      </c>
      <c r="F2810" t="s">
        <v>58</v>
      </c>
      <c r="G2810" t="s">
        <v>59</v>
      </c>
      <c r="H2810" t="s">
        <v>60</v>
      </c>
      <c r="I2810" t="s">
        <v>1469</v>
      </c>
      <c r="J2810" t="s">
        <v>289</v>
      </c>
      <c r="K2810" t="s">
        <v>184</v>
      </c>
      <c r="L2810" t="s">
        <v>62</v>
      </c>
      <c r="M2810" t="s">
        <v>63</v>
      </c>
      <c r="N2810" t="s">
        <v>64</v>
      </c>
      <c r="O2810" t="s">
        <v>1470</v>
      </c>
      <c r="P2810" t="s">
        <v>1296</v>
      </c>
      <c r="R2810">
        <v>2.58</v>
      </c>
      <c r="W2810" t="s">
        <v>66</v>
      </c>
      <c r="X2810" t="s">
        <v>67</v>
      </c>
      <c r="Y2810" t="s">
        <v>67</v>
      </c>
      <c r="Z2810" t="s">
        <v>68</v>
      </c>
      <c r="AB2810">
        <v>4</v>
      </c>
      <c r="AC2810" t="s">
        <v>61</v>
      </c>
      <c r="AJ2810" t="s">
        <v>69</v>
      </c>
      <c r="AY2810" t="s">
        <v>1471</v>
      </c>
      <c r="AZ2810">
        <v>76100</v>
      </c>
      <c r="BA2810" t="s">
        <v>1472</v>
      </c>
      <c r="BB2810" t="s">
        <v>1473</v>
      </c>
      <c r="BC2810">
        <v>1998</v>
      </c>
      <c r="BD2810" t="s">
        <v>185</v>
      </c>
    </row>
    <row r="2811" spans="1:56" x14ac:dyDescent="0.35">
      <c r="A2811">
        <v>7646857</v>
      </c>
      <c r="B2811" t="s">
        <v>2130</v>
      </c>
      <c r="D2811" t="s">
        <v>57</v>
      </c>
      <c r="E2811">
        <v>95.6</v>
      </c>
      <c r="F2811" t="s">
        <v>58</v>
      </c>
      <c r="G2811" t="s">
        <v>59</v>
      </c>
      <c r="H2811" t="s">
        <v>60</v>
      </c>
      <c r="I2811" t="s">
        <v>177</v>
      </c>
      <c r="J2811" t="s">
        <v>86</v>
      </c>
      <c r="L2811" t="s">
        <v>62</v>
      </c>
      <c r="M2811" t="s">
        <v>63</v>
      </c>
      <c r="N2811" t="s">
        <v>64</v>
      </c>
      <c r="O2811">
        <v>7</v>
      </c>
      <c r="P2811" t="s">
        <v>1296</v>
      </c>
      <c r="R2811">
        <v>0.26</v>
      </c>
      <c r="T2811">
        <v>0.16</v>
      </c>
      <c r="V2811">
        <v>0.43</v>
      </c>
      <c r="W2811" t="s">
        <v>66</v>
      </c>
      <c r="X2811" t="s">
        <v>67</v>
      </c>
      <c r="Y2811" t="s">
        <v>67</v>
      </c>
      <c r="Z2811" t="s">
        <v>68</v>
      </c>
      <c r="AB2811">
        <v>4</v>
      </c>
      <c r="AC2811" t="s">
        <v>61</v>
      </c>
      <c r="AJ2811" t="s">
        <v>69</v>
      </c>
      <c r="AY2811" t="s">
        <v>2082</v>
      </c>
      <c r="AZ2811">
        <v>121067</v>
      </c>
      <c r="BA2811" t="s">
        <v>2083</v>
      </c>
      <c r="BB2811" t="s">
        <v>2084</v>
      </c>
      <c r="BC2811">
        <v>1982</v>
      </c>
      <c r="BD2811" t="s">
        <v>90</v>
      </c>
    </row>
    <row r="2812" spans="1:56" x14ac:dyDescent="0.35">
      <c r="A2812">
        <v>7646857</v>
      </c>
      <c r="B2812" t="s">
        <v>2130</v>
      </c>
      <c r="D2812" t="s">
        <v>85</v>
      </c>
      <c r="E2812" t="s">
        <v>86</v>
      </c>
      <c r="F2812" t="s">
        <v>58</v>
      </c>
      <c r="G2812" t="s">
        <v>59</v>
      </c>
      <c r="H2812" t="s">
        <v>60</v>
      </c>
      <c r="J2812" t="s">
        <v>86</v>
      </c>
      <c r="L2812" t="s">
        <v>62</v>
      </c>
      <c r="M2812" t="s">
        <v>63</v>
      </c>
      <c r="N2812" t="s">
        <v>64</v>
      </c>
      <c r="O2812">
        <v>6</v>
      </c>
      <c r="P2812" t="s">
        <v>201</v>
      </c>
      <c r="R2812">
        <v>6.71</v>
      </c>
      <c r="T2812">
        <v>5.43</v>
      </c>
      <c r="V2812">
        <v>7.96</v>
      </c>
      <c r="W2812" t="s">
        <v>66</v>
      </c>
      <c r="X2812" t="s">
        <v>67</v>
      </c>
      <c r="Y2812" t="s">
        <v>67</v>
      </c>
      <c r="Z2812" t="s">
        <v>68</v>
      </c>
      <c r="AB2812">
        <v>4</v>
      </c>
      <c r="AC2812" t="s">
        <v>61</v>
      </c>
      <c r="AJ2812" t="s">
        <v>69</v>
      </c>
      <c r="AY2812" t="s">
        <v>2127</v>
      </c>
      <c r="AZ2812">
        <v>150469</v>
      </c>
      <c r="BA2812" t="s">
        <v>2128</v>
      </c>
      <c r="BB2812" t="s">
        <v>2129</v>
      </c>
      <c r="BC2812">
        <v>1986</v>
      </c>
      <c r="BD2812" t="s">
        <v>90</v>
      </c>
    </row>
    <row r="2813" spans="1:56" x14ac:dyDescent="0.35">
      <c r="A2813">
        <v>7646857</v>
      </c>
      <c r="B2813" t="s">
        <v>2130</v>
      </c>
      <c r="D2813" t="s">
        <v>57</v>
      </c>
      <c r="E2813" t="s">
        <v>86</v>
      </c>
      <c r="F2813" t="s">
        <v>58</v>
      </c>
      <c r="G2813" t="s">
        <v>59</v>
      </c>
      <c r="H2813" t="s">
        <v>60</v>
      </c>
      <c r="I2813" t="s">
        <v>211</v>
      </c>
      <c r="J2813" t="s">
        <v>86</v>
      </c>
      <c r="L2813" t="s">
        <v>62</v>
      </c>
      <c r="M2813" t="s">
        <v>63</v>
      </c>
      <c r="N2813" t="s">
        <v>64</v>
      </c>
      <c r="P2813" t="s">
        <v>201</v>
      </c>
      <c r="R2813">
        <v>7.45</v>
      </c>
      <c r="T2813">
        <v>6.67</v>
      </c>
      <c r="V2813">
        <v>9.89</v>
      </c>
      <c r="W2813" t="s">
        <v>66</v>
      </c>
      <c r="X2813" t="s">
        <v>67</v>
      </c>
      <c r="Y2813" t="s">
        <v>67</v>
      </c>
      <c r="Z2813" t="s">
        <v>68</v>
      </c>
      <c r="AB2813">
        <v>4</v>
      </c>
      <c r="AC2813" t="s">
        <v>61</v>
      </c>
      <c r="AJ2813" t="s">
        <v>69</v>
      </c>
      <c r="AY2813" t="s">
        <v>2137</v>
      </c>
      <c r="AZ2813">
        <v>10551</v>
      </c>
      <c r="BA2813" t="s">
        <v>2138</v>
      </c>
      <c r="BB2813" t="s">
        <v>2139</v>
      </c>
      <c r="BC2813">
        <v>1983</v>
      </c>
      <c r="BD2813" t="s">
        <v>90</v>
      </c>
    </row>
    <row r="2814" spans="1:56" x14ac:dyDescent="0.35">
      <c r="A2814">
        <v>7646857</v>
      </c>
      <c r="B2814" t="s">
        <v>2130</v>
      </c>
      <c r="C2814" t="s">
        <v>195</v>
      </c>
      <c r="D2814" t="s">
        <v>57</v>
      </c>
      <c r="E2814" t="s">
        <v>86</v>
      </c>
      <c r="F2814" t="s">
        <v>58</v>
      </c>
      <c r="G2814" t="s">
        <v>59</v>
      </c>
      <c r="H2814" t="s">
        <v>60</v>
      </c>
      <c r="I2814" t="s">
        <v>1469</v>
      </c>
      <c r="J2814" t="s">
        <v>289</v>
      </c>
      <c r="K2814" t="s">
        <v>184</v>
      </c>
      <c r="L2814" t="s">
        <v>62</v>
      </c>
      <c r="M2814" t="s">
        <v>63</v>
      </c>
      <c r="N2814" t="s">
        <v>64</v>
      </c>
      <c r="O2814" t="s">
        <v>1470</v>
      </c>
      <c r="P2814" t="s">
        <v>201</v>
      </c>
      <c r="R2814">
        <v>47.7</v>
      </c>
      <c r="W2814" t="s">
        <v>66</v>
      </c>
      <c r="X2814" t="s">
        <v>67</v>
      </c>
      <c r="Y2814" t="s">
        <v>67</v>
      </c>
      <c r="Z2814" t="s">
        <v>68</v>
      </c>
      <c r="AB2814">
        <v>4</v>
      </c>
      <c r="AC2814" t="s">
        <v>61</v>
      </c>
      <c r="AJ2814" t="s">
        <v>69</v>
      </c>
      <c r="AY2814" t="s">
        <v>1471</v>
      </c>
      <c r="AZ2814">
        <v>76100</v>
      </c>
      <c r="BA2814" t="s">
        <v>1472</v>
      </c>
      <c r="BB2814" t="s">
        <v>1473</v>
      </c>
      <c r="BC2814">
        <v>1998</v>
      </c>
      <c r="BD2814" t="s">
        <v>185</v>
      </c>
    </row>
    <row r="2815" spans="1:56" x14ac:dyDescent="0.35">
      <c r="A2815">
        <v>7646857</v>
      </c>
      <c r="B2815" t="s">
        <v>2130</v>
      </c>
      <c r="D2815" t="s">
        <v>57</v>
      </c>
      <c r="E2815" t="s">
        <v>86</v>
      </c>
      <c r="F2815" t="s">
        <v>58</v>
      </c>
      <c r="G2815" t="s">
        <v>59</v>
      </c>
      <c r="H2815" t="s">
        <v>60</v>
      </c>
      <c r="I2815" t="s">
        <v>1469</v>
      </c>
      <c r="J2815" t="s">
        <v>289</v>
      </c>
      <c r="K2815" t="s">
        <v>184</v>
      </c>
      <c r="L2815" t="s">
        <v>62</v>
      </c>
      <c r="M2815" t="s">
        <v>63</v>
      </c>
      <c r="N2815" t="s">
        <v>64</v>
      </c>
      <c r="P2815" t="s">
        <v>201</v>
      </c>
      <c r="R2815">
        <v>47.7</v>
      </c>
      <c r="W2815" t="s">
        <v>66</v>
      </c>
      <c r="X2815" t="s">
        <v>67</v>
      </c>
      <c r="Y2815" t="s">
        <v>67</v>
      </c>
      <c r="Z2815" t="s">
        <v>68</v>
      </c>
      <c r="AB2815">
        <v>4</v>
      </c>
      <c r="AC2815" t="s">
        <v>61</v>
      </c>
      <c r="AJ2815" t="s">
        <v>69</v>
      </c>
      <c r="AY2815" t="s">
        <v>1474</v>
      </c>
      <c r="AZ2815">
        <v>9180</v>
      </c>
      <c r="BA2815" t="s">
        <v>1475</v>
      </c>
      <c r="BB2815" t="s">
        <v>1476</v>
      </c>
      <c r="BC2815">
        <v>1992</v>
      </c>
      <c r="BD2815" t="s">
        <v>185</v>
      </c>
    </row>
    <row r="2816" spans="1:56" x14ac:dyDescent="0.35">
      <c r="A2816">
        <v>7646857</v>
      </c>
      <c r="B2816" t="s">
        <v>2130</v>
      </c>
      <c r="D2816" t="s">
        <v>57</v>
      </c>
      <c r="E2816" t="s">
        <v>86</v>
      </c>
      <c r="F2816" t="s">
        <v>58</v>
      </c>
      <c r="G2816" t="s">
        <v>59</v>
      </c>
      <c r="H2816" t="s">
        <v>60</v>
      </c>
      <c r="J2816" t="s">
        <v>289</v>
      </c>
      <c r="K2816" t="s">
        <v>184</v>
      </c>
      <c r="L2816" t="s">
        <v>62</v>
      </c>
      <c r="M2816" t="s">
        <v>63</v>
      </c>
      <c r="N2816" t="s">
        <v>64</v>
      </c>
      <c r="P2816" t="s">
        <v>1296</v>
      </c>
      <c r="R2816">
        <v>0.38700000000000001</v>
      </c>
      <c r="T2816">
        <v>0.307</v>
      </c>
      <c r="V2816">
        <v>0.48899999999999999</v>
      </c>
      <c r="W2816" t="s">
        <v>66</v>
      </c>
      <c r="X2816" t="s">
        <v>67</v>
      </c>
      <c r="Y2816" t="s">
        <v>67</v>
      </c>
      <c r="Z2816" t="s">
        <v>68</v>
      </c>
      <c r="AB2816">
        <v>4</v>
      </c>
      <c r="AC2816" t="s">
        <v>61</v>
      </c>
      <c r="AJ2816" t="s">
        <v>69</v>
      </c>
      <c r="AQ2816" t="s">
        <v>69</v>
      </c>
      <c r="AY2816" t="s">
        <v>1691</v>
      </c>
      <c r="AZ2816">
        <v>2124</v>
      </c>
      <c r="BA2816" t="s">
        <v>2134</v>
      </c>
      <c r="BB2816" t="s">
        <v>2135</v>
      </c>
      <c r="BC2816">
        <v>1986</v>
      </c>
      <c r="BD2816" t="s">
        <v>2140</v>
      </c>
    </row>
    <row r="2817" spans="1:56" x14ac:dyDescent="0.35">
      <c r="A2817">
        <v>7646857</v>
      </c>
      <c r="B2817" t="s">
        <v>2130</v>
      </c>
      <c r="C2817" t="s">
        <v>386</v>
      </c>
      <c r="D2817" t="s">
        <v>85</v>
      </c>
      <c r="E2817" t="s">
        <v>86</v>
      </c>
      <c r="F2817" t="s">
        <v>58</v>
      </c>
      <c r="G2817" t="s">
        <v>59</v>
      </c>
      <c r="H2817" t="s">
        <v>60</v>
      </c>
      <c r="J2817" t="s">
        <v>86</v>
      </c>
      <c r="L2817" t="s">
        <v>62</v>
      </c>
      <c r="M2817" t="s">
        <v>63</v>
      </c>
      <c r="N2817" t="s">
        <v>64</v>
      </c>
      <c r="P2817" t="s">
        <v>201</v>
      </c>
      <c r="R2817">
        <v>6.09</v>
      </c>
      <c r="T2817">
        <v>5.57</v>
      </c>
      <c r="V2817">
        <v>6.45</v>
      </c>
      <c r="W2817" t="s">
        <v>66</v>
      </c>
      <c r="X2817" t="s">
        <v>67</v>
      </c>
      <c r="Y2817" t="s">
        <v>67</v>
      </c>
      <c r="Z2817" t="s">
        <v>68</v>
      </c>
      <c r="AB2817">
        <v>4</v>
      </c>
      <c r="AC2817" t="s">
        <v>61</v>
      </c>
      <c r="AJ2817" t="s">
        <v>69</v>
      </c>
      <c r="AY2817" t="s">
        <v>2131</v>
      </c>
      <c r="AZ2817">
        <v>10237</v>
      </c>
      <c r="BA2817" t="s">
        <v>2132</v>
      </c>
      <c r="BB2817" t="s">
        <v>2133</v>
      </c>
      <c r="BC2817">
        <v>1983</v>
      </c>
      <c r="BD2817" t="s">
        <v>90</v>
      </c>
    </row>
    <row r="2818" spans="1:56" x14ac:dyDescent="0.35">
      <c r="A2818">
        <v>7646857</v>
      </c>
      <c r="B2818" t="s">
        <v>2130</v>
      </c>
      <c r="D2818" t="s">
        <v>85</v>
      </c>
      <c r="E2818" t="s">
        <v>86</v>
      </c>
      <c r="F2818" t="s">
        <v>58</v>
      </c>
      <c r="G2818" t="s">
        <v>59</v>
      </c>
      <c r="H2818" t="s">
        <v>60</v>
      </c>
      <c r="J2818" t="s">
        <v>86</v>
      </c>
      <c r="L2818" t="s">
        <v>62</v>
      </c>
      <c r="M2818" t="s">
        <v>63</v>
      </c>
      <c r="N2818" t="s">
        <v>64</v>
      </c>
      <c r="O2818">
        <v>6</v>
      </c>
      <c r="P2818" t="s">
        <v>201</v>
      </c>
      <c r="R2818">
        <v>9.4700000000000006</v>
      </c>
      <c r="T2818">
        <v>8.33</v>
      </c>
      <c r="V2818">
        <v>10.74</v>
      </c>
      <c r="W2818" t="s">
        <v>66</v>
      </c>
      <c r="X2818" t="s">
        <v>67</v>
      </c>
      <c r="Y2818" t="s">
        <v>67</v>
      </c>
      <c r="Z2818" t="s">
        <v>68</v>
      </c>
      <c r="AB2818">
        <v>4</v>
      </c>
      <c r="AC2818" t="s">
        <v>61</v>
      </c>
      <c r="AJ2818" t="s">
        <v>69</v>
      </c>
      <c r="AY2818" t="s">
        <v>2127</v>
      </c>
      <c r="AZ2818">
        <v>150469</v>
      </c>
      <c r="BA2818" t="s">
        <v>2128</v>
      </c>
      <c r="BB2818" t="s">
        <v>2129</v>
      </c>
      <c r="BC2818">
        <v>1986</v>
      </c>
      <c r="BD2818" t="s">
        <v>90</v>
      </c>
    </row>
    <row r="2819" spans="1:56" x14ac:dyDescent="0.35">
      <c r="A2819">
        <v>7646857</v>
      </c>
      <c r="B2819" t="s">
        <v>2130</v>
      </c>
      <c r="D2819" t="s">
        <v>85</v>
      </c>
      <c r="E2819" t="s">
        <v>86</v>
      </c>
      <c r="F2819" t="s">
        <v>58</v>
      </c>
      <c r="G2819" t="s">
        <v>59</v>
      </c>
      <c r="H2819" t="s">
        <v>60</v>
      </c>
      <c r="J2819" t="s">
        <v>86</v>
      </c>
      <c r="L2819" t="s">
        <v>62</v>
      </c>
      <c r="M2819" t="s">
        <v>63</v>
      </c>
      <c r="N2819" t="s">
        <v>64</v>
      </c>
      <c r="O2819">
        <v>6</v>
      </c>
      <c r="P2819" t="s">
        <v>201</v>
      </c>
      <c r="R2819">
        <v>6.23</v>
      </c>
      <c r="T2819">
        <v>5.15</v>
      </c>
      <c r="V2819">
        <v>7.45</v>
      </c>
      <c r="W2819" t="s">
        <v>66</v>
      </c>
      <c r="X2819" t="s">
        <v>67</v>
      </c>
      <c r="Y2819" t="s">
        <v>67</v>
      </c>
      <c r="Z2819" t="s">
        <v>68</v>
      </c>
      <c r="AB2819">
        <v>4</v>
      </c>
      <c r="AC2819" t="s">
        <v>61</v>
      </c>
      <c r="AJ2819" t="s">
        <v>69</v>
      </c>
      <c r="AY2819" t="s">
        <v>2127</v>
      </c>
      <c r="AZ2819">
        <v>150469</v>
      </c>
      <c r="BA2819" t="s">
        <v>2128</v>
      </c>
      <c r="BB2819" t="s">
        <v>2129</v>
      </c>
      <c r="BC2819">
        <v>1986</v>
      </c>
      <c r="BD2819" t="s">
        <v>90</v>
      </c>
    </row>
    <row r="2820" spans="1:56" x14ac:dyDescent="0.35">
      <c r="A2820">
        <v>7647145</v>
      </c>
      <c r="B2820" t="s">
        <v>2141</v>
      </c>
      <c r="C2820" t="s">
        <v>195</v>
      </c>
      <c r="D2820" t="s">
        <v>85</v>
      </c>
      <c r="E2820" t="s">
        <v>86</v>
      </c>
      <c r="F2820" t="s">
        <v>58</v>
      </c>
      <c r="G2820" t="s">
        <v>59</v>
      </c>
      <c r="H2820" t="s">
        <v>60</v>
      </c>
      <c r="J2820">
        <v>11</v>
      </c>
      <c r="K2820" t="s">
        <v>196</v>
      </c>
      <c r="L2820" t="s">
        <v>190</v>
      </c>
      <c r="M2820" t="s">
        <v>63</v>
      </c>
      <c r="N2820" t="s">
        <v>64</v>
      </c>
      <c r="P2820" t="s">
        <v>201</v>
      </c>
      <c r="R2820">
        <v>8300</v>
      </c>
      <c r="W2820" t="s">
        <v>66</v>
      </c>
      <c r="X2820" t="s">
        <v>67</v>
      </c>
      <c r="Y2820" t="s">
        <v>67</v>
      </c>
      <c r="Z2820" t="s">
        <v>68</v>
      </c>
      <c r="AB2820">
        <v>4</v>
      </c>
      <c r="AC2820" t="s">
        <v>61</v>
      </c>
      <c r="AJ2820" t="s">
        <v>69</v>
      </c>
      <c r="AY2820" t="s">
        <v>661</v>
      </c>
      <c r="AZ2820">
        <v>2145</v>
      </c>
      <c r="BA2820" t="s">
        <v>662</v>
      </c>
      <c r="BB2820" t="s">
        <v>663</v>
      </c>
      <c r="BC2820">
        <v>1976</v>
      </c>
      <c r="BD2820" t="s">
        <v>200</v>
      </c>
    </row>
    <row r="2821" spans="1:56" x14ac:dyDescent="0.35">
      <c r="A2821">
        <v>7647145</v>
      </c>
      <c r="B2821" t="s">
        <v>2141</v>
      </c>
      <c r="C2821" t="s">
        <v>195</v>
      </c>
      <c r="D2821" t="s">
        <v>57</v>
      </c>
      <c r="E2821" t="s">
        <v>86</v>
      </c>
      <c r="F2821" t="s">
        <v>58</v>
      </c>
      <c r="G2821" t="s">
        <v>59</v>
      </c>
      <c r="H2821" t="s">
        <v>60</v>
      </c>
      <c r="J2821" t="s">
        <v>86</v>
      </c>
      <c r="L2821" t="s">
        <v>74</v>
      </c>
      <c r="M2821" t="s">
        <v>63</v>
      </c>
      <c r="N2821" t="s">
        <v>64</v>
      </c>
      <c r="P2821" t="s">
        <v>201</v>
      </c>
      <c r="R2821">
        <v>6570</v>
      </c>
      <c r="T2821">
        <v>6420</v>
      </c>
      <c r="V2821">
        <v>6700</v>
      </c>
      <c r="W2821" t="s">
        <v>66</v>
      </c>
      <c r="X2821" t="s">
        <v>67</v>
      </c>
      <c r="Y2821" t="s">
        <v>290</v>
      </c>
      <c r="Z2821" t="s">
        <v>68</v>
      </c>
      <c r="AB2821">
        <v>4</v>
      </c>
      <c r="AC2821" t="s">
        <v>61</v>
      </c>
      <c r="AJ2821" t="s">
        <v>69</v>
      </c>
      <c r="AY2821" t="s">
        <v>2142</v>
      </c>
      <c r="AZ2821">
        <v>45826</v>
      </c>
      <c r="BA2821" t="s">
        <v>2143</v>
      </c>
      <c r="BB2821" t="s">
        <v>2144</v>
      </c>
      <c r="BC2821">
        <v>1985</v>
      </c>
      <c r="BD2821" t="s">
        <v>90</v>
      </c>
    </row>
    <row r="2822" spans="1:56" x14ac:dyDescent="0.35">
      <c r="A2822">
        <v>7647145</v>
      </c>
      <c r="B2822" t="s">
        <v>2141</v>
      </c>
      <c r="C2822" t="s">
        <v>195</v>
      </c>
      <c r="E2822" t="s">
        <v>86</v>
      </c>
      <c r="F2822" t="s">
        <v>58</v>
      </c>
      <c r="G2822" t="s">
        <v>59</v>
      </c>
      <c r="H2822" t="s">
        <v>60</v>
      </c>
      <c r="J2822">
        <v>11</v>
      </c>
      <c r="K2822" t="s">
        <v>196</v>
      </c>
      <c r="L2822" t="s">
        <v>190</v>
      </c>
      <c r="M2822" t="s">
        <v>63</v>
      </c>
      <c r="N2822" t="s">
        <v>64</v>
      </c>
      <c r="P2822" t="s">
        <v>201</v>
      </c>
      <c r="R2822">
        <v>7650</v>
      </c>
      <c r="W2822" t="s">
        <v>66</v>
      </c>
      <c r="X2822" t="s">
        <v>67</v>
      </c>
      <c r="Y2822" t="s">
        <v>67</v>
      </c>
      <c r="Z2822" t="s">
        <v>68</v>
      </c>
      <c r="AB2822">
        <v>4</v>
      </c>
      <c r="AC2822" t="s">
        <v>61</v>
      </c>
      <c r="AJ2822" t="s">
        <v>69</v>
      </c>
      <c r="AY2822" t="s">
        <v>670</v>
      </c>
      <c r="AZ2822">
        <v>5230</v>
      </c>
      <c r="BA2822" t="s">
        <v>671</v>
      </c>
      <c r="BB2822" t="s">
        <v>672</v>
      </c>
      <c r="BC2822">
        <v>1976</v>
      </c>
      <c r="BD2822" t="s">
        <v>200</v>
      </c>
    </row>
    <row r="2823" spans="1:56" x14ac:dyDescent="0.35">
      <c r="A2823">
        <v>7647145</v>
      </c>
      <c r="B2823" t="s">
        <v>2141</v>
      </c>
      <c r="C2823" t="s">
        <v>195</v>
      </c>
      <c r="D2823" t="s">
        <v>85</v>
      </c>
      <c r="E2823" t="s">
        <v>86</v>
      </c>
      <c r="F2823" t="s">
        <v>58</v>
      </c>
      <c r="G2823" t="s">
        <v>59</v>
      </c>
      <c r="H2823" t="s">
        <v>60</v>
      </c>
      <c r="J2823">
        <v>11</v>
      </c>
      <c r="K2823" t="s">
        <v>196</v>
      </c>
      <c r="L2823" t="s">
        <v>190</v>
      </c>
      <c r="M2823" t="s">
        <v>63</v>
      </c>
      <c r="N2823" t="s">
        <v>64</v>
      </c>
      <c r="P2823" t="s">
        <v>201</v>
      </c>
      <c r="R2823">
        <v>8200</v>
      </c>
      <c r="W2823" t="s">
        <v>66</v>
      </c>
      <c r="X2823" t="s">
        <v>67</v>
      </c>
      <c r="Y2823" t="s">
        <v>67</v>
      </c>
      <c r="Z2823" t="s">
        <v>68</v>
      </c>
      <c r="AB2823">
        <v>4</v>
      </c>
      <c r="AC2823" t="s">
        <v>61</v>
      </c>
      <c r="AJ2823" t="s">
        <v>69</v>
      </c>
      <c r="AY2823" t="s">
        <v>661</v>
      </c>
      <c r="AZ2823">
        <v>2145</v>
      </c>
      <c r="BA2823" t="s">
        <v>662</v>
      </c>
      <c r="BB2823" t="s">
        <v>663</v>
      </c>
      <c r="BC2823">
        <v>1976</v>
      </c>
      <c r="BD2823" t="s">
        <v>200</v>
      </c>
    </row>
    <row r="2824" spans="1:56" x14ac:dyDescent="0.35">
      <c r="A2824">
        <v>7647145</v>
      </c>
      <c r="B2824" t="s">
        <v>2141</v>
      </c>
      <c r="C2824" t="s">
        <v>195</v>
      </c>
      <c r="D2824" t="s">
        <v>85</v>
      </c>
      <c r="E2824" t="s">
        <v>86</v>
      </c>
      <c r="F2824" t="s">
        <v>58</v>
      </c>
      <c r="G2824" t="s">
        <v>59</v>
      </c>
      <c r="H2824" t="s">
        <v>60</v>
      </c>
      <c r="J2824" t="s">
        <v>86</v>
      </c>
      <c r="K2824" t="s">
        <v>61</v>
      </c>
      <c r="L2824" t="s">
        <v>62</v>
      </c>
      <c r="M2824" t="s">
        <v>63</v>
      </c>
      <c r="N2824" t="s">
        <v>64</v>
      </c>
      <c r="P2824" t="s">
        <v>201</v>
      </c>
      <c r="R2824">
        <v>6390</v>
      </c>
      <c r="T2824">
        <v>6020</v>
      </c>
      <c r="V2824">
        <v>7070</v>
      </c>
      <c r="W2824" t="s">
        <v>66</v>
      </c>
      <c r="X2824" t="s">
        <v>67</v>
      </c>
      <c r="Y2824" t="s">
        <v>67</v>
      </c>
      <c r="Z2824" t="s">
        <v>68</v>
      </c>
      <c r="AB2824">
        <v>4</v>
      </c>
      <c r="AC2824" t="s">
        <v>61</v>
      </c>
      <c r="AJ2824" t="s">
        <v>69</v>
      </c>
      <c r="AY2824" t="s">
        <v>1456</v>
      </c>
      <c r="AZ2824">
        <v>18272</v>
      </c>
      <c r="BA2824" t="s">
        <v>1457</v>
      </c>
      <c r="BB2824" t="s">
        <v>1458</v>
      </c>
      <c r="BC2824">
        <v>1997</v>
      </c>
      <c r="BD2824" t="s">
        <v>1459</v>
      </c>
    </row>
    <row r="2825" spans="1:56" x14ac:dyDescent="0.35">
      <c r="A2825">
        <v>7647145</v>
      </c>
      <c r="B2825" t="s">
        <v>2141</v>
      </c>
      <c r="C2825" t="s">
        <v>195</v>
      </c>
      <c r="D2825" t="s">
        <v>85</v>
      </c>
      <c r="E2825" t="s">
        <v>86</v>
      </c>
      <c r="F2825" t="s">
        <v>58</v>
      </c>
      <c r="G2825" t="s">
        <v>59</v>
      </c>
      <c r="H2825" t="s">
        <v>60</v>
      </c>
      <c r="J2825">
        <v>11</v>
      </c>
      <c r="K2825" t="s">
        <v>196</v>
      </c>
      <c r="L2825" t="s">
        <v>190</v>
      </c>
      <c r="M2825" t="s">
        <v>63</v>
      </c>
      <c r="N2825" t="s">
        <v>64</v>
      </c>
      <c r="P2825" t="s">
        <v>201</v>
      </c>
      <c r="R2825">
        <v>7400</v>
      </c>
      <c r="W2825" t="s">
        <v>66</v>
      </c>
      <c r="X2825" t="s">
        <v>67</v>
      </c>
      <c r="Y2825" t="s">
        <v>67</v>
      </c>
      <c r="Z2825" t="s">
        <v>68</v>
      </c>
      <c r="AB2825">
        <v>4</v>
      </c>
      <c r="AC2825" t="s">
        <v>61</v>
      </c>
      <c r="AJ2825" t="s">
        <v>69</v>
      </c>
      <c r="AY2825" t="s">
        <v>661</v>
      </c>
      <c r="AZ2825">
        <v>2145</v>
      </c>
      <c r="BA2825" t="s">
        <v>662</v>
      </c>
      <c r="BB2825" t="s">
        <v>663</v>
      </c>
      <c r="BC2825">
        <v>1976</v>
      </c>
      <c r="BD2825" t="s">
        <v>200</v>
      </c>
    </row>
    <row r="2826" spans="1:56" x14ac:dyDescent="0.35">
      <c r="A2826">
        <v>7647145</v>
      </c>
      <c r="B2826" t="s">
        <v>2141</v>
      </c>
      <c r="D2826" t="s">
        <v>85</v>
      </c>
      <c r="E2826" t="s">
        <v>86</v>
      </c>
      <c r="F2826" t="s">
        <v>58</v>
      </c>
      <c r="G2826" t="s">
        <v>59</v>
      </c>
      <c r="H2826" t="s">
        <v>60</v>
      </c>
      <c r="J2826">
        <v>5</v>
      </c>
      <c r="K2826" t="s">
        <v>61</v>
      </c>
      <c r="L2826" t="s">
        <v>190</v>
      </c>
      <c r="M2826" t="s">
        <v>63</v>
      </c>
      <c r="N2826" t="s">
        <v>64</v>
      </c>
      <c r="P2826" t="s">
        <v>201</v>
      </c>
      <c r="R2826">
        <v>5300</v>
      </c>
      <c r="W2826" t="s">
        <v>66</v>
      </c>
      <c r="X2826" t="s">
        <v>67</v>
      </c>
      <c r="Y2826" t="s">
        <v>67</v>
      </c>
      <c r="Z2826" t="s">
        <v>68</v>
      </c>
      <c r="AB2826">
        <v>4</v>
      </c>
      <c r="AC2826" t="s">
        <v>61</v>
      </c>
      <c r="AJ2826" t="s">
        <v>69</v>
      </c>
      <c r="AY2826" t="s">
        <v>972</v>
      </c>
      <c r="AZ2826">
        <v>71675</v>
      </c>
      <c r="BA2826" t="s">
        <v>973</v>
      </c>
      <c r="BB2826" t="s">
        <v>974</v>
      </c>
      <c r="BC2826">
        <v>2003</v>
      </c>
      <c r="BD2826" t="s">
        <v>73</v>
      </c>
    </row>
    <row r="2827" spans="1:56" x14ac:dyDescent="0.35">
      <c r="A2827">
        <v>7647145</v>
      </c>
      <c r="B2827" t="s">
        <v>2141</v>
      </c>
      <c r="C2827" t="s">
        <v>195</v>
      </c>
      <c r="D2827" t="s">
        <v>85</v>
      </c>
      <c r="E2827" t="s">
        <v>86</v>
      </c>
      <c r="F2827" t="s">
        <v>58</v>
      </c>
      <c r="G2827" t="s">
        <v>59</v>
      </c>
      <c r="H2827" t="s">
        <v>60</v>
      </c>
      <c r="J2827">
        <v>11</v>
      </c>
      <c r="K2827" t="s">
        <v>196</v>
      </c>
      <c r="L2827" t="s">
        <v>190</v>
      </c>
      <c r="M2827" t="s">
        <v>63</v>
      </c>
      <c r="N2827" t="s">
        <v>64</v>
      </c>
      <c r="P2827" t="s">
        <v>201</v>
      </c>
      <c r="R2827">
        <v>8150</v>
      </c>
      <c r="W2827" t="s">
        <v>66</v>
      </c>
      <c r="X2827" t="s">
        <v>67</v>
      </c>
      <c r="Y2827" t="s">
        <v>67</v>
      </c>
      <c r="Z2827" t="s">
        <v>68</v>
      </c>
      <c r="AB2827">
        <v>4</v>
      </c>
      <c r="AC2827" t="s">
        <v>61</v>
      </c>
      <c r="AJ2827" t="s">
        <v>69</v>
      </c>
      <c r="AY2827" t="s">
        <v>661</v>
      </c>
      <c r="AZ2827">
        <v>2145</v>
      </c>
      <c r="BA2827" t="s">
        <v>662</v>
      </c>
      <c r="BB2827" t="s">
        <v>663</v>
      </c>
      <c r="BC2827">
        <v>1976</v>
      </c>
      <c r="BD2827" t="s">
        <v>200</v>
      </c>
    </row>
    <row r="2828" spans="1:56" x14ac:dyDescent="0.35">
      <c r="A2828">
        <v>7647145</v>
      </c>
      <c r="B2828" t="s">
        <v>2141</v>
      </c>
      <c r="C2828" t="s">
        <v>195</v>
      </c>
      <c r="D2828" t="s">
        <v>85</v>
      </c>
      <c r="E2828" t="s">
        <v>86</v>
      </c>
      <c r="F2828" t="s">
        <v>58</v>
      </c>
      <c r="G2828" t="s">
        <v>59</v>
      </c>
      <c r="H2828" t="s">
        <v>60</v>
      </c>
      <c r="J2828">
        <v>11</v>
      </c>
      <c r="K2828" t="s">
        <v>196</v>
      </c>
      <c r="L2828" t="s">
        <v>190</v>
      </c>
      <c r="M2828" t="s">
        <v>63</v>
      </c>
      <c r="N2828" t="s">
        <v>64</v>
      </c>
      <c r="P2828" t="s">
        <v>201</v>
      </c>
      <c r="R2828">
        <v>7500</v>
      </c>
      <c r="W2828" t="s">
        <v>66</v>
      </c>
      <c r="X2828" t="s">
        <v>67</v>
      </c>
      <c r="Y2828" t="s">
        <v>67</v>
      </c>
      <c r="Z2828" t="s">
        <v>68</v>
      </c>
      <c r="AB2828">
        <v>4</v>
      </c>
      <c r="AC2828" t="s">
        <v>61</v>
      </c>
      <c r="AJ2828" t="s">
        <v>69</v>
      </c>
      <c r="AY2828" t="s">
        <v>661</v>
      </c>
      <c r="AZ2828">
        <v>2145</v>
      </c>
      <c r="BA2828" t="s">
        <v>662</v>
      </c>
      <c r="BB2828" t="s">
        <v>663</v>
      </c>
      <c r="BC2828">
        <v>1976</v>
      </c>
      <c r="BD2828" t="s">
        <v>200</v>
      </c>
    </row>
    <row r="2829" spans="1:56" x14ac:dyDescent="0.35">
      <c r="A2829">
        <v>7647145</v>
      </c>
      <c r="B2829" t="s">
        <v>2141</v>
      </c>
      <c r="D2829" t="s">
        <v>85</v>
      </c>
      <c r="E2829" t="s">
        <v>86</v>
      </c>
      <c r="F2829" t="s">
        <v>58</v>
      </c>
      <c r="G2829" t="s">
        <v>59</v>
      </c>
      <c r="H2829" t="s">
        <v>60</v>
      </c>
      <c r="I2829" t="s">
        <v>188</v>
      </c>
      <c r="J2829" t="s">
        <v>289</v>
      </c>
      <c r="K2829" t="s">
        <v>495</v>
      </c>
      <c r="L2829" t="s">
        <v>190</v>
      </c>
      <c r="M2829" t="s">
        <v>63</v>
      </c>
      <c r="N2829" t="s">
        <v>64</v>
      </c>
      <c r="P2829" t="s">
        <v>201</v>
      </c>
      <c r="R2829">
        <v>11400</v>
      </c>
      <c r="T2829">
        <v>10890</v>
      </c>
      <c r="V2829">
        <v>11850</v>
      </c>
      <c r="W2829" t="s">
        <v>66</v>
      </c>
      <c r="X2829" t="s">
        <v>67</v>
      </c>
      <c r="Y2829" t="s">
        <v>67</v>
      </c>
      <c r="Z2829" t="s">
        <v>68</v>
      </c>
      <c r="AB2829">
        <v>4</v>
      </c>
      <c r="AC2829" t="s">
        <v>61</v>
      </c>
      <c r="AJ2829" t="s">
        <v>69</v>
      </c>
      <c r="AY2829" t="s">
        <v>2087</v>
      </c>
      <c r="AZ2829">
        <v>116913</v>
      </c>
      <c r="BA2829" t="s">
        <v>2088</v>
      </c>
      <c r="BB2829" t="s">
        <v>2089</v>
      </c>
      <c r="BC2829">
        <v>1985</v>
      </c>
      <c r="BD2829" t="s">
        <v>499</v>
      </c>
    </row>
    <row r="2830" spans="1:56" x14ac:dyDescent="0.35">
      <c r="A2830">
        <v>7647145</v>
      </c>
      <c r="B2830" t="s">
        <v>2141</v>
      </c>
      <c r="C2830" t="s">
        <v>195</v>
      </c>
      <c r="D2830" t="s">
        <v>85</v>
      </c>
      <c r="E2830" t="s">
        <v>86</v>
      </c>
      <c r="F2830" t="s">
        <v>58</v>
      </c>
      <c r="G2830" t="s">
        <v>59</v>
      </c>
      <c r="H2830" t="s">
        <v>60</v>
      </c>
      <c r="J2830">
        <v>11</v>
      </c>
      <c r="K2830" t="s">
        <v>196</v>
      </c>
      <c r="L2830" t="s">
        <v>190</v>
      </c>
      <c r="M2830" t="s">
        <v>63</v>
      </c>
      <c r="N2830" t="s">
        <v>64</v>
      </c>
      <c r="P2830" t="s">
        <v>201</v>
      </c>
      <c r="R2830">
        <v>7650</v>
      </c>
      <c r="W2830" t="s">
        <v>66</v>
      </c>
      <c r="X2830" t="s">
        <v>67</v>
      </c>
      <c r="Y2830" t="s">
        <v>67</v>
      </c>
      <c r="Z2830" t="s">
        <v>68</v>
      </c>
      <c r="AB2830">
        <v>4</v>
      </c>
      <c r="AC2830" t="s">
        <v>61</v>
      </c>
      <c r="AJ2830" t="s">
        <v>69</v>
      </c>
      <c r="AY2830" t="s">
        <v>661</v>
      </c>
      <c r="AZ2830">
        <v>2145</v>
      </c>
      <c r="BA2830" t="s">
        <v>662</v>
      </c>
      <c r="BB2830" t="s">
        <v>663</v>
      </c>
      <c r="BC2830">
        <v>1976</v>
      </c>
      <c r="BD2830" t="s">
        <v>200</v>
      </c>
    </row>
    <row r="2831" spans="1:56" x14ac:dyDescent="0.35">
      <c r="A2831">
        <v>7647145</v>
      </c>
      <c r="B2831" t="s">
        <v>2141</v>
      </c>
      <c r="C2831" t="s">
        <v>195</v>
      </c>
      <c r="D2831" t="s">
        <v>85</v>
      </c>
      <c r="E2831" t="s">
        <v>86</v>
      </c>
      <c r="F2831" t="s">
        <v>58</v>
      </c>
      <c r="G2831" t="s">
        <v>59</v>
      </c>
      <c r="H2831" t="s">
        <v>60</v>
      </c>
      <c r="J2831">
        <v>11</v>
      </c>
      <c r="K2831" t="s">
        <v>196</v>
      </c>
      <c r="L2831" t="s">
        <v>190</v>
      </c>
      <c r="M2831" t="s">
        <v>63</v>
      </c>
      <c r="N2831" t="s">
        <v>64</v>
      </c>
      <c r="P2831" t="s">
        <v>201</v>
      </c>
      <c r="R2831">
        <v>7650</v>
      </c>
      <c r="W2831" t="s">
        <v>66</v>
      </c>
      <c r="X2831" t="s">
        <v>67</v>
      </c>
      <c r="Y2831" t="s">
        <v>67</v>
      </c>
      <c r="Z2831" t="s">
        <v>68</v>
      </c>
      <c r="AB2831">
        <v>4</v>
      </c>
      <c r="AC2831" t="s">
        <v>61</v>
      </c>
      <c r="AJ2831" t="s">
        <v>69</v>
      </c>
      <c r="AY2831" t="s">
        <v>661</v>
      </c>
      <c r="AZ2831">
        <v>2145</v>
      </c>
      <c r="BA2831" t="s">
        <v>662</v>
      </c>
      <c r="BB2831" t="s">
        <v>663</v>
      </c>
      <c r="BC2831">
        <v>1976</v>
      </c>
      <c r="BD2831" t="s">
        <v>200</v>
      </c>
    </row>
    <row r="2832" spans="1:56" x14ac:dyDescent="0.35">
      <c r="A2832">
        <v>7647145</v>
      </c>
      <c r="B2832" t="s">
        <v>2141</v>
      </c>
      <c r="C2832" t="s">
        <v>195</v>
      </c>
      <c r="D2832" t="s">
        <v>85</v>
      </c>
      <c r="E2832" t="s">
        <v>86</v>
      </c>
      <c r="F2832" t="s">
        <v>58</v>
      </c>
      <c r="G2832" t="s">
        <v>59</v>
      </c>
      <c r="H2832" t="s">
        <v>60</v>
      </c>
      <c r="J2832">
        <v>11</v>
      </c>
      <c r="K2832" t="s">
        <v>196</v>
      </c>
      <c r="L2832" t="s">
        <v>190</v>
      </c>
      <c r="M2832" t="s">
        <v>63</v>
      </c>
      <c r="N2832" t="s">
        <v>64</v>
      </c>
      <c r="P2832" t="s">
        <v>201</v>
      </c>
      <c r="R2832">
        <v>7050</v>
      </c>
      <c r="W2832" t="s">
        <v>66</v>
      </c>
      <c r="X2832" t="s">
        <v>67</v>
      </c>
      <c r="Y2832" t="s">
        <v>67</v>
      </c>
      <c r="Z2832" t="s">
        <v>68</v>
      </c>
      <c r="AB2832">
        <v>4</v>
      </c>
      <c r="AC2832" t="s">
        <v>61</v>
      </c>
      <c r="AJ2832" t="s">
        <v>69</v>
      </c>
      <c r="AY2832" t="s">
        <v>661</v>
      </c>
      <c r="AZ2832">
        <v>2145</v>
      </c>
      <c r="BA2832" t="s">
        <v>662</v>
      </c>
      <c r="BB2832" t="s">
        <v>663</v>
      </c>
      <c r="BC2832">
        <v>1976</v>
      </c>
      <c r="BD2832" t="s">
        <v>200</v>
      </c>
    </row>
    <row r="2833" spans="1:56" x14ac:dyDescent="0.35">
      <c r="A2833">
        <v>7647145</v>
      </c>
      <c r="B2833" t="s">
        <v>2141</v>
      </c>
      <c r="C2833" t="s">
        <v>195</v>
      </c>
      <c r="D2833" t="s">
        <v>85</v>
      </c>
      <c r="E2833" t="s">
        <v>86</v>
      </c>
      <c r="F2833" t="s">
        <v>58</v>
      </c>
      <c r="G2833" t="s">
        <v>59</v>
      </c>
      <c r="H2833" t="s">
        <v>60</v>
      </c>
      <c r="J2833">
        <v>11</v>
      </c>
      <c r="K2833" t="s">
        <v>196</v>
      </c>
      <c r="L2833" t="s">
        <v>190</v>
      </c>
      <c r="M2833" t="s">
        <v>63</v>
      </c>
      <c r="N2833" t="s">
        <v>64</v>
      </c>
      <c r="P2833" t="s">
        <v>201</v>
      </c>
      <c r="R2833">
        <v>7050</v>
      </c>
      <c r="W2833" t="s">
        <v>66</v>
      </c>
      <c r="X2833" t="s">
        <v>67</v>
      </c>
      <c r="Y2833" t="s">
        <v>67</v>
      </c>
      <c r="Z2833" t="s">
        <v>68</v>
      </c>
      <c r="AB2833">
        <v>4</v>
      </c>
      <c r="AC2833" t="s">
        <v>61</v>
      </c>
      <c r="AJ2833" t="s">
        <v>69</v>
      </c>
      <c r="AY2833" t="s">
        <v>661</v>
      </c>
      <c r="AZ2833">
        <v>2145</v>
      </c>
      <c r="BA2833" t="s">
        <v>662</v>
      </c>
      <c r="BB2833" t="s">
        <v>663</v>
      </c>
      <c r="BC2833">
        <v>1976</v>
      </c>
      <c r="BD2833" t="s">
        <v>200</v>
      </c>
    </row>
    <row r="2834" spans="1:56" x14ac:dyDescent="0.35">
      <c r="A2834">
        <v>7647145</v>
      </c>
      <c r="B2834" t="s">
        <v>2141</v>
      </c>
      <c r="C2834" t="s">
        <v>195</v>
      </c>
      <c r="D2834" t="s">
        <v>85</v>
      </c>
      <c r="E2834" t="s">
        <v>86</v>
      </c>
      <c r="F2834" t="s">
        <v>58</v>
      </c>
      <c r="G2834" t="s">
        <v>59</v>
      </c>
      <c r="H2834" t="s">
        <v>60</v>
      </c>
      <c r="J2834">
        <v>11</v>
      </c>
      <c r="K2834" t="s">
        <v>196</v>
      </c>
      <c r="L2834" t="s">
        <v>190</v>
      </c>
      <c r="M2834" t="s">
        <v>63</v>
      </c>
      <c r="N2834" t="s">
        <v>64</v>
      </c>
      <c r="P2834" t="s">
        <v>201</v>
      </c>
      <c r="R2834">
        <v>7200</v>
      </c>
      <c r="W2834" t="s">
        <v>66</v>
      </c>
      <c r="X2834" t="s">
        <v>67</v>
      </c>
      <c r="Y2834" t="s">
        <v>67</v>
      </c>
      <c r="Z2834" t="s">
        <v>68</v>
      </c>
      <c r="AB2834">
        <v>4</v>
      </c>
      <c r="AC2834" t="s">
        <v>61</v>
      </c>
      <c r="AJ2834" t="s">
        <v>69</v>
      </c>
      <c r="AY2834" t="s">
        <v>661</v>
      </c>
      <c r="AZ2834">
        <v>2145</v>
      </c>
      <c r="BA2834" t="s">
        <v>662</v>
      </c>
      <c r="BB2834" t="s">
        <v>663</v>
      </c>
      <c r="BC2834">
        <v>1976</v>
      </c>
      <c r="BD2834" t="s">
        <v>200</v>
      </c>
    </row>
    <row r="2835" spans="1:56" x14ac:dyDescent="0.35">
      <c r="A2835">
        <v>7647145</v>
      </c>
      <c r="B2835" t="s">
        <v>2141</v>
      </c>
      <c r="C2835" t="s">
        <v>195</v>
      </c>
      <c r="D2835" t="s">
        <v>85</v>
      </c>
      <c r="E2835" t="s">
        <v>86</v>
      </c>
      <c r="F2835" t="s">
        <v>58</v>
      </c>
      <c r="G2835" t="s">
        <v>59</v>
      </c>
      <c r="H2835" t="s">
        <v>60</v>
      </c>
      <c r="J2835">
        <v>11</v>
      </c>
      <c r="K2835" t="s">
        <v>196</v>
      </c>
      <c r="L2835" t="s">
        <v>190</v>
      </c>
      <c r="M2835" t="s">
        <v>63</v>
      </c>
      <c r="N2835" t="s">
        <v>64</v>
      </c>
      <c r="P2835" t="s">
        <v>201</v>
      </c>
      <c r="R2835">
        <v>7450</v>
      </c>
      <c r="W2835" t="s">
        <v>66</v>
      </c>
      <c r="X2835" t="s">
        <v>67</v>
      </c>
      <c r="Y2835" t="s">
        <v>67</v>
      </c>
      <c r="Z2835" t="s">
        <v>68</v>
      </c>
      <c r="AB2835">
        <v>4</v>
      </c>
      <c r="AC2835" t="s">
        <v>61</v>
      </c>
      <c r="AJ2835" t="s">
        <v>69</v>
      </c>
      <c r="AY2835" t="s">
        <v>661</v>
      </c>
      <c r="AZ2835">
        <v>2145</v>
      </c>
      <c r="BA2835" t="s">
        <v>662</v>
      </c>
      <c r="BB2835" t="s">
        <v>663</v>
      </c>
      <c r="BC2835">
        <v>1976</v>
      </c>
      <c r="BD2835" t="s">
        <v>200</v>
      </c>
    </row>
    <row r="2836" spans="1:56" x14ac:dyDescent="0.35">
      <c r="A2836">
        <v>7647145</v>
      </c>
      <c r="B2836" t="s">
        <v>2141</v>
      </c>
      <c r="C2836" t="s">
        <v>195</v>
      </c>
      <c r="D2836" t="s">
        <v>85</v>
      </c>
      <c r="E2836" t="s">
        <v>86</v>
      </c>
      <c r="F2836" t="s">
        <v>58</v>
      </c>
      <c r="G2836" t="s">
        <v>59</v>
      </c>
      <c r="H2836" t="s">
        <v>60</v>
      </c>
      <c r="J2836">
        <v>11</v>
      </c>
      <c r="K2836" t="s">
        <v>196</v>
      </c>
      <c r="L2836" t="s">
        <v>190</v>
      </c>
      <c r="M2836" t="s">
        <v>63</v>
      </c>
      <c r="N2836" t="s">
        <v>64</v>
      </c>
      <c r="P2836" t="s">
        <v>201</v>
      </c>
      <c r="R2836">
        <v>7400</v>
      </c>
      <c r="W2836" t="s">
        <v>66</v>
      </c>
      <c r="X2836" t="s">
        <v>67</v>
      </c>
      <c r="Y2836" t="s">
        <v>67</v>
      </c>
      <c r="Z2836" t="s">
        <v>68</v>
      </c>
      <c r="AB2836">
        <v>4</v>
      </c>
      <c r="AC2836" t="s">
        <v>61</v>
      </c>
      <c r="AJ2836" t="s">
        <v>69</v>
      </c>
      <c r="AY2836" t="s">
        <v>661</v>
      </c>
      <c r="AZ2836">
        <v>2145</v>
      </c>
      <c r="BA2836" t="s">
        <v>662</v>
      </c>
      <c r="BB2836" t="s">
        <v>663</v>
      </c>
      <c r="BC2836">
        <v>1976</v>
      </c>
      <c r="BD2836" t="s">
        <v>200</v>
      </c>
    </row>
    <row r="2837" spans="1:56" x14ac:dyDescent="0.35">
      <c r="A2837">
        <v>7647145</v>
      </c>
      <c r="B2837" t="s">
        <v>2141</v>
      </c>
      <c r="C2837" t="s">
        <v>195</v>
      </c>
      <c r="D2837" t="s">
        <v>85</v>
      </c>
      <c r="E2837" t="s">
        <v>86</v>
      </c>
      <c r="F2837" t="s">
        <v>58</v>
      </c>
      <c r="G2837" t="s">
        <v>59</v>
      </c>
      <c r="H2837" t="s">
        <v>60</v>
      </c>
      <c r="J2837">
        <v>11</v>
      </c>
      <c r="K2837" t="s">
        <v>196</v>
      </c>
      <c r="L2837" t="s">
        <v>190</v>
      </c>
      <c r="M2837" t="s">
        <v>63</v>
      </c>
      <c r="N2837" t="s">
        <v>64</v>
      </c>
      <c r="P2837" t="s">
        <v>201</v>
      </c>
      <c r="R2837">
        <v>8400</v>
      </c>
      <c r="W2837" t="s">
        <v>66</v>
      </c>
      <c r="X2837" t="s">
        <v>67</v>
      </c>
      <c r="Y2837" t="s">
        <v>67</v>
      </c>
      <c r="Z2837" t="s">
        <v>68</v>
      </c>
      <c r="AB2837">
        <v>4</v>
      </c>
      <c r="AC2837" t="s">
        <v>61</v>
      </c>
      <c r="AJ2837" t="s">
        <v>69</v>
      </c>
      <c r="AY2837" t="s">
        <v>661</v>
      </c>
      <c r="AZ2837">
        <v>2145</v>
      </c>
      <c r="BA2837" t="s">
        <v>662</v>
      </c>
      <c r="BB2837" t="s">
        <v>663</v>
      </c>
      <c r="BC2837">
        <v>1976</v>
      </c>
      <c r="BD2837" t="s">
        <v>200</v>
      </c>
    </row>
    <row r="2838" spans="1:56" x14ac:dyDescent="0.35">
      <c r="A2838">
        <v>7647145</v>
      </c>
      <c r="B2838" t="s">
        <v>2141</v>
      </c>
      <c r="C2838" t="s">
        <v>195</v>
      </c>
      <c r="D2838" t="s">
        <v>85</v>
      </c>
      <c r="E2838" t="s">
        <v>86</v>
      </c>
      <c r="F2838" t="s">
        <v>58</v>
      </c>
      <c r="G2838" t="s">
        <v>59</v>
      </c>
      <c r="H2838" t="s">
        <v>60</v>
      </c>
      <c r="J2838">
        <v>11</v>
      </c>
      <c r="K2838" t="s">
        <v>196</v>
      </c>
      <c r="L2838" t="s">
        <v>190</v>
      </c>
      <c r="M2838" t="s">
        <v>63</v>
      </c>
      <c r="N2838" t="s">
        <v>64</v>
      </c>
      <c r="P2838" t="s">
        <v>201</v>
      </c>
      <c r="R2838">
        <v>7950</v>
      </c>
      <c r="W2838" t="s">
        <v>66</v>
      </c>
      <c r="X2838" t="s">
        <v>67</v>
      </c>
      <c r="Y2838" t="s">
        <v>67</v>
      </c>
      <c r="Z2838" t="s">
        <v>68</v>
      </c>
      <c r="AB2838">
        <v>4</v>
      </c>
      <c r="AC2838" t="s">
        <v>61</v>
      </c>
      <c r="AJ2838" t="s">
        <v>69</v>
      </c>
      <c r="AY2838" t="s">
        <v>661</v>
      </c>
      <c r="AZ2838">
        <v>2145</v>
      </c>
      <c r="BA2838" t="s">
        <v>662</v>
      </c>
      <c r="BB2838" t="s">
        <v>663</v>
      </c>
      <c r="BC2838">
        <v>1976</v>
      </c>
      <c r="BD2838" t="s">
        <v>200</v>
      </c>
    </row>
    <row r="2839" spans="1:56" x14ac:dyDescent="0.35">
      <c r="A2839">
        <v>7647145</v>
      </c>
      <c r="B2839" t="s">
        <v>2141</v>
      </c>
      <c r="C2839" t="s">
        <v>195</v>
      </c>
      <c r="D2839" t="s">
        <v>57</v>
      </c>
      <c r="E2839" t="s">
        <v>86</v>
      </c>
      <c r="F2839" t="s">
        <v>58</v>
      </c>
      <c r="G2839" t="s">
        <v>59</v>
      </c>
      <c r="H2839" t="s">
        <v>60</v>
      </c>
      <c r="I2839" t="s">
        <v>129</v>
      </c>
      <c r="J2839" t="s">
        <v>86</v>
      </c>
      <c r="L2839" t="s">
        <v>62</v>
      </c>
      <c r="M2839" t="s">
        <v>63</v>
      </c>
      <c r="N2839" t="s">
        <v>64</v>
      </c>
      <c r="P2839" t="s">
        <v>201</v>
      </c>
      <c r="R2839">
        <v>4079</v>
      </c>
      <c r="T2839">
        <v>3644</v>
      </c>
      <c r="V2839">
        <v>4565</v>
      </c>
      <c r="W2839" t="s">
        <v>66</v>
      </c>
      <c r="X2839" t="s">
        <v>67</v>
      </c>
      <c r="Y2839" t="s">
        <v>67</v>
      </c>
      <c r="Z2839" t="s">
        <v>68</v>
      </c>
      <c r="AB2839">
        <v>4</v>
      </c>
      <c r="AC2839" t="s">
        <v>61</v>
      </c>
      <c r="AJ2839" t="s">
        <v>69</v>
      </c>
      <c r="AY2839" t="s">
        <v>2145</v>
      </c>
      <c r="AZ2839">
        <v>158449</v>
      </c>
      <c r="BA2839" t="s">
        <v>2146</v>
      </c>
      <c r="BB2839" t="s">
        <v>2147</v>
      </c>
      <c r="BC2839">
        <v>2011</v>
      </c>
      <c r="BD2839" t="s">
        <v>90</v>
      </c>
    </row>
    <row r="2840" spans="1:56" x14ac:dyDescent="0.35">
      <c r="A2840">
        <v>7647145</v>
      </c>
      <c r="B2840" t="s">
        <v>2141</v>
      </c>
      <c r="C2840" t="s">
        <v>195</v>
      </c>
      <c r="D2840" t="s">
        <v>85</v>
      </c>
      <c r="E2840" t="s">
        <v>86</v>
      </c>
      <c r="F2840" t="s">
        <v>58</v>
      </c>
      <c r="G2840" t="s">
        <v>59</v>
      </c>
      <c r="H2840" t="s">
        <v>60</v>
      </c>
      <c r="J2840">
        <v>11</v>
      </c>
      <c r="K2840" t="s">
        <v>196</v>
      </c>
      <c r="L2840" t="s">
        <v>190</v>
      </c>
      <c r="M2840" t="s">
        <v>63</v>
      </c>
      <c r="N2840" t="s">
        <v>64</v>
      </c>
      <c r="P2840" t="s">
        <v>201</v>
      </c>
      <c r="R2840">
        <v>7100</v>
      </c>
      <c r="W2840" t="s">
        <v>66</v>
      </c>
      <c r="X2840" t="s">
        <v>67</v>
      </c>
      <c r="Y2840" t="s">
        <v>67</v>
      </c>
      <c r="Z2840" t="s">
        <v>68</v>
      </c>
      <c r="AB2840">
        <v>4</v>
      </c>
      <c r="AC2840" t="s">
        <v>61</v>
      </c>
      <c r="AJ2840" t="s">
        <v>69</v>
      </c>
      <c r="AY2840" t="s">
        <v>661</v>
      </c>
      <c r="AZ2840">
        <v>2145</v>
      </c>
      <c r="BA2840" t="s">
        <v>662</v>
      </c>
      <c r="BB2840" t="s">
        <v>663</v>
      </c>
      <c r="BC2840">
        <v>1976</v>
      </c>
      <c r="BD2840" t="s">
        <v>200</v>
      </c>
    </row>
    <row r="2841" spans="1:56" x14ac:dyDescent="0.35">
      <c r="A2841">
        <v>7647145</v>
      </c>
      <c r="B2841" t="s">
        <v>2141</v>
      </c>
      <c r="C2841" t="s">
        <v>195</v>
      </c>
      <c r="D2841" t="s">
        <v>85</v>
      </c>
      <c r="E2841" t="s">
        <v>86</v>
      </c>
      <c r="F2841" t="s">
        <v>58</v>
      </c>
      <c r="G2841" t="s">
        <v>59</v>
      </c>
      <c r="H2841" t="s">
        <v>60</v>
      </c>
      <c r="J2841">
        <v>11</v>
      </c>
      <c r="K2841" t="s">
        <v>196</v>
      </c>
      <c r="L2841" t="s">
        <v>190</v>
      </c>
      <c r="M2841" t="s">
        <v>63</v>
      </c>
      <c r="N2841" t="s">
        <v>64</v>
      </c>
      <c r="P2841" t="s">
        <v>201</v>
      </c>
      <c r="R2841">
        <v>7200</v>
      </c>
      <c r="W2841" t="s">
        <v>66</v>
      </c>
      <c r="X2841" t="s">
        <v>67</v>
      </c>
      <c r="Y2841" t="s">
        <v>67</v>
      </c>
      <c r="Z2841" t="s">
        <v>68</v>
      </c>
      <c r="AB2841">
        <v>4</v>
      </c>
      <c r="AC2841" t="s">
        <v>61</v>
      </c>
      <c r="AJ2841" t="s">
        <v>69</v>
      </c>
      <c r="AY2841" t="s">
        <v>661</v>
      </c>
      <c r="AZ2841">
        <v>2145</v>
      </c>
      <c r="BA2841" t="s">
        <v>662</v>
      </c>
      <c r="BB2841" t="s">
        <v>663</v>
      </c>
      <c r="BC2841">
        <v>1976</v>
      </c>
      <c r="BD2841" t="s">
        <v>200</v>
      </c>
    </row>
    <row r="2842" spans="1:56" x14ac:dyDescent="0.35">
      <c r="A2842">
        <v>7647145</v>
      </c>
      <c r="B2842" t="s">
        <v>2141</v>
      </c>
      <c r="C2842" t="s">
        <v>195</v>
      </c>
      <c r="D2842" t="s">
        <v>85</v>
      </c>
      <c r="E2842" t="s">
        <v>86</v>
      </c>
      <c r="F2842" t="s">
        <v>58</v>
      </c>
      <c r="G2842" t="s">
        <v>59</v>
      </c>
      <c r="H2842" t="s">
        <v>60</v>
      </c>
      <c r="J2842">
        <v>11</v>
      </c>
      <c r="K2842" t="s">
        <v>196</v>
      </c>
      <c r="L2842" t="s">
        <v>190</v>
      </c>
      <c r="M2842" t="s">
        <v>63</v>
      </c>
      <c r="N2842" t="s">
        <v>64</v>
      </c>
      <c r="P2842" t="s">
        <v>201</v>
      </c>
      <c r="R2842">
        <v>7800</v>
      </c>
      <c r="W2842" t="s">
        <v>66</v>
      </c>
      <c r="X2842" t="s">
        <v>67</v>
      </c>
      <c r="Y2842" t="s">
        <v>67</v>
      </c>
      <c r="Z2842" t="s">
        <v>68</v>
      </c>
      <c r="AB2842">
        <v>4</v>
      </c>
      <c r="AC2842" t="s">
        <v>61</v>
      </c>
      <c r="AJ2842" t="s">
        <v>69</v>
      </c>
      <c r="AY2842" t="s">
        <v>661</v>
      </c>
      <c r="AZ2842">
        <v>2145</v>
      </c>
      <c r="BA2842" t="s">
        <v>662</v>
      </c>
      <c r="BB2842" t="s">
        <v>663</v>
      </c>
      <c r="BC2842">
        <v>1976</v>
      </c>
      <c r="BD2842" t="s">
        <v>200</v>
      </c>
    </row>
    <row r="2843" spans="1:56" x14ac:dyDescent="0.35">
      <c r="A2843">
        <v>7647156</v>
      </c>
      <c r="B2843" t="s">
        <v>2148</v>
      </c>
      <c r="D2843" t="s">
        <v>85</v>
      </c>
      <c r="E2843">
        <v>99.9</v>
      </c>
      <c r="F2843" t="s">
        <v>58</v>
      </c>
      <c r="G2843" t="s">
        <v>59</v>
      </c>
      <c r="H2843" t="s">
        <v>60</v>
      </c>
      <c r="I2843" t="s">
        <v>397</v>
      </c>
      <c r="J2843" t="s">
        <v>2149</v>
      </c>
      <c r="K2843" t="s">
        <v>61</v>
      </c>
      <c r="L2843" t="s">
        <v>62</v>
      </c>
      <c r="M2843" t="s">
        <v>63</v>
      </c>
      <c r="N2843" t="s">
        <v>64</v>
      </c>
      <c r="P2843" t="s">
        <v>201</v>
      </c>
      <c r="R2843">
        <v>16479</v>
      </c>
      <c r="T2843">
        <v>15614</v>
      </c>
      <c r="V2843">
        <v>17428</v>
      </c>
      <c r="W2843" t="s">
        <v>66</v>
      </c>
      <c r="X2843" t="s">
        <v>67</v>
      </c>
      <c r="Y2843" t="s">
        <v>67</v>
      </c>
      <c r="Z2843" t="s">
        <v>68</v>
      </c>
      <c r="AB2843">
        <v>4</v>
      </c>
      <c r="AC2843" t="s">
        <v>61</v>
      </c>
      <c r="AJ2843" t="s">
        <v>69</v>
      </c>
      <c r="AY2843" t="s">
        <v>2150</v>
      </c>
      <c r="AZ2843">
        <v>5542</v>
      </c>
      <c r="BA2843" t="s">
        <v>2151</v>
      </c>
      <c r="BB2843" t="s">
        <v>2152</v>
      </c>
      <c r="BC2843">
        <v>1981</v>
      </c>
      <c r="BD2843" t="s">
        <v>73</v>
      </c>
    </row>
    <row r="2844" spans="1:56" x14ac:dyDescent="0.35">
      <c r="A2844">
        <v>7664417</v>
      </c>
      <c r="B2844" t="s">
        <v>2153</v>
      </c>
      <c r="D2844" t="s">
        <v>85</v>
      </c>
      <c r="E2844" t="s">
        <v>86</v>
      </c>
      <c r="F2844" t="s">
        <v>58</v>
      </c>
      <c r="G2844" t="s">
        <v>59</v>
      </c>
      <c r="H2844" t="s">
        <v>60</v>
      </c>
      <c r="I2844" t="s">
        <v>188</v>
      </c>
      <c r="J2844">
        <v>30</v>
      </c>
      <c r="K2844" t="s">
        <v>61</v>
      </c>
      <c r="L2844" t="s">
        <v>62</v>
      </c>
      <c r="M2844" t="s">
        <v>63</v>
      </c>
      <c r="N2844" t="s">
        <v>64</v>
      </c>
      <c r="O2844">
        <v>6</v>
      </c>
      <c r="P2844" t="s">
        <v>2154</v>
      </c>
      <c r="S2844" t="s">
        <v>153</v>
      </c>
      <c r="T2844">
        <v>0.5</v>
      </c>
      <c r="U2844" t="s">
        <v>435</v>
      </c>
      <c r="V2844">
        <v>1</v>
      </c>
      <c r="W2844" t="s">
        <v>66</v>
      </c>
      <c r="X2844" t="s">
        <v>67</v>
      </c>
      <c r="Y2844" t="s">
        <v>67</v>
      </c>
      <c r="Z2844" t="s">
        <v>68</v>
      </c>
      <c r="AB2844">
        <v>4</v>
      </c>
      <c r="AC2844" t="s">
        <v>61</v>
      </c>
      <c r="AJ2844" t="s">
        <v>69</v>
      </c>
      <c r="AY2844" t="s">
        <v>2019</v>
      </c>
      <c r="AZ2844">
        <v>51911</v>
      </c>
      <c r="BA2844" t="s">
        <v>2020</v>
      </c>
      <c r="BB2844" t="s">
        <v>2021</v>
      </c>
      <c r="BC2844">
        <v>2000</v>
      </c>
      <c r="BD2844" t="s">
        <v>73</v>
      </c>
    </row>
    <row r="2845" spans="1:56" x14ac:dyDescent="0.35">
      <c r="A2845">
        <v>7664417</v>
      </c>
      <c r="B2845" t="s">
        <v>2153</v>
      </c>
      <c r="D2845" t="s">
        <v>57</v>
      </c>
      <c r="E2845" t="s">
        <v>86</v>
      </c>
      <c r="F2845" t="s">
        <v>58</v>
      </c>
      <c r="G2845" t="s">
        <v>59</v>
      </c>
      <c r="H2845" t="s">
        <v>60</v>
      </c>
      <c r="J2845" t="s">
        <v>86</v>
      </c>
      <c r="L2845" t="s">
        <v>62</v>
      </c>
      <c r="M2845" t="s">
        <v>63</v>
      </c>
      <c r="N2845" t="s">
        <v>64</v>
      </c>
      <c r="P2845" t="s">
        <v>201</v>
      </c>
      <c r="R2845">
        <v>5.9</v>
      </c>
      <c r="W2845" t="s">
        <v>66</v>
      </c>
      <c r="X2845" t="s">
        <v>67</v>
      </c>
      <c r="Y2845" t="s">
        <v>67</v>
      </c>
      <c r="Z2845" t="s">
        <v>68</v>
      </c>
      <c r="AB2845">
        <v>4</v>
      </c>
      <c r="AC2845" t="s">
        <v>61</v>
      </c>
      <c r="AJ2845" t="s">
        <v>69</v>
      </c>
      <c r="AY2845" t="s">
        <v>465</v>
      </c>
      <c r="AZ2845">
        <v>923</v>
      </c>
      <c r="BA2845" t="s">
        <v>466</v>
      </c>
      <c r="BB2845" t="s">
        <v>467</v>
      </c>
      <c r="BC2845">
        <v>1961</v>
      </c>
      <c r="BD2845" t="s">
        <v>90</v>
      </c>
    </row>
    <row r="2846" spans="1:56" x14ac:dyDescent="0.35">
      <c r="A2846">
        <v>7664417</v>
      </c>
      <c r="B2846" t="s">
        <v>2153</v>
      </c>
      <c r="D2846" t="s">
        <v>57</v>
      </c>
      <c r="E2846" t="s">
        <v>86</v>
      </c>
      <c r="F2846" t="s">
        <v>58</v>
      </c>
      <c r="G2846" t="s">
        <v>59</v>
      </c>
      <c r="H2846" t="s">
        <v>60</v>
      </c>
      <c r="J2846" t="s">
        <v>86</v>
      </c>
      <c r="L2846" t="s">
        <v>62</v>
      </c>
      <c r="M2846" t="s">
        <v>63</v>
      </c>
      <c r="N2846" t="s">
        <v>64</v>
      </c>
      <c r="P2846" t="s">
        <v>201</v>
      </c>
      <c r="R2846">
        <v>8.1999999999999993</v>
      </c>
      <c r="W2846" t="s">
        <v>66</v>
      </c>
      <c r="X2846" t="s">
        <v>67</v>
      </c>
      <c r="Y2846" t="s">
        <v>67</v>
      </c>
      <c r="Z2846" t="s">
        <v>68</v>
      </c>
      <c r="AB2846">
        <v>4</v>
      </c>
      <c r="AC2846" t="s">
        <v>61</v>
      </c>
      <c r="AJ2846" t="s">
        <v>69</v>
      </c>
      <c r="AY2846" t="s">
        <v>465</v>
      </c>
      <c r="AZ2846">
        <v>923</v>
      </c>
      <c r="BA2846" t="s">
        <v>466</v>
      </c>
      <c r="BB2846" t="s">
        <v>467</v>
      </c>
      <c r="BC2846">
        <v>1961</v>
      </c>
      <c r="BD2846" t="s">
        <v>90</v>
      </c>
    </row>
    <row r="2847" spans="1:56" x14ac:dyDescent="0.35">
      <c r="A2847">
        <v>7664417</v>
      </c>
      <c r="B2847" t="s">
        <v>2153</v>
      </c>
      <c r="D2847" t="s">
        <v>85</v>
      </c>
      <c r="E2847" t="s">
        <v>86</v>
      </c>
      <c r="F2847" t="s">
        <v>58</v>
      </c>
      <c r="G2847" t="s">
        <v>59</v>
      </c>
      <c r="H2847" t="s">
        <v>60</v>
      </c>
      <c r="I2847" t="s">
        <v>188</v>
      </c>
      <c r="J2847">
        <v>14</v>
      </c>
      <c r="K2847" t="s">
        <v>61</v>
      </c>
      <c r="L2847" t="s">
        <v>62</v>
      </c>
      <c r="M2847" t="s">
        <v>63</v>
      </c>
      <c r="N2847" t="s">
        <v>64</v>
      </c>
      <c r="O2847">
        <v>6</v>
      </c>
      <c r="P2847" t="s">
        <v>2154</v>
      </c>
      <c r="S2847" t="s">
        <v>153</v>
      </c>
      <c r="T2847">
        <v>0.5</v>
      </c>
      <c r="U2847" t="s">
        <v>435</v>
      </c>
      <c r="V2847">
        <v>1</v>
      </c>
      <c r="W2847" t="s">
        <v>66</v>
      </c>
      <c r="X2847" t="s">
        <v>67</v>
      </c>
      <c r="Y2847" t="s">
        <v>67</v>
      </c>
      <c r="Z2847" t="s">
        <v>68</v>
      </c>
      <c r="AB2847">
        <v>4</v>
      </c>
      <c r="AC2847" t="s">
        <v>61</v>
      </c>
      <c r="AJ2847" t="s">
        <v>69</v>
      </c>
      <c r="AY2847" t="s">
        <v>2019</v>
      </c>
      <c r="AZ2847">
        <v>51911</v>
      </c>
      <c r="BA2847" t="s">
        <v>2020</v>
      </c>
      <c r="BB2847" t="s">
        <v>2021</v>
      </c>
      <c r="BC2847">
        <v>2000</v>
      </c>
      <c r="BD2847" t="s">
        <v>73</v>
      </c>
    </row>
    <row r="2848" spans="1:56" x14ac:dyDescent="0.35">
      <c r="A2848">
        <v>7664417</v>
      </c>
      <c r="B2848" t="s">
        <v>2153</v>
      </c>
      <c r="D2848" t="s">
        <v>85</v>
      </c>
      <c r="E2848" t="s">
        <v>86</v>
      </c>
      <c r="F2848" t="s">
        <v>58</v>
      </c>
      <c r="G2848" t="s">
        <v>59</v>
      </c>
      <c r="H2848" t="s">
        <v>60</v>
      </c>
      <c r="I2848" t="s">
        <v>188</v>
      </c>
      <c r="J2848">
        <v>90</v>
      </c>
      <c r="K2848" t="s">
        <v>61</v>
      </c>
      <c r="L2848" t="s">
        <v>62</v>
      </c>
      <c r="M2848" t="s">
        <v>63</v>
      </c>
      <c r="N2848" t="s">
        <v>64</v>
      </c>
      <c r="O2848">
        <v>6</v>
      </c>
      <c r="P2848" t="s">
        <v>2154</v>
      </c>
      <c r="S2848" t="s">
        <v>153</v>
      </c>
      <c r="T2848">
        <v>1</v>
      </c>
      <c r="U2848" t="s">
        <v>435</v>
      </c>
      <c r="V2848">
        <v>1.5</v>
      </c>
      <c r="W2848" t="s">
        <v>66</v>
      </c>
      <c r="X2848" t="s">
        <v>67</v>
      </c>
      <c r="Y2848" t="s">
        <v>67</v>
      </c>
      <c r="Z2848" t="s">
        <v>68</v>
      </c>
      <c r="AB2848">
        <v>4</v>
      </c>
      <c r="AC2848" t="s">
        <v>61</v>
      </c>
      <c r="AJ2848" t="s">
        <v>69</v>
      </c>
      <c r="AY2848" t="s">
        <v>2019</v>
      </c>
      <c r="AZ2848">
        <v>51911</v>
      </c>
      <c r="BA2848" t="s">
        <v>2020</v>
      </c>
      <c r="BB2848" t="s">
        <v>2021</v>
      </c>
      <c r="BC2848">
        <v>2000</v>
      </c>
      <c r="BD2848" t="s">
        <v>73</v>
      </c>
    </row>
    <row r="2849" spans="1:56" x14ac:dyDescent="0.35">
      <c r="A2849">
        <v>7681494</v>
      </c>
      <c r="B2849" t="s">
        <v>2155</v>
      </c>
      <c r="D2849" t="s">
        <v>57</v>
      </c>
      <c r="E2849" t="s">
        <v>86</v>
      </c>
      <c r="F2849" t="s">
        <v>58</v>
      </c>
      <c r="G2849" t="s">
        <v>59</v>
      </c>
      <c r="H2849" t="s">
        <v>60</v>
      </c>
      <c r="J2849" t="s">
        <v>86</v>
      </c>
      <c r="L2849" t="s">
        <v>62</v>
      </c>
      <c r="M2849" t="s">
        <v>63</v>
      </c>
      <c r="N2849" t="s">
        <v>64</v>
      </c>
      <c r="P2849" t="s">
        <v>201</v>
      </c>
      <c r="R2849">
        <v>315</v>
      </c>
      <c r="W2849" t="s">
        <v>66</v>
      </c>
      <c r="X2849" t="s">
        <v>67</v>
      </c>
      <c r="Y2849" t="s">
        <v>67</v>
      </c>
      <c r="Z2849" t="s">
        <v>68</v>
      </c>
      <c r="AB2849">
        <v>4</v>
      </c>
      <c r="AC2849" t="s">
        <v>61</v>
      </c>
      <c r="AJ2849" t="s">
        <v>69</v>
      </c>
      <c r="AY2849" t="s">
        <v>2156</v>
      </c>
      <c r="AZ2849">
        <v>11675</v>
      </c>
      <c r="BA2849" t="s">
        <v>2157</v>
      </c>
      <c r="BB2849" t="s">
        <v>2158</v>
      </c>
      <c r="BC2849">
        <v>1985</v>
      </c>
      <c r="BD2849" t="s">
        <v>90</v>
      </c>
    </row>
    <row r="2850" spans="1:56" x14ac:dyDescent="0.35">
      <c r="A2850">
        <v>7681494</v>
      </c>
      <c r="B2850" t="s">
        <v>2155</v>
      </c>
      <c r="D2850" t="s">
        <v>85</v>
      </c>
      <c r="E2850" t="s">
        <v>86</v>
      </c>
      <c r="F2850" t="s">
        <v>58</v>
      </c>
      <c r="G2850" t="s">
        <v>59</v>
      </c>
      <c r="H2850" t="s">
        <v>60</v>
      </c>
      <c r="J2850" t="s">
        <v>86</v>
      </c>
      <c r="L2850" t="s">
        <v>62</v>
      </c>
      <c r="M2850" t="s">
        <v>63</v>
      </c>
      <c r="N2850" t="s">
        <v>64</v>
      </c>
      <c r="P2850" t="s">
        <v>201</v>
      </c>
      <c r="T2850">
        <v>124</v>
      </c>
      <c r="V2850">
        <v>194</v>
      </c>
      <c r="W2850" t="s">
        <v>66</v>
      </c>
      <c r="X2850" t="s">
        <v>67</v>
      </c>
      <c r="Y2850" t="s">
        <v>67</v>
      </c>
      <c r="Z2850" t="s">
        <v>68</v>
      </c>
      <c r="AB2850">
        <v>4</v>
      </c>
      <c r="AC2850" t="s">
        <v>61</v>
      </c>
      <c r="AJ2850" t="s">
        <v>69</v>
      </c>
      <c r="AY2850" t="s">
        <v>2159</v>
      </c>
      <c r="AZ2850">
        <v>12734</v>
      </c>
      <c r="BA2850" t="s">
        <v>2160</v>
      </c>
      <c r="BB2850" t="s">
        <v>2161</v>
      </c>
      <c r="BC2850">
        <v>1986</v>
      </c>
      <c r="BD2850" t="s">
        <v>90</v>
      </c>
    </row>
    <row r="2851" spans="1:56" x14ac:dyDescent="0.35">
      <c r="A2851">
        <v>7681494</v>
      </c>
      <c r="B2851" t="s">
        <v>2155</v>
      </c>
      <c r="D2851" t="s">
        <v>57</v>
      </c>
      <c r="E2851" t="s">
        <v>86</v>
      </c>
      <c r="F2851" t="s">
        <v>58</v>
      </c>
      <c r="G2851" t="s">
        <v>59</v>
      </c>
      <c r="H2851" t="s">
        <v>60</v>
      </c>
      <c r="J2851" t="s">
        <v>86</v>
      </c>
      <c r="L2851" t="s">
        <v>190</v>
      </c>
      <c r="M2851" t="s">
        <v>63</v>
      </c>
      <c r="N2851" t="s">
        <v>64</v>
      </c>
      <c r="P2851" t="s">
        <v>201</v>
      </c>
      <c r="R2851">
        <v>180</v>
      </c>
      <c r="W2851" t="s">
        <v>66</v>
      </c>
      <c r="X2851" t="s">
        <v>67</v>
      </c>
      <c r="Y2851" t="s">
        <v>67</v>
      </c>
      <c r="Z2851" t="s">
        <v>68</v>
      </c>
      <c r="AB2851">
        <v>4</v>
      </c>
      <c r="AC2851" t="s">
        <v>61</v>
      </c>
      <c r="AJ2851" t="s">
        <v>69</v>
      </c>
      <c r="AY2851" t="s">
        <v>2156</v>
      </c>
      <c r="AZ2851">
        <v>11675</v>
      </c>
      <c r="BA2851" t="s">
        <v>2157</v>
      </c>
      <c r="BB2851" t="s">
        <v>2158</v>
      </c>
      <c r="BC2851">
        <v>1985</v>
      </c>
      <c r="BD2851" t="s">
        <v>90</v>
      </c>
    </row>
    <row r="2852" spans="1:56" x14ac:dyDescent="0.35">
      <c r="A2852">
        <v>7681494</v>
      </c>
      <c r="B2852" t="s">
        <v>2155</v>
      </c>
      <c r="D2852" t="s">
        <v>57</v>
      </c>
      <c r="E2852" t="s">
        <v>86</v>
      </c>
      <c r="F2852" t="s">
        <v>58</v>
      </c>
      <c r="G2852" t="s">
        <v>59</v>
      </c>
      <c r="H2852" t="s">
        <v>60</v>
      </c>
      <c r="J2852" t="s">
        <v>86</v>
      </c>
      <c r="L2852" t="s">
        <v>190</v>
      </c>
      <c r="M2852" t="s">
        <v>63</v>
      </c>
      <c r="N2852" t="s">
        <v>64</v>
      </c>
      <c r="P2852" t="s">
        <v>201</v>
      </c>
      <c r="R2852">
        <v>205</v>
      </c>
      <c r="W2852" t="s">
        <v>66</v>
      </c>
      <c r="X2852" t="s">
        <v>67</v>
      </c>
      <c r="Y2852" t="s">
        <v>67</v>
      </c>
      <c r="Z2852" t="s">
        <v>68</v>
      </c>
      <c r="AB2852">
        <v>4</v>
      </c>
      <c r="AC2852" t="s">
        <v>61</v>
      </c>
      <c r="AJ2852" t="s">
        <v>69</v>
      </c>
      <c r="AY2852" t="s">
        <v>2156</v>
      </c>
      <c r="AZ2852">
        <v>11675</v>
      </c>
      <c r="BA2852" t="s">
        <v>2157</v>
      </c>
      <c r="BB2852" t="s">
        <v>2158</v>
      </c>
      <c r="BC2852">
        <v>1985</v>
      </c>
      <c r="BD2852" t="s">
        <v>90</v>
      </c>
    </row>
    <row r="2853" spans="1:56" x14ac:dyDescent="0.35">
      <c r="A2853">
        <v>7681494</v>
      </c>
      <c r="B2853" t="s">
        <v>2155</v>
      </c>
      <c r="D2853" t="s">
        <v>57</v>
      </c>
      <c r="E2853" t="s">
        <v>86</v>
      </c>
      <c r="F2853" t="s">
        <v>58</v>
      </c>
      <c r="G2853" t="s">
        <v>59</v>
      </c>
      <c r="H2853" t="s">
        <v>60</v>
      </c>
      <c r="J2853" t="s">
        <v>86</v>
      </c>
      <c r="L2853" t="s">
        <v>62</v>
      </c>
      <c r="M2853" t="s">
        <v>63</v>
      </c>
      <c r="N2853" t="s">
        <v>64</v>
      </c>
      <c r="P2853" t="s">
        <v>201</v>
      </c>
      <c r="R2853">
        <v>315</v>
      </c>
      <c r="W2853" t="s">
        <v>66</v>
      </c>
      <c r="X2853" t="s">
        <v>67</v>
      </c>
      <c r="Y2853" t="s">
        <v>67</v>
      </c>
      <c r="Z2853" t="s">
        <v>68</v>
      </c>
      <c r="AB2853">
        <v>4</v>
      </c>
      <c r="AC2853" t="s">
        <v>61</v>
      </c>
      <c r="AJ2853" t="s">
        <v>69</v>
      </c>
      <c r="AY2853" t="s">
        <v>2156</v>
      </c>
      <c r="AZ2853">
        <v>11675</v>
      </c>
      <c r="BA2853" t="s">
        <v>2157</v>
      </c>
      <c r="BB2853" t="s">
        <v>2158</v>
      </c>
      <c r="BC2853">
        <v>1985</v>
      </c>
      <c r="BD2853" t="s">
        <v>90</v>
      </c>
    </row>
    <row r="2854" spans="1:56" x14ac:dyDescent="0.35">
      <c r="A2854">
        <v>7681529</v>
      </c>
      <c r="B2854" t="s">
        <v>2162</v>
      </c>
      <c r="C2854" t="s">
        <v>195</v>
      </c>
      <c r="D2854" t="s">
        <v>85</v>
      </c>
      <c r="E2854" t="s">
        <v>86</v>
      </c>
      <c r="F2854" t="s">
        <v>58</v>
      </c>
      <c r="G2854" t="s">
        <v>59</v>
      </c>
      <c r="H2854" t="s">
        <v>60</v>
      </c>
      <c r="I2854" t="s">
        <v>129</v>
      </c>
      <c r="J2854" t="s">
        <v>86</v>
      </c>
      <c r="L2854" t="s">
        <v>62</v>
      </c>
      <c r="M2854" t="s">
        <v>63</v>
      </c>
      <c r="N2854" t="s">
        <v>64</v>
      </c>
      <c r="O2854">
        <v>5</v>
      </c>
      <c r="P2854" t="s">
        <v>201</v>
      </c>
      <c r="R2854">
        <v>10</v>
      </c>
      <c r="W2854" t="s">
        <v>66</v>
      </c>
      <c r="X2854" t="s">
        <v>67</v>
      </c>
      <c r="Y2854" t="s">
        <v>67</v>
      </c>
      <c r="Z2854" t="s">
        <v>68</v>
      </c>
      <c r="AB2854">
        <v>4</v>
      </c>
      <c r="AC2854" t="s">
        <v>61</v>
      </c>
      <c r="AJ2854" t="s">
        <v>69</v>
      </c>
      <c r="AY2854" t="s">
        <v>298</v>
      </c>
      <c r="AZ2854">
        <v>11951</v>
      </c>
      <c r="BA2854" t="s">
        <v>299</v>
      </c>
      <c r="BB2854" t="s">
        <v>300</v>
      </c>
      <c r="BC2854">
        <v>1986</v>
      </c>
      <c r="BD2854" t="s">
        <v>90</v>
      </c>
    </row>
    <row r="2855" spans="1:56" x14ac:dyDescent="0.35">
      <c r="A2855">
        <v>7681529</v>
      </c>
      <c r="B2855" t="s">
        <v>2162</v>
      </c>
      <c r="D2855" t="s">
        <v>57</v>
      </c>
      <c r="E2855" t="s">
        <v>86</v>
      </c>
      <c r="F2855" t="s">
        <v>58</v>
      </c>
      <c r="G2855" t="s">
        <v>59</v>
      </c>
      <c r="H2855" t="s">
        <v>60</v>
      </c>
      <c r="J2855" t="s">
        <v>86</v>
      </c>
      <c r="L2855" t="s">
        <v>62</v>
      </c>
      <c r="M2855" t="s">
        <v>63</v>
      </c>
      <c r="N2855" t="s">
        <v>64</v>
      </c>
      <c r="O2855" t="s">
        <v>267</v>
      </c>
      <c r="P2855" t="s">
        <v>201</v>
      </c>
      <c r="R2855">
        <v>5.9</v>
      </c>
      <c r="T2855">
        <v>4.8</v>
      </c>
      <c r="V2855">
        <v>8</v>
      </c>
      <c r="W2855" t="s">
        <v>66</v>
      </c>
      <c r="X2855" t="s">
        <v>67</v>
      </c>
      <c r="Y2855" t="s">
        <v>67</v>
      </c>
      <c r="Z2855" t="s">
        <v>68</v>
      </c>
      <c r="AB2855">
        <v>4</v>
      </c>
      <c r="AC2855" t="s">
        <v>61</v>
      </c>
      <c r="AJ2855" t="s">
        <v>69</v>
      </c>
      <c r="AY2855" t="s">
        <v>268</v>
      </c>
      <c r="AZ2855">
        <v>2965</v>
      </c>
      <c r="BA2855" t="s">
        <v>269</v>
      </c>
      <c r="BB2855" t="s">
        <v>270</v>
      </c>
      <c r="BC2855">
        <v>1981</v>
      </c>
      <c r="BD2855" t="s">
        <v>2163</v>
      </c>
    </row>
    <row r="2856" spans="1:56" x14ac:dyDescent="0.35">
      <c r="A2856">
        <v>7681529</v>
      </c>
      <c r="B2856" t="s">
        <v>2162</v>
      </c>
      <c r="D2856" t="s">
        <v>57</v>
      </c>
      <c r="E2856" t="s">
        <v>86</v>
      </c>
      <c r="F2856" t="s">
        <v>58</v>
      </c>
      <c r="G2856" t="s">
        <v>59</v>
      </c>
      <c r="H2856" t="s">
        <v>60</v>
      </c>
      <c r="J2856" t="s">
        <v>86</v>
      </c>
      <c r="L2856" t="s">
        <v>62</v>
      </c>
      <c r="M2856" t="s">
        <v>63</v>
      </c>
      <c r="N2856" t="s">
        <v>64</v>
      </c>
      <c r="P2856" t="s">
        <v>201</v>
      </c>
      <c r="R2856">
        <v>5.9</v>
      </c>
      <c r="T2856">
        <v>4.8</v>
      </c>
      <c r="V2856">
        <v>8</v>
      </c>
      <c r="W2856" t="s">
        <v>66</v>
      </c>
      <c r="X2856" t="s">
        <v>67</v>
      </c>
      <c r="Y2856" t="s">
        <v>67</v>
      </c>
      <c r="Z2856" t="s">
        <v>68</v>
      </c>
      <c r="AB2856">
        <v>4</v>
      </c>
      <c r="AC2856" t="s">
        <v>61</v>
      </c>
      <c r="AJ2856" t="s">
        <v>69</v>
      </c>
      <c r="AY2856" t="s">
        <v>818</v>
      </c>
      <c r="AZ2856">
        <v>875</v>
      </c>
      <c r="BA2856" t="s">
        <v>819</v>
      </c>
      <c r="BB2856" t="s">
        <v>820</v>
      </c>
      <c r="BC2856">
        <v>1979</v>
      </c>
      <c r="BD2856" t="s">
        <v>2163</v>
      </c>
    </row>
    <row r="2857" spans="1:56" x14ac:dyDescent="0.35">
      <c r="A2857">
        <v>7681529</v>
      </c>
      <c r="B2857" t="s">
        <v>2162</v>
      </c>
      <c r="D2857" t="s">
        <v>57</v>
      </c>
      <c r="E2857" t="s">
        <v>86</v>
      </c>
      <c r="F2857" t="s">
        <v>58</v>
      </c>
      <c r="G2857" t="s">
        <v>59</v>
      </c>
      <c r="H2857" t="s">
        <v>60</v>
      </c>
      <c r="J2857" t="s">
        <v>86</v>
      </c>
      <c r="L2857" t="s">
        <v>62</v>
      </c>
      <c r="M2857" t="s">
        <v>63</v>
      </c>
      <c r="N2857" t="s">
        <v>64</v>
      </c>
      <c r="P2857" t="s">
        <v>201</v>
      </c>
      <c r="R2857">
        <v>5.9</v>
      </c>
      <c r="T2857">
        <v>4.8</v>
      </c>
      <c r="V2857">
        <v>8</v>
      </c>
      <c r="W2857" t="s">
        <v>66</v>
      </c>
      <c r="X2857" t="s">
        <v>67</v>
      </c>
      <c r="Y2857" t="s">
        <v>67</v>
      </c>
      <c r="Z2857" t="s">
        <v>68</v>
      </c>
      <c r="AB2857">
        <v>4</v>
      </c>
      <c r="AC2857" t="s">
        <v>61</v>
      </c>
      <c r="AJ2857" t="s">
        <v>69</v>
      </c>
      <c r="AY2857" t="s">
        <v>818</v>
      </c>
      <c r="AZ2857">
        <v>5735</v>
      </c>
      <c r="BA2857" t="s">
        <v>821</v>
      </c>
      <c r="BB2857" t="s">
        <v>822</v>
      </c>
      <c r="BC2857">
        <v>1978</v>
      </c>
      <c r="BD2857" t="s">
        <v>2163</v>
      </c>
    </row>
    <row r="2858" spans="1:56" x14ac:dyDescent="0.35">
      <c r="A2858">
        <v>7681529</v>
      </c>
      <c r="B2858" t="s">
        <v>2162</v>
      </c>
      <c r="D2858" t="s">
        <v>57</v>
      </c>
      <c r="E2858" t="s">
        <v>86</v>
      </c>
      <c r="F2858" t="s">
        <v>58</v>
      </c>
      <c r="G2858" t="s">
        <v>59</v>
      </c>
      <c r="H2858" t="s">
        <v>60</v>
      </c>
      <c r="I2858" t="s">
        <v>211</v>
      </c>
      <c r="J2858" t="s">
        <v>86</v>
      </c>
      <c r="L2858" t="s">
        <v>74</v>
      </c>
      <c r="M2858" t="s">
        <v>63</v>
      </c>
      <c r="N2858" t="s">
        <v>64</v>
      </c>
      <c r="P2858" t="s">
        <v>201</v>
      </c>
      <c r="R2858">
        <v>0.57999999999999996</v>
      </c>
      <c r="T2858">
        <v>0.51</v>
      </c>
      <c r="V2858">
        <v>0.65</v>
      </c>
      <c r="W2858" t="s">
        <v>66</v>
      </c>
      <c r="X2858" t="s">
        <v>67</v>
      </c>
      <c r="Y2858" t="s">
        <v>67</v>
      </c>
      <c r="Z2858" t="s">
        <v>68</v>
      </c>
      <c r="AB2858">
        <v>4</v>
      </c>
      <c r="AC2858" t="s">
        <v>61</v>
      </c>
      <c r="AJ2858" t="s">
        <v>69</v>
      </c>
      <c r="AY2858" t="s">
        <v>2164</v>
      </c>
      <c r="AZ2858">
        <v>10137</v>
      </c>
      <c r="BA2858" t="s">
        <v>2165</v>
      </c>
      <c r="BB2858" t="s">
        <v>2166</v>
      </c>
      <c r="BC2858">
        <v>1983</v>
      </c>
      <c r="BD2858" t="s">
        <v>90</v>
      </c>
    </row>
    <row r="2859" spans="1:56" x14ac:dyDescent="0.35">
      <c r="A2859">
        <v>7681529</v>
      </c>
      <c r="B2859" t="s">
        <v>2162</v>
      </c>
      <c r="C2859" t="s">
        <v>195</v>
      </c>
      <c r="D2859" t="s">
        <v>57</v>
      </c>
      <c r="E2859">
        <v>5</v>
      </c>
      <c r="F2859" t="s">
        <v>58</v>
      </c>
      <c r="G2859" t="s">
        <v>59</v>
      </c>
      <c r="H2859" t="s">
        <v>60</v>
      </c>
      <c r="I2859" t="s">
        <v>211</v>
      </c>
      <c r="J2859">
        <v>1</v>
      </c>
      <c r="K2859" t="s">
        <v>506</v>
      </c>
      <c r="L2859" t="s">
        <v>74</v>
      </c>
      <c r="M2859" t="s">
        <v>63</v>
      </c>
      <c r="N2859" t="s">
        <v>64</v>
      </c>
      <c r="P2859" t="s">
        <v>201</v>
      </c>
      <c r="R2859">
        <v>0.79</v>
      </c>
      <c r="T2859">
        <v>0.47</v>
      </c>
      <c r="V2859">
        <v>2.06</v>
      </c>
      <c r="W2859" t="s">
        <v>66</v>
      </c>
      <c r="X2859" t="s">
        <v>67</v>
      </c>
      <c r="Y2859" t="s">
        <v>67</v>
      </c>
      <c r="Z2859" t="s">
        <v>68</v>
      </c>
      <c r="AB2859">
        <v>4</v>
      </c>
      <c r="AC2859" t="s">
        <v>61</v>
      </c>
      <c r="AJ2859" t="s">
        <v>69</v>
      </c>
      <c r="AY2859" t="s">
        <v>2167</v>
      </c>
      <c r="AZ2859">
        <v>15763</v>
      </c>
      <c r="BA2859" t="s">
        <v>2168</v>
      </c>
      <c r="BB2859" t="s">
        <v>2169</v>
      </c>
      <c r="BC2859">
        <v>1983</v>
      </c>
      <c r="BD2859" t="s">
        <v>510</v>
      </c>
    </row>
    <row r="2860" spans="1:56" x14ac:dyDescent="0.35">
      <c r="A2860">
        <v>7681529</v>
      </c>
      <c r="B2860" t="s">
        <v>2162</v>
      </c>
      <c r="C2860" t="s">
        <v>195</v>
      </c>
      <c r="D2860" t="s">
        <v>57</v>
      </c>
      <c r="E2860">
        <v>5</v>
      </c>
      <c r="F2860" t="s">
        <v>58</v>
      </c>
      <c r="G2860" t="s">
        <v>59</v>
      </c>
      <c r="H2860" t="s">
        <v>60</v>
      </c>
      <c r="I2860" t="s">
        <v>129</v>
      </c>
      <c r="J2860">
        <v>4</v>
      </c>
      <c r="K2860" t="s">
        <v>196</v>
      </c>
      <c r="L2860" t="s">
        <v>74</v>
      </c>
      <c r="M2860" t="s">
        <v>63</v>
      </c>
      <c r="N2860" t="s">
        <v>64</v>
      </c>
      <c r="P2860" t="s">
        <v>201</v>
      </c>
      <c r="R2860">
        <v>0.08</v>
      </c>
      <c r="T2860">
        <v>0.06</v>
      </c>
      <c r="V2860">
        <v>0.11</v>
      </c>
      <c r="W2860" t="s">
        <v>66</v>
      </c>
      <c r="X2860" t="s">
        <v>67</v>
      </c>
      <c r="Y2860" t="s">
        <v>67</v>
      </c>
      <c r="Z2860" t="s">
        <v>68</v>
      </c>
      <c r="AB2860">
        <v>4</v>
      </c>
      <c r="AC2860" t="s">
        <v>61</v>
      </c>
      <c r="AJ2860" t="s">
        <v>69</v>
      </c>
      <c r="AY2860" t="s">
        <v>2167</v>
      </c>
      <c r="AZ2860">
        <v>15763</v>
      </c>
      <c r="BA2860" t="s">
        <v>2168</v>
      </c>
      <c r="BB2860" t="s">
        <v>2169</v>
      </c>
      <c r="BC2860">
        <v>1983</v>
      </c>
      <c r="BD2860" t="s">
        <v>200</v>
      </c>
    </row>
    <row r="2861" spans="1:56" x14ac:dyDescent="0.35">
      <c r="A2861">
        <v>7681529</v>
      </c>
      <c r="B2861" t="s">
        <v>2162</v>
      </c>
      <c r="D2861" t="s">
        <v>57</v>
      </c>
      <c r="E2861" t="s">
        <v>86</v>
      </c>
      <c r="F2861" t="s">
        <v>58</v>
      </c>
      <c r="G2861" t="s">
        <v>59</v>
      </c>
      <c r="H2861" t="s">
        <v>60</v>
      </c>
      <c r="I2861" t="s">
        <v>129</v>
      </c>
      <c r="J2861">
        <v>6</v>
      </c>
      <c r="K2861" t="s">
        <v>196</v>
      </c>
      <c r="L2861" t="s">
        <v>74</v>
      </c>
      <c r="M2861" t="s">
        <v>63</v>
      </c>
      <c r="N2861" t="s">
        <v>64</v>
      </c>
      <c r="P2861" t="s">
        <v>201</v>
      </c>
      <c r="R2861">
        <v>0.18</v>
      </c>
      <c r="T2861">
        <v>0.11</v>
      </c>
      <c r="V2861">
        <v>0.24</v>
      </c>
      <c r="W2861" t="s">
        <v>66</v>
      </c>
      <c r="X2861" t="s">
        <v>67</v>
      </c>
      <c r="Y2861" t="s">
        <v>67</v>
      </c>
      <c r="Z2861" t="s">
        <v>68</v>
      </c>
      <c r="AB2861">
        <v>4</v>
      </c>
      <c r="AC2861" t="s">
        <v>61</v>
      </c>
      <c r="AJ2861" t="s">
        <v>69</v>
      </c>
      <c r="AY2861" t="s">
        <v>2164</v>
      </c>
      <c r="AZ2861">
        <v>10137</v>
      </c>
      <c r="BA2861" t="s">
        <v>2165</v>
      </c>
      <c r="BB2861" t="s">
        <v>2166</v>
      </c>
      <c r="BC2861">
        <v>1983</v>
      </c>
      <c r="BD2861" t="s">
        <v>200</v>
      </c>
    </row>
    <row r="2862" spans="1:56" x14ac:dyDescent="0.35">
      <c r="A2862">
        <v>7681529</v>
      </c>
      <c r="B2862" t="s">
        <v>2162</v>
      </c>
      <c r="C2862" t="s">
        <v>195</v>
      </c>
      <c r="D2862" t="s">
        <v>57</v>
      </c>
      <c r="E2862">
        <v>5</v>
      </c>
      <c r="F2862" t="s">
        <v>58</v>
      </c>
      <c r="G2862" t="s">
        <v>59</v>
      </c>
      <c r="H2862" t="s">
        <v>60</v>
      </c>
      <c r="I2862" t="s">
        <v>211</v>
      </c>
      <c r="J2862">
        <v>1</v>
      </c>
      <c r="K2862" t="s">
        <v>506</v>
      </c>
      <c r="L2862" t="s">
        <v>74</v>
      </c>
      <c r="M2862" t="s">
        <v>63</v>
      </c>
      <c r="N2862" t="s">
        <v>64</v>
      </c>
      <c r="P2862" t="s">
        <v>201</v>
      </c>
      <c r="R2862">
        <v>0.72</v>
      </c>
      <c r="T2862">
        <v>0.41</v>
      </c>
      <c r="V2862">
        <v>2.2400000000000002</v>
      </c>
      <c r="W2862" t="s">
        <v>66</v>
      </c>
      <c r="X2862" t="s">
        <v>67</v>
      </c>
      <c r="Y2862" t="s">
        <v>67</v>
      </c>
      <c r="Z2862" t="s">
        <v>68</v>
      </c>
      <c r="AB2862">
        <v>4</v>
      </c>
      <c r="AC2862" t="s">
        <v>61</v>
      </c>
      <c r="AJ2862" t="s">
        <v>69</v>
      </c>
      <c r="AY2862" t="s">
        <v>2167</v>
      </c>
      <c r="AZ2862">
        <v>15763</v>
      </c>
      <c r="BA2862" t="s">
        <v>2168</v>
      </c>
      <c r="BB2862" t="s">
        <v>2169</v>
      </c>
      <c r="BC2862">
        <v>1983</v>
      </c>
      <c r="BD2862" t="s">
        <v>510</v>
      </c>
    </row>
    <row r="2863" spans="1:56" x14ac:dyDescent="0.35">
      <c r="A2863">
        <v>7681529</v>
      </c>
      <c r="B2863" t="s">
        <v>2162</v>
      </c>
      <c r="D2863" t="s">
        <v>57</v>
      </c>
      <c r="E2863" t="s">
        <v>86</v>
      </c>
      <c r="F2863" t="s">
        <v>58</v>
      </c>
      <c r="G2863" t="s">
        <v>59</v>
      </c>
      <c r="H2863" t="s">
        <v>60</v>
      </c>
      <c r="I2863" t="s">
        <v>129</v>
      </c>
      <c r="J2863">
        <v>6</v>
      </c>
      <c r="K2863" t="s">
        <v>196</v>
      </c>
      <c r="L2863" t="s">
        <v>74</v>
      </c>
      <c r="M2863" t="s">
        <v>63</v>
      </c>
      <c r="N2863" t="s">
        <v>64</v>
      </c>
      <c r="P2863" t="s">
        <v>201</v>
      </c>
      <c r="R2863">
        <v>0.44</v>
      </c>
      <c r="T2863">
        <v>0.22</v>
      </c>
      <c r="V2863">
        <v>0.62</v>
      </c>
      <c r="W2863" t="s">
        <v>66</v>
      </c>
      <c r="X2863" t="s">
        <v>67</v>
      </c>
      <c r="Y2863" t="s">
        <v>67</v>
      </c>
      <c r="Z2863" t="s">
        <v>68</v>
      </c>
      <c r="AB2863">
        <v>4</v>
      </c>
      <c r="AC2863" t="s">
        <v>61</v>
      </c>
      <c r="AJ2863" t="s">
        <v>69</v>
      </c>
      <c r="AY2863" t="s">
        <v>2164</v>
      </c>
      <c r="AZ2863">
        <v>10137</v>
      </c>
      <c r="BA2863" t="s">
        <v>2165</v>
      </c>
      <c r="BB2863" t="s">
        <v>2166</v>
      </c>
      <c r="BC2863">
        <v>1983</v>
      </c>
      <c r="BD2863" t="s">
        <v>200</v>
      </c>
    </row>
    <row r="2864" spans="1:56" x14ac:dyDescent="0.35">
      <c r="A2864">
        <v>7681529</v>
      </c>
      <c r="B2864" t="s">
        <v>2162</v>
      </c>
      <c r="D2864" t="s">
        <v>57</v>
      </c>
      <c r="E2864" t="s">
        <v>86</v>
      </c>
      <c r="F2864" t="s">
        <v>58</v>
      </c>
      <c r="G2864" t="s">
        <v>59</v>
      </c>
      <c r="H2864" t="s">
        <v>60</v>
      </c>
      <c r="I2864" t="s">
        <v>211</v>
      </c>
      <c r="J2864" t="s">
        <v>86</v>
      </c>
      <c r="L2864" t="s">
        <v>74</v>
      </c>
      <c r="M2864" t="s">
        <v>63</v>
      </c>
      <c r="N2864" t="s">
        <v>64</v>
      </c>
      <c r="P2864" t="s">
        <v>201</v>
      </c>
      <c r="R2864">
        <v>1.56</v>
      </c>
      <c r="T2864">
        <v>1.34</v>
      </c>
      <c r="V2864">
        <v>1.79</v>
      </c>
      <c r="W2864" t="s">
        <v>66</v>
      </c>
      <c r="X2864" t="s">
        <v>67</v>
      </c>
      <c r="Y2864" t="s">
        <v>67</v>
      </c>
      <c r="Z2864" t="s">
        <v>68</v>
      </c>
      <c r="AB2864">
        <v>4</v>
      </c>
      <c r="AC2864" t="s">
        <v>61</v>
      </c>
      <c r="AJ2864" t="s">
        <v>69</v>
      </c>
      <c r="AY2864" t="s">
        <v>2164</v>
      </c>
      <c r="AZ2864">
        <v>10137</v>
      </c>
      <c r="BA2864" t="s">
        <v>2165</v>
      </c>
      <c r="BB2864" t="s">
        <v>2166</v>
      </c>
      <c r="BC2864">
        <v>1983</v>
      </c>
      <c r="BD2864" t="s">
        <v>90</v>
      </c>
    </row>
    <row r="2865" spans="1:56" x14ac:dyDescent="0.35">
      <c r="A2865">
        <v>7681529</v>
      </c>
      <c r="B2865" t="s">
        <v>2162</v>
      </c>
      <c r="D2865" t="s">
        <v>57</v>
      </c>
      <c r="E2865" t="s">
        <v>86</v>
      </c>
      <c r="F2865" t="s">
        <v>58</v>
      </c>
      <c r="G2865" t="s">
        <v>59</v>
      </c>
      <c r="H2865" t="s">
        <v>60</v>
      </c>
      <c r="I2865" t="s">
        <v>211</v>
      </c>
      <c r="J2865" t="s">
        <v>86</v>
      </c>
      <c r="L2865" t="s">
        <v>74</v>
      </c>
      <c r="M2865" t="s">
        <v>63</v>
      </c>
      <c r="N2865" t="s">
        <v>64</v>
      </c>
      <c r="P2865" t="s">
        <v>201</v>
      </c>
      <c r="R2865">
        <v>1.37</v>
      </c>
      <c r="T2865">
        <v>1.19</v>
      </c>
      <c r="V2865">
        <v>1.55</v>
      </c>
      <c r="W2865" t="s">
        <v>66</v>
      </c>
      <c r="X2865" t="s">
        <v>67</v>
      </c>
      <c r="Y2865" t="s">
        <v>67</v>
      </c>
      <c r="Z2865" t="s">
        <v>68</v>
      </c>
      <c r="AB2865">
        <v>4</v>
      </c>
      <c r="AC2865" t="s">
        <v>61</v>
      </c>
      <c r="AJ2865" t="s">
        <v>69</v>
      </c>
      <c r="AY2865" t="s">
        <v>2164</v>
      </c>
      <c r="AZ2865">
        <v>10137</v>
      </c>
      <c r="BA2865" t="s">
        <v>2165</v>
      </c>
      <c r="BB2865" t="s">
        <v>2166</v>
      </c>
      <c r="BC2865">
        <v>1983</v>
      </c>
      <c r="BD2865" t="s">
        <v>90</v>
      </c>
    </row>
    <row r="2866" spans="1:56" x14ac:dyDescent="0.35">
      <c r="A2866">
        <v>7681529</v>
      </c>
      <c r="B2866" t="s">
        <v>2162</v>
      </c>
      <c r="C2866" t="s">
        <v>195</v>
      </c>
      <c r="D2866" t="s">
        <v>57</v>
      </c>
      <c r="E2866">
        <v>5</v>
      </c>
      <c r="F2866" t="s">
        <v>58</v>
      </c>
      <c r="G2866" t="s">
        <v>59</v>
      </c>
      <c r="H2866" t="s">
        <v>60</v>
      </c>
      <c r="I2866" t="s">
        <v>129</v>
      </c>
      <c r="J2866">
        <v>4</v>
      </c>
      <c r="K2866" t="s">
        <v>196</v>
      </c>
      <c r="L2866" t="s">
        <v>74</v>
      </c>
      <c r="M2866" t="s">
        <v>63</v>
      </c>
      <c r="N2866" t="s">
        <v>64</v>
      </c>
      <c r="P2866" t="s">
        <v>201</v>
      </c>
      <c r="R2866">
        <v>0.17</v>
      </c>
      <c r="T2866">
        <v>0.13</v>
      </c>
      <c r="V2866">
        <v>0.24</v>
      </c>
      <c r="W2866" t="s">
        <v>66</v>
      </c>
      <c r="X2866" t="s">
        <v>67</v>
      </c>
      <c r="Y2866" t="s">
        <v>67</v>
      </c>
      <c r="Z2866" t="s">
        <v>68</v>
      </c>
      <c r="AB2866">
        <v>4</v>
      </c>
      <c r="AC2866" t="s">
        <v>61</v>
      </c>
      <c r="AJ2866" t="s">
        <v>69</v>
      </c>
      <c r="AY2866" t="s">
        <v>2167</v>
      </c>
      <c r="AZ2866">
        <v>15763</v>
      </c>
      <c r="BA2866" t="s">
        <v>2168</v>
      </c>
      <c r="BB2866" t="s">
        <v>2169</v>
      </c>
      <c r="BC2866">
        <v>1983</v>
      </c>
      <c r="BD2866" t="s">
        <v>200</v>
      </c>
    </row>
    <row r="2867" spans="1:56" x14ac:dyDescent="0.35">
      <c r="A2867">
        <v>7681529</v>
      </c>
      <c r="B2867" t="s">
        <v>2162</v>
      </c>
      <c r="D2867" t="s">
        <v>57</v>
      </c>
      <c r="E2867" t="s">
        <v>86</v>
      </c>
      <c r="F2867" t="s">
        <v>58</v>
      </c>
      <c r="G2867" t="s">
        <v>59</v>
      </c>
      <c r="H2867" t="s">
        <v>60</v>
      </c>
      <c r="J2867" t="s">
        <v>86</v>
      </c>
      <c r="K2867" t="s">
        <v>1027</v>
      </c>
      <c r="L2867" t="s">
        <v>190</v>
      </c>
      <c r="M2867" t="s">
        <v>63</v>
      </c>
      <c r="N2867" t="s">
        <v>64</v>
      </c>
      <c r="O2867" t="s">
        <v>2114</v>
      </c>
      <c r="P2867" t="s">
        <v>201</v>
      </c>
      <c r="R2867">
        <v>0.114</v>
      </c>
      <c r="T2867">
        <v>7.9000000000000001E-2</v>
      </c>
      <c r="V2867">
        <v>0.16500000000000001</v>
      </c>
      <c r="W2867" t="s">
        <v>66</v>
      </c>
      <c r="X2867" t="s">
        <v>67</v>
      </c>
      <c r="Y2867" t="s">
        <v>67</v>
      </c>
      <c r="Z2867" t="s">
        <v>68</v>
      </c>
      <c r="AB2867">
        <v>4</v>
      </c>
      <c r="AC2867" t="s">
        <v>61</v>
      </c>
      <c r="AJ2867" t="s">
        <v>69</v>
      </c>
      <c r="AY2867" t="s">
        <v>2115</v>
      </c>
      <c r="AZ2867">
        <v>77828</v>
      </c>
      <c r="BA2867" t="s">
        <v>2116</v>
      </c>
      <c r="BB2867" t="s">
        <v>2117</v>
      </c>
      <c r="BC2867">
        <v>2002</v>
      </c>
      <c r="BD2867" t="s">
        <v>2118</v>
      </c>
    </row>
    <row r="2868" spans="1:56" x14ac:dyDescent="0.35">
      <c r="A2868">
        <v>7681529</v>
      </c>
      <c r="B2868" t="s">
        <v>2162</v>
      </c>
      <c r="D2868" t="s">
        <v>57</v>
      </c>
      <c r="E2868" t="s">
        <v>86</v>
      </c>
      <c r="F2868" t="s">
        <v>58</v>
      </c>
      <c r="G2868" t="s">
        <v>59</v>
      </c>
      <c r="H2868" t="s">
        <v>60</v>
      </c>
      <c r="I2868" t="s">
        <v>129</v>
      </c>
      <c r="J2868">
        <v>6</v>
      </c>
      <c r="K2868" t="s">
        <v>196</v>
      </c>
      <c r="L2868" t="s">
        <v>74</v>
      </c>
      <c r="M2868" t="s">
        <v>63</v>
      </c>
      <c r="N2868" t="s">
        <v>64</v>
      </c>
      <c r="P2868" t="s">
        <v>201</v>
      </c>
      <c r="R2868">
        <v>0.39</v>
      </c>
      <c r="T2868">
        <v>0.21</v>
      </c>
      <c r="V2868">
        <v>0.53</v>
      </c>
      <c r="W2868" t="s">
        <v>66</v>
      </c>
      <c r="X2868" t="s">
        <v>67</v>
      </c>
      <c r="Y2868" t="s">
        <v>67</v>
      </c>
      <c r="Z2868" t="s">
        <v>68</v>
      </c>
      <c r="AB2868">
        <v>4</v>
      </c>
      <c r="AC2868" t="s">
        <v>61</v>
      </c>
      <c r="AJ2868" t="s">
        <v>69</v>
      </c>
      <c r="AY2868" t="s">
        <v>2164</v>
      </c>
      <c r="AZ2868">
        <v>10137</v>
      </c>
      <c r="BA2868" t="s">
        <v>2165</v>
      </c>
      <c r="BB2868" t="s">
        <v>2166</v>
      </c>
      <c r="BC2868">
        <v>1983</v>
      </c>
      <c r="BD2868" t="s">
        <v>200</v>
      </c>
    </row>
    <row r="2869" spans="1:56" x14ac:dyDescent="0.35">
      <c r="A2869">
        <v>7681529</v>
      </c>
      <c r="B2869" t="s">
        <v>2162</v>
      </c>
      <c r="C2869" t="s">
        <v>195</v>
      </c>
      <c r="D2869" t="s">
        <v>57</v>
      </c>
      <c r="E2869">
        <v>5</v>
      </c>
      <c r="F2869" t="s">
        <v>58</v>
      </c>
      <c r="G2869" t="s">
        <v>59</v>
      </c>
      <c r="H2869" t="s">
        <v>60</v>
      </c>
      <c r="I2869" t="s">
        <v>129</v>
      </c>
      <c r="J2869">
        <v>4</v>
      </c>
      <c r="K2869" t="s">
        <v>196</v>
      </c>
      <c r="L2869" t="s">
        <v>74</v>
      </c>
      <c r="M2869" t="s">
        <v>63</v>
      </c>
      <c r="N2869" t="s">
        <v>64</v>
      </c>
      <c r="P2869" t="s">
        <v>201</v>
      </c>
      <c r="R2869">
        <v>0.14000000000000001</v>
      </c>
      <c r="T2869">
        <v>0.1</v>
      </c>
      <c r="V2869">
        <v>0.21</v>
      </c>
      <c r="W2869" t="s">
        <v>66</v>
      </c>
      <c r="X2869" t="s">
        <v>67</v>
      </c>
      <c r="Y2869" t="s">
        <v>67</v>
      </c>
      <c r="Z2869" t="s">
        <v>68</v>
      </c>
      <c r="AB2869">
        <v>4</v>
      </c>
      <c r="AC2869" t="s">
        <v>61</v>
      </c>
      <c r="AJ2869" t="s">
        <v>69</v>
      </c>
      <c r="AY2869" t="s">
        <v>2167</v>
      </c>
      <c r="AZ2869">
        <v>15763</v>
      </c>
      <c r="BA2869" t="s">
        <v>2168</v>
      </c>
      <c r="BB2869" t="s">
        <v>2169</v>
      </c>
      <c r="BC2869">
        <v>1983</v>
      </c>
      <c r="BD2869" t="s">
        <v>200</v>
      </c>
    </row>
    <row r="2870" spans="1:56" x14ac:dyDescent="0.35">
      <c r="A2870">
        <v>7681529</v>
      </c>
      <c r="B2870" t="s">
        <v>2162</v>
      </c>
      <c r="C2870" t="s">
        <v>195</v>
      </c>
      <c r="D2870" t="s">
        <v>57</v>
      </c>
      <c r="E2870">
        <v>5</v>
      </c>
      <c r="F2870" t="s">
        <v>58</v>
      </c>
      <c r="G2870" t="s">
        <v>59</v>
      </c>
      <c r="H2870" t="s">
        <v>60</v>
      </c>
      <c r="I2870" t="s">
        <v>211</v>
      </c>
      <c r="J2870">
        <v>1</v>
      </c>
      <c r="K2870" t="s">
        <v>506</v>
      </c>
      <c r="L2870" t="s">
        <v>74</v>
      </c>
      <c r="M2870" t="s">
        <v>63</v>
      </c>
      <c r="N2870" t="s">
        <v>64</v>
      </c>
      <c r="P2870" t="s">
        <v>201</v>
      </c>
      <c r="R2870">
        <v>0.35</v>
      </c>
      <c r="T2870">
        <v>0.2</v>
      </c>
      <c r="V2870">
        <v>1.08</v>
      </c>
      <c r="W2870" t="s">
        <v>66</v>
      </c>
      <c r="X2870" t="s">
        <v>67</v>
      </c>
      <c r="Y2870" t="s">
        <v>67</v>
      </c>
      <c r="Z2870" t="s">
        <v>68</v>
      </c>
      <c r="AB2870">
        <v>4</v>
      </c>
      <c r="AC2870" t="s">
        <v>61</v>
      </c>
      <c r="AJ2870" t="s">
        <v>69</v>
      </c>
      <c r="AY2870" t="s">
        <v>2167</v>
      </c>
      <c r="AZ2870">
        <v>15763</v>
      </c>
      <c r="BA2870" t="s">
        <v>2168</v>
      </c>
      <c r="BB2870" t="s">
        <v>2169</v>
      </c>
      <c r="BC2870">
        <v>1983</v>
      </c>
      <c r="BD2870" t="s">
        <v>510</v>
      </c>
    </row>
    <row r="2871" spans="1:56" x14ac:dyDescent="0.35">
      <c r="A2871">
        <v>7699436</v>
      </c>
      <c r="B2871" t="s">
        <v>2170</v>
      </c>
      <c r="D2871" t="s">
        <v>85</v>
      </c>
      <c r="E2871" t="s">
        <v>86</v>
      </c>
      <c r="F2871" t="s">
        <v>58</v>
      </c>
      <c r="G2871" t="s">
        <v>59</v>
      </c>
      <c r="H2871" t="s">
        <v>60</v>
      </c>
      <c r="J2871" t="s">
        <v>86</v>
      </c>
      <c r="L2871" t="s">
        <v>62</v>
      </c>
      <c r="M2871" t="s">
        <v>63</v>
      </c>
      <c r="N2871" t="s">
        <v>64</v>
      </c>
      <c r="P2871" t="s">
        <v>201</v>
      </c>
      <c r="R2871">
        <v>240</v>
      </c>
      <c r="W2871" t="s">
        <v>66</v>
      </c>
      <c r="X2871" t="s">
        <v>67</v>
      </c>
      <c r="Y2871" t="s">
        <v>67</v>
      </c>
      <c r="Z2871" t="s">
        <v>68</v>
      </c>
      <c r="AB2871">
        <v>4</v>
      </c>
      <c r="AC2871" t="s">
        <v>61</v>
      </c>
      <c r="AJ2871" t="s">
        <v>69</v>
      </c>
      <c r="AY2871" t="s">
        <v>275</v>
      </c>
      <c r="AZ2871">
        <v>2042</v>
      </c>
      <c r="BA2871" t="s">
        <v>1490</v>
      </c>
      <c r="BB2871" t="s">
        <v>1491</v>
      </c>
      <c r="BC2871">
        <v>1960</v>
      </c>
      <c r="BD2871" t="s">
        <v>90</v>
      </c>
    </row>
    <row r="2872" spans="1:56" x14ac:dyDescent="0.35">
      <c r="A2872">
        <v>7699436</v>
      </c>
      <c r="B2872" t="s">
        <v>2170</v>
      </c>
      <c r="D2872" t="s">
        <v>85</v>
      </c>
      <c r="E2872" t="s">
        <v>86</v>
      </c>
      <c r="F2872" t="s">
        <v>58</v>
      </c>
      <c r="G2872" t="s">
        <v>59</v>
      </c>
      <c r="H2872" t="s">
        <v>60</v>
      </c>
      <c r="J2872" t="s">
        <v>86</v>
      </c>
      <c r="L2872" t="s">
        <v>62</v>
      </c>
      <c r="M2872" t="s">
        <v>63</v>
      </c>
      <c r="N2872" t="s">
        <v>64</v>
      </c>
      <c r="P2872" t="s">
        <v>201</v>
      </c>
      <c r="R2872">
        <v>18</v>
      </c>
      <c r="W2872" t="s">
        <v>66</v>
      </c>
      <c r="X2872" t="s">
        <v>67</v>
      </c>
      <c r="Y2872" t="s">
        <v>67</v>
      </c>
      <c r="Z2872" t="s">
        <v>68</v>
      </c>
      <c r="AB2872">
        <v>4</v>
      </c>
      <c r="AC2872" t="s">
        <v>61</v>
      </c>
      <c r="AJ2872" t="s">
        <v>69</v>
      </c>
      <c r="AY2872" t="s">
        <v>275</v>
      </c>
      <c r="AZ2872">
        <v>2042</v>
      </c>
      <c r="BA2872" t="s">
        <v>1490</v>
      </c>
      <c r="BB2872" t="s">
        <v>1491</v>
      </c>
      <c r="BC2872">
        <v>1960</v>
      </c>
      <c r="BD2872" t="s">
        <v>90</v>
      </c>
    </row>
    <row r="2873" spans="1:56" x14ac:dyDescent="0.35">
      <c r="A2873">
        <v>7700176</v>
      </c>
      <c r="B2873" t="s">
        <v>2171</v>
      </c>
      <c r="E2873">
        <v>80</v>
      </c>
      <c r="F2873" t="s">
        <v>58</v>
      </c>
      <c r="G2873" t="s">
        <v>59</v>
      </c>
      <c r="H2873" t="s">
        <v>60</v>
      </c>
      <c r="J2873" t="s">
        <v>86</v>
      </c>
      <c r="L2873" t="s">
        <v>62</v>
      </c>
      <c r="M2873" t="s">
        <v>63</v>
      </c>
      <c r="N2873" t="s">
        <v>64</v>
      </c>
      <c r="P2873" t="s">
        <v>65</v>
      </c>
      <c r="R2873">
        <v>11.9</v>
      </c>
      <c r="T2873">
        <v>9.83</v>
      </c>
      <c r="V2873">
        <v>14.4</v>
      </c>
      <c r="W2873" t="s">
        <v>66</v>
      </c>
      <c r="X2873" t="s">
        <v>67</v>
      </c>
      <c r="Y2873" t="s">
        <v>67</v>
      </c>
      <c r="Z2873" t="s">
        <v>68</v>
      </c>
      <c r="AB2873">
        <v>4</v>
      </c>
      <c r="AC2873" t="s">
        <v>61</v>
      </c>
      <c r="AJ2873" t="s">
        <v>69</v>
      </c>
      <c r="AY2873" t="s">
        <v>96</v>
      </c>
      <c r="AZ2873">
        <v>6797</v>
      </c>
      <c r="BA2873" t="s">
        <v>97</v>
      </c>
      <c r="BB2873" t="s">
        <v>98</v>
      </c>
      <c r="BC2873">
        <v>1986</v>
      </c>
      <c r="BD2873" t="s">
        <v>90</v>
      </c>
    </row>
    <row r="2874" spans="1:56" x14ac:dyDescent="0.35">
      <c r="A2874">
        <v>7705080</v>
      </c>
      <c r="B2874" t="s">
        <v>2172</v>
      </c>
      <c r="C2874" t="s">
        <v>195</v>
      </c>
      <c r="D2874" t="s">
        <v>57</v>
      </c>
      <c r="E2874" t="s">
        <v>86</v>
      </c>
      <c r="F2874" t="s">
        <v>58</v>
      </c>
      <c r="G2874" t="s">
        <v>59</v>
      </c>
      <c r="H2874" t="s">
        <v>60</v>
      </c>
      <c r="J2874" t="s">
        <v>86</v>
      </c>
      <c r="L2874" t="s">
        <v>190</v>
      </c>
      <c r="M2874" t="s">
        <v>63</v>
      </c>
      <c r="N2874" t="s">
        <v>64</v>
      </c>
      <c r="P2874" t="s">
        <v>201</v>
      </c>
      <c r="R2874">
        <v>21.84</v>
      </c>
      <c r="T2874">
        <v>20.95</v>
      </c>
      <c r="V2874">
        <v>22.56</v>
      </c>
      <c r="W2874" t="s">
        <v>66</v>
      </c>
      <c r="X2874" t="s">
        <v>67</v>
      </c>
      <c r="Y2874" t="s">
        <v>67</v>
      </c>
      <c r="Z2874" t="s">
        <v>68</v>
      </c>
      <c r="AB2874">
        <v>4</v>
      </c>
      <c r="AC2874" t="s">
        <v>61</v>
      </c>
      <c r="AJ2874" t="s">
        <v>69</v>
      </c>
      <c r="AY2874" t="s">
        <v>2142</v>
      </c>
      <c r="AZ2874">
        <v>45826</v>
      </c>
      <c r="BA2874" t="s">
        <v>2143</v>
      </c>
      <c r="BB2874" t="s">
        <v>2144</v>
      </c>
      <c r="BC2874">
        <v>1985</v>
      </c>
      <c r="BD2874" t="s">
        <v>90</v>
      </c>
    </row>
    <row r="2875" spans="1:56" x14ac:dyDescent="0.35">
      <c r="A2875">
        <v>7718549</v>
      </c>
      <c r="B2875" t="s">
        <v>2173</v>
      </c>
      <c r="C2875" t="s">
        <v>195</v>
      </c>
      <c r="D2875" t="s">
        <v>85</v>
      </c>
      <c r="E2875" t="s">
        <v>86</v>
      </c>
      <c r="F2875" t="s">
        <v>58</v>
      </c>
      <c r="G2875" t="s">
        <v>59</v>
      </c>
      <c r="H2875" t="s">
        <v>60</v>
      </c>
      <c r="I2875" t="s">
        <v>129</v>
      </c>
      <c r="J2875" t="s">
        <v>86</v>
      </c>
      <c r="L2875" t="s">
        <v>62</v>
      </c>
      <c r="M2875" t="s">
        <v>63</v>
      </c>
      <c r="N2875" t="s">
        <v>64</v>
      </c>
      <c r="O2875">
        <v>5</v>
      </c>
      <c r="P2875" t="s">
        <v>201</v>
      </c>
      <c r="Q2875" t="s">
        <v>1093</v>
      </c>
      <c r="R2875">
        <v>100</v>
      </c>
      <c r="W2875" t="s">
        <v>66</v>
      </c>
      <c r="X2875" t="s">
        <v>67</v>
      </c>
      <c r="Y2875" t="s">
        <v>67</v>
      </c>
      <c r="Z2875" t="s">
        <v>68</v>
      </c>
      <c r="AB2875">
        <v>4</v>
      </c>
      <c r="AC2875" t="s">
        <v>61</v>
      </c>
      <c r="AJ2875" t="s">
        <v>69</v>
      </c>
      <c r="AY2875" t="s">
        <v>298</v>
      </c>
      <c r="AZ2875">
        <v>11951</v>
      </c>
      <c r="BA2875" t="s">
        <v>299</v>
      </c>
      <c r="BB2875" t="s">
        <v>300</v>
      </c>
      <c r="BC2875">
        <v>1986</v>
      </c>
      <c r="BD2875" t="s">
        <v>90</v>
      </c>
    </row>
    <row r="2876" spans="1:56" x14ac:dyDescent="0.35">
      <c r="A2876">
        <v>7718549</v>
      </c>
      <c r="B2876" t="s">
        <v>2173</v>
      </c>
      <c r="D2876" t="s">
        <v>85</v>
      </c>
      <c r="E2876" t="s">
        <v>86</v>
      </c>
      <c r="F2876" t="s">
        <v>58</v>
      </c>
      <c r="G2876" t="s">
        <v>59</v>
      </c>
      <c r="H2876" t="s">
        <v>60</v>
      </c>
      <c r="I2876" t="s">
        <v>2174</v>
      </c>
      <c r="J2876" t="s">
        <v>86</v>
      </c>
      <c r="L2876" t="s">
        <v>62</v>
      </c>
      <c r="M2876" t="s">
        <v>63</v>
      </c>
      <c r="N2876" t="s">
        <v>64</v>
      </c>
      <c r="P2876" t="s">
        <v>201</v>
      </c>
      <c r="R2876">
        <v>32</v>
      </c>
      <c r="W2876" t="s">
        <v>66</v>
      </c>
      <c r="X2876" t="s">
        <v>67</v>
      </c>
      <c r="Y2876" t="s">
        <v>67</v>
      </c>
      <c r="Z2876" t="s">
        <v>68</v>
      </c>
      <c r="AB2876">
        <v>4</v>
      </c>
      <c r="AC2876" t="s">
        <v>61</v>
      </c>
      <c r="AJ2876" t="s">
        <v>69</v>
      </c>
      <c r="AY2876" t="s">
        <v>2175</v>
      </c>
      <c r="AZ2876">
        <v>5225</v>
      </c>
      <c r="BA2876" t="s">
        <v>2176</v>
      </c>
      <c r="BB2876" t="s">
        <v>2177</v>
      </c>
      <c r="BC2876">
        <v>1974</v>
      </c>
      <c r="BD2876" t="s">
        <v>90</v>
      </c>
    </row>
    <row r="2877" spans="1:56" x14ac:dyDescent="0.35">
      <c r="A2877">
        <v>7718549</v>
      </c>
      <c r="B2877" t="s">
        <v>2173</v>
      </c>
      <c r="D2877" t="s">
        <v>85</v>
      </c>
      <c r="E2877" t="s">
        <v>86</v>
      </c>
      <c r="F2877" t="s">
        <v>58</v>
      </c>
      <c r="G2877" t="s">
        <v>59</v>
      </c>
      <c r="H2877" t="s">
        <v>60</v>
      </c>
      <c r="J2877" t="s">
        <v>86</v>
      </c>
      <c r="L2877" t="s">
        <v>62</v>
      </c>
      <c r="M2877" t="s">
        <v>63</v>
      </c>
      <c r="N2877" t="s">
        <v>64</v>
      </c>
      <c r="P2877" t="s">
        <v>201</v>
      </c>
      <c r="R2877">
        <v>4.58</v>
      </c>
      <c r="T2877">
        <v>3.4</v>
      </c>
      <c r="V2877">
        <v>5.74</v>
      </c>
      <c r="W2877" t="s">
        <v>66</v>
      </c>
      <c r="X2877" t="s">
        <v>67</v>
      </c>
      <c r="Y2877" t="s">
        <v>67</v>
      </c>
      <c r="Z2877" t="s">
        <v>68</v>
      </c>
      <c r="AB2877">
        <v>4</v>
      </c>
      <c r="AC2877" t="s">
        <v>61</v>
      </c>
      <c r="AJ2877" t="s">
        <v>69</v>
      </c>
      <c r="AY2877" t="s">
        <v>168</v>
      </c>
      <c r="AZ2877">
        <v>2033</v>
      </c>
      <c r="BA2877" t="s">
        <v>1385</v>
      </c>
      <c r="BB2877" t="s">
        <v>1386</v>
      </c>
      <c r="BC2877">
        <v>1966</v>
      </c>
      <c r="BD2877" t="s">
        <v>90</v>
      </c>
    </row>
    <row r="2878" spans="1:56" x14ac:dyDescent="0.35">
      <c r="A2878">
        <v>7718549</v>
      </c>
      <c r="B2878" t="s">
        <v>2173</v>
      </c>
      <c r="D2878" t="s">
        <v>85</v>
      </c>
      <c r="E2878" t="s">
        <v>86</v>
      </c>
      <c r="F2878" t="s">
        <v>58</v>
      </c>
      <c r="G2878" t="s">
        <v>59</v>
      </c>
      <c r="H2878" t="s">
        <v>60</v>
      </c>
      <c r="J2878" t="s">
        <v>86</v>
      </c>
      <c r="L2878" t="s">
        <v>62</v>
      </c>
      <c r="M2878" t="s">
        <v>63</v>
      </c>
      <c r="N2878" t="s">
        <v>64</v>
      </c>
      <c r="P2878" t="s">
        <v>201</v>
      </c>
      <c r="R2878">
        <v>24</v>
      </c>
      <c r="W2878" t="s">
        <v>66</v>
      </c>
      <c r="X2878" t="s">
        <v>67</v>
      </c>
      <c r="Y2878" t="s">
        <v>67</v>
      </c>
      <c r="Z2878" t="s">
        <v>68</v>
      </c>
      <c r="AB2878">
        <v>4</v>
      </c>
      <c r="AC2878" t="s">
        <v>61</v>
      </c>
      <c r="AJ2878" t="s">
        <v>69</v>
      </c>
      <c r="AY2878" t="s">
        <v>275</v>
      </c>
      <c r="AZ2878">
        <v>2042</v>
      </c>
      <c r="BA2878" t="s">
        <v>1490</v>
      </c>
      <c r="BB2878" t="s">
        <v>1491</v>
      </c>
      <c r="BC2878">
        <v>1960</v>
      </c>
      <c r="BD2878" t="s">
        <v>90</v>
      </c>
    </row>
    <row r="2879" spans="1:56" x14ac:dyDescent="0.35">
      <c r="A2879">
        <v>7718549</v>
      </c>
      <c r="B2879" t="s">
        <v>2173</v>
      </c>
      <c r="D2879" t="s">
        <v>57</v>
      </c>
      <c r="E2879" t="s">
        <v>86</v>
      </c>
      <c r="F2879" t="s">
        <v>58</v>
      </c>
      <c r="G2879" t="s">
        <v>59</v>
      </c>
      <c r="H2879" t="s">
        <v>60</v>
      </c>
      <c r="J2879" t="s">
        <v>1102</v>
      </c>
      <c r="K2879" t="s">
        <v>184</v>
      </c>
      <c r="M2879" t="s">
        <v>63</v>
      </c>
      <c r="N2879" t="s">
        <v>64</v>
      </c>
      <c r="P2879" t="s">
        <v>201</v>
      </c>
      <c r="R2879">
        <v>3.1</v>
      </c>
      <c r="W2879" t="s">
        <v>66</v>
      </c>
      <c r="X2879" t="s">
        <v>67</v>
      </c>
      <c r="Y2879" t="s">
        <v>67</v>
      </c>
      <c r="Z2879" t="s">
        <v>68</v>
      </c>
      <c r="AB2879">
        <v>4</v>
      </c>
      <c r="AC2879" t="s">
        <v>61</v>
      </c>
      <c r="AJ2879" t="s">
        <v>69</v>
      </c>
      <c r="AY2879" t="s">
        <v>1851</v>
      </c>
      <c r="AZ2879">
        <v>7289</v>
      </c>
      <c r="BA2879" t="s">
        <v>1852</v>
      </c>
      <c r="BB2879" t="s">
        <v>1853</v>
      </c>
      <c r="BC2879">
        <v>1993</v>
      </c>
      <c r="BD2879" t="s">
        <v>185</v>
      </c>
    </row>
    <row r="2880" spans="1:56" x14ac:dyDescent="0.35">
      <c r="A2880">
        <v>7718549</v>
      </c>
      <c r="B2880" t="s">
        <v>2173</v>
      </c>
      <c r="D2880" t="s">
        <v>85</v>
      </c>
      <c r="E2880" t="s">
        <v>86</v>
      </c>
      <c r="F2880" t="s">
        <v>58</v>
      </c>
      <c r="G2880" t="s">
        <v>59</v>
      </c>
      <c r="H2880" t="s">
        <v>60</v>
      </c>
      <c r="J2880" t="s">
        <v>86</v>
      </c>
      <c r="L2880" t="s">
        <v>62</v>
      </c>
      <c r="M2880" t="s">
        <v>63</v>
      </c>
      <c r="N2880" t="s">
        <v>64</v>
      </c>
      <c r="P2880" t="s">
        <v>201</v>
      </c>
      <c r="R2880">
        <v>4</v>
      </c>
      <c r="W2880" t="s">
        <v>66</v>
      </c>
      <c r="X2880" t="s">
        <v>67</v>
      </c>
      <c r="Y2880" t="s">
        <v>67</v>
      </c>
      <c r="Z2880" t="s">
        <v>68</v>
      </c>
      <c r="AB2880">
        <v>4</v>
      </c>
      <c r="AC2880" t="s">
        <v>61</v>
      </c>
      <c r="AJ2880" t="s">
        <v>69</v>
      </c>
      <c r="AY2880" t="s">
        <v>275</v>
      </c>
      <c r="AZ2880">
        <v>2042</v>
      </c>
      <c r="BA2880" t="s">
        <v>1490</v>
      </c>
      <c r="BB2880" t="s">
        <v>1491</v>
      </c>
      <c r="BC2880">
        <v>1960</v>
      </c>
      <c r="BD2880" t="s">
        <v>90</v>
      </c>
    </row>
    <row r="2881" spans="1:56" x14ac:dyDescent="0.35">
      <c r="A2881">
        <v>7718549</v>
      </c>
      <c r="B2881" t="s">
        <v>2173</v>
      </c>
      <c r="D2881" t="s">
        <v>85</v>
      </c>
      <c r="E2881" t="s">
        <v>86</v>
      </c>
      <c r="F2881" t="s">
        <v>58</v>
      </c>
      <c r="G2881" t="s">
        <v>59</v>
      </c>
      <c r="H2881" t="s">
        <v>60</v>
      </c>
      <c r="J2881" t="s">
        <v>86</v>
      </c>
      <c r="L2881" t="s">
        <v>62</v>
      </c>
      <c r="M2881" t="s">
        <v>63</v>
      </c>
      <c r="N2881" t="s">
        <v>64</v>
      </c>
      <c r="P2881" t="s">
        <v>201</v>
      </c>
      <c r="R2881">
        <v>44.5</v>
      </c>
      <c r="T2881">
        <v>32.799999999999997</v>
      </c>
      <c r="V2881">
        <v>55.8</v>
      </c>
      <c r="W2881" t="s">
        <v>66</v>
      </c>
      <c r="X2881" t="s">
        <v>67</v>
      </c>
      <c r="Y2881" t="s">
        <v>67</v>
      </c>
      <c r="Z2881" t="s">
        <v>68</v>
      </c>
      <c r="AB2881">
        <v>4</v>
      </c>
      <c r="AC2881" t="s">
        <v>61</v>
      </c>
      <c r="AJ2881" t="s">
        <v>69</v>
      </c>
      <c r="AY2881" t="s">
        <v>168</v>
      </c>
      <c r="AZ2881">
        <v>2033</v>
      </c>
      <c r="BA2881" t="s">
        <v>1385</v>
      </c>
      <c r="BB2881" t="s">
        <v>1386</v>
      </c>
      <c r="BC2881">
        <v>1966</v>
      </c>
      <c r="BD2881" t="s">
        <v>90</v>
      </c>
    </row>
    <row r="2882" spans="1:56" x14ac:dyDescent="0.35">
      <c r="A2882">
        <v>7718549</v>
      </c>
      <c r="B2882" t="s">
        <v>2173</v>
      </c>
      <c r="D2882" t="s">
        <v>57</v>
      </c>
      <c r="E2882" t="s">
        <v>86</v>
      </c>
      <c r="F2882" t="s">
        <v>58</v>
      </c>
      <c r="G2882" t="s">
        <v>59</v>
      </c>
      <c r="H2882" t="s">
        <v>60</v>
      </c>
      <c r="J2882" t="s">
        <v>1102</v>
      </c>
      <c r="K2882" t="s">
        <v>184</v>
      </c>
      <c r="M2882" t="s">
        <v>63</v>
      </c>
      <c r="N2882" t="s">
        <v>64</v>
      </c>
      <c r="P2882" t="s">
        <v>201</v>
      </c>
      <c r="R2882">
        <v>3.4</v>
      </c>
      <c r="T2882">
        <v>1.9</v>
      </c>
      <c r="V2882">
        <v>4</v>
      </c>
      <c r="W2882" t="s">
        <v>66</v>
      </c>
      <c r="X2882" t="s">
        <v>67</v>
      </c>
      <c r="Y2882" t="s">
        <v>67</v>
      </c>
      <c r="Z2882" t="s">
        <v>68</v>
      </c>
      <c r="AB2882">
        <v>4</v>
      </c>
      <c r="AC2882" t="s">
        <v>61</v>
      </c>
      <c r="AJ2882" t="s">
        <v>69</v>
      </c>
      <c r="AY2882" t="s">
        <v>1851</v>
      </c>
      <c r="AZ2882">
        <v>7289</v>
      </c>
      <c r="BA2882" t="s">
        <v>1852</v>
      </c>
      <c r="BB2882" t="s">
        <v>1853</v>
      </c>
      <c r="BC2882">
        <v>1993</v>
      </c>
      <c r="BD2882" t="s">
        <v>185</v>
      </c>
    </row>
    <row r="2883" spans="1:56" x14ac:dyDescent="0.35">
      <c r="A2883">
        <v>7718549</v>
      </c>
      <c r="B2883" t="s">
        <v>2173</v>
      </c>
      <c r="D2883" t="s">
        <v>85</v>
      </c>
      <c r="E2883" t="s">
        <v>86</v>
      </c>
      <c r="F2883" t="s">
        <v>58</v>
      </c>
      <c r="G2883" t="s">
        <v>59</v>
      </c>
      <c r="H2883" t="s">
        <v>60</v>
      </c>
      <c r="I2883" t="s">
        <v>2174</v>
      </c>
      <c r="J2883" t="s">
        <v>86</v>
      </c>
      <c r="L2883" t="s">
        <v>62</v>
      </c>
      <c r="M2883" t="s">
        <v>63</v>
      </c>
      <c r="N2883" t="s">
        <v>64</v>
      </c>
      <c r="P2883" t="s">
        <v>201</v>
      </c>
      <c r="R2883">
        <v>27</v>
      </c>
      <c r="W2883" t="s">
        <v>66</v>
      </c>
      <c r="X2883" t="s">
        <v>67</v>
      </c>
      <c r="Y2883" t="s">
        <v>67</v>
      </c>
      <c r="Z2883" t="s">
        <v>68</v>
      </c>
      <c r="AB2883">
        <v>4</v>
      </c>
      <c r="AC2883" t="s">
        <v>61</v>
      </c>
      <c r="AJ2883" t="s">
        <v>69</v>
      </c>
      <c r="AY2883" t="s">
        <v>2175</v>
      </c>
      <c r="AZ2883">
        <v>5225</v>
      </c>
      <c r="BA2883" t="s">
        <v>2176</v>
      </c>
      <c r="BB2883" t="s">
        <v>2177</v>
      </c>
      <c r="BC2883">
        <v>1974</v>
      </c>
      <c r="BD2883" t="s">
        <v>90</v>
      </c>
    </row>
    <row r="2884" spans="1:56" x14ac:dyDescent="0.35">
      <c r="A2884">
        <v>7718549</v>
      </c>
      <c r="B2884" t="s">
        <v>2173</v>
      </c>
      <c r="D2884" t="s">
        <v>85</v>
      </c>
      <c r="E2884" t="s">
        <v>86</v>
      </c>
      <c r="F2884" t="s">
        <v>58</v>
      </c>
      <c r="G2884" t="s">
        <v>59</v>
      </c>
      <c r="H2884" t="s">
        <v>60</v>
      </c>
      <c r="J2884" t="s">
        <v>86</v>
      </c>
      <c r="L2884" t="s">
        <v>62</v>
      </c>
      <c r="M2884" t="s">
        <v>63</v>
      </c>
      <c r="N2884" t="s">
        <v>64</v>
      </c>
      <c r="P2884" t="s">
        <v>201</v>
      </c>
      <c r="R2884">
        <v>42.4</v>
      </c>
      <c r="T2884">
        <v>33.700000000000003</v>
      </c>
      <c r="V2884">
        <v>57.2</v>
      </c>
      <c r="W2884" t="s">
        <v>66</v>
      </c>
      <c r="X2884" t="s">
        <v>67</v>
      </c>
      <c r="Y2884" t="s">
        <v>67</v>
      </c>
      <c r="Z2884" t="s">
        <v>68</v>
      </c>
      <c r="AB2884">
        <v>4</v>
      </c>
      <c r="AC2884" t="s">
        <v>61</v>
      </c>
      <c r="AJ2884" t="s">
        <v>69</v>
      </c>
      <c r="AY2884" t="s">
        <v>168</v>
      </c>
      <c r="AZ2884">
        <v>2033</v>
      </c>
      <c r="BA2884" t="s">
        <v>1385</v>
      </c>
      <c r="BB2884" t="s">
        <v>1386</v>
      </c>
      <c r="BC2884">
        <v>1966</v>
      </c>
      <c r="BD2884" t="s">
        <v>90</v>
      </c>
    </row>
    <row r="2885" spans="1:56" x14ac:dyDescent="0.35">
      <c r="A2885">
        <v>7718549</v>
      </c>
      <c r="B2885" t="s">
        <v>2173</v>
      </c>
      <c r="C2885" t="s">
        <v>195</v>
      </c>
      <c r="D2885" t="s">
        <v>85</v>
      </c>
      <c r="E2885" t="s">
        <v>86</v>
      </c>
      <c r="F2885" t="s">
        <v>58</v>
      </c>
      <c r="G2885" t="s">
        <v>59</v>
      </c>
      <c r="H2885" t="s">
        <v>60</v>
      </c>
      <c r="I2885" t="s">
        <v>129</v>
      </c>
      <c r="J2885" t="s">
        <v>86</v>
      </c>
      <c r="L2885" t="s">
        <v>62</v>
      </c>
      <c r="M2885" t="s">
        <v>63</v>
      </c>
      <c r="N2885" t="s">
        <v>64</v>
      </c>
      <c r="O2885">
        <v>5</v>
      </c>
      <c r="P2885" t="s">
        <v>201</v>
      </c>
      <c r="R2885">
        <v>40</v>
      </c>
      <c r="W2885" t="s">
        <v>66</v>
      </c>
      <c r="X2885" t="s">
        <v>67</v>
      </c>
      <c r="Y2885" t="s">
        <v>67</v>
      </c>
      <c r="Z2885" t="s">
        <v>68</v>
      </c>
      <c r="AB2885">
        <v>4</v>
      </c>
      <c r="AC2885" t="s">
        <v>61</v>
      </c>
      <c r="AJ2885" t="s">
        <v>69</v>
      </c>
      <c r="AY2885" t="s">
        <v>298</v>
      </c>
      <c r="AZ2885">
        <v>11951</v>
      </c>
      <c r="BA2885" t="s">
        <v>299</v>
      </c>
      <c r="BB2885" t="s">
        <v>300</v>
      </c>
      <c r="BC2885">
        <v>1986</v>
      </c>
      <c r="BD2885" t="s">
        <v>90</v>
      </c>
    </row>
    <row r="2886" spans="1:56" x14ac:dyDescent="0.35">
      <c r="A2886">
        <v>7718549</v>
      </c>
      <c r="B2886" t="s">
        <v>2173</v>
      </c>
      <c r="D2886" t="s">
        <v>57</v>
      </c>
      <c r="E2886" t="s">
        <v>86</v>
      </c>
      <c r="F2886" t="s">
        <v>58</v>
      </c>
      <c r="G2886" t="s">
        <v>59</v>
      </c>
      <c r="H2886" t="s">
        <v>60</v>
      </c>
      <c r="J2886" t="s">
        <v>1102</v>
      </c>
      <c r="K2886" t="s">
        <v>184</v>
      </c>
      <c r="M2886" t="s">
        <v>63</v>
      </c>
      <c r="N2886" t="s">
        <v>64</v>
      </c>
      <c r="P2886" t="s">
        <v>201</v>
      </c>
      <c r="Q2886" t="s">
        <v>153</v>
      </c>
      <c r="R2886">
        <v>4</v>
      </c>
      <c r="W2886" t="s">
        <v>66</v>
      </c>
      <c r="X2886" t="s">
        <v>67</v>
      </c>
      <c r="Y2886" t="s">
        <v>67</v>
      </c>
      <c r="Z2886" t="s">
        <v>68</v>
      </c>
      <c r="AB2886">
        <v>4</v>
      </c>
      <c r="AC2886" t="s">
        <v>61</v>
      </c>
      <c r="AJ2886" t="s">
        <v>69</v>
      </c>
      <c r="AY2886" t="s">
        <v>1851</v>
      </c>
      <c r="AZ2886">
        <v>7289</v>
      </c>
      <c r="BA2886" t="s">
        <v>1852</v>
      </c>
      <c r="BB2886" t="s">
        <v>1853</v>
      </c>
      <c r="BC2886">
        <v>1993</v>
      </c>
      <c r="BD2886" t="s">
        <v>185</v>
      </c>
    </row>
    <row r="2887" spans="1:56" x14ac:dyDescent="0.35">
      <c r="A2887">
        <v>7718549</v>
      </c>
      <c r="B2887" t="s">
        <v>2173</v>
      </c>
      <c r="D2887" t="s">
        <v>57</v>
      </c>
      <c r="E2887" t="s">
        <v>86</v>
      </c>
      <c r="F2887" t="s">
        <v>58</v>
      </c>
      <c r="G2887" t="s">
        <v>59</v>
      </c>
      <c r="H2887" t="s">
        <v>60</v>
      </c>
      <c r="I2887" t="s">
        <v>2174</v>
      </c>
      <c r="J2887" t="s">
        <v>86</v>
      </c>
      <c r="L2887" t="s">
        <v>62</v>
      </c>
      <c r="M2887" t="s">
        <v>63</v>
      </c>
      <c r="N2887" t="s">
        <v>64</v>
      </c>
      <c r="P2887" t="s">
        <v>201</v>
      </c>
      <c r="R2887">
        <v>32.200000000000003</v>
      </c>
      <c r="W2887" t="s">
        <v>66</v>
      </c>
      <c r="X2887" t="s">
        <v>67</v>
      </c>
      <c r="Y2887" t="s">
        <v>67</v>
      </c>
      <c r="Z2887" t="s">
        <v>68</v>
      </c>
      <c r="AB2887">
        <v>4</v>
      </c>
      <c r="AC2887" t="s">
        <v>61</v>
      </c>
      <c r="AJ2887" t="s">
        <v>69</v>
      </c>
      <c r="AY2887" t="s">
        <v>2175</v>
      </c>
      <c r="AZ2887">
        <v>5225</v>
      </c>
      <c r="BA2887" t="s">
        <v>2176</v>
      </c>
      <c r="BB2887" t="s">
        <v>2177</v>
      </c>
      <c r="BC2887">
        <v>1974</v>
      </c>
      <c r="BD2887" t="s">
        <v>90</v>
      </c>
    </row>
    <row r="2888" spans="1:56" x14ac:dyDescent="0.35">
      <c r="A2888">
        <v>7718549</v>
      </c>
      <c r="B2888" t="s">
        <v>2173</v>
      </c>
      <c r="D2888" t="s">
        <v>57</v>
      </c>
      <c r="E2888" t="s">
        <v>86</v>
      </c>
      <c r="F2888" t="s">
        <v>58</v>
      </c>
      <c r="G2888" t="s">
        <v>59</v>
      </c>
      <c r="H2888" t="s">
        <v>60</v>
      </c>
      <c r="I2888" t="s">
        <v>2174</v>
      </c>
      <c r="J2888" t="s">
        <v>86</v>
      </c>
      <c r="L2888" t="s">
        <v>74</v>
      </c>
      <c r="M2888" t="s">
        <v>63</v>
      </c>
      <c r="N2888" t="s">
        <v>64</v>
      </c>
      <c r="P2888" t="s">
        <v>201</v>
      </c>
      <c r="R2888">
        <v>25</v>
      </c>
      <c r="W2888" t="s">
        <v>66</v>
      </c>
      <c r="X2888" t="s">
        <v>67</v>
      </c>
      <c r="Y2888" t="s">
        <v>67</v>
      </c>
      <c r="Z2888" t="s">
        <v>68</v>
      </c>
      <c r="AB2888">
        <v>4</v>
      </c>
      <c r="AC2888" t="s">
        <v>61</v>
      </c>
      <c r="AJ2888" t="s">
        <v>69</v>
      </c>
      <c r="AY2888" t="s">
        <v>2175</v>
      </c>
      <c r="AZ2888">
        <v>5225</v>
      </c>
      <c r="BA2888" t="s">
        <v>2176</v>
      </c>
      <c r="BB2888" t="s">
        <v>2177</v>
      </c>
      <c r="BC2888">
        <v>1974</v>
      </c>
      <c r="BD2888" t="s">
        <v>90</v>
      </c>
    </row>
    <row r="2889" spans="1:56" x14ac:dyDescent="0.35">
      <c r="A2889">
        <v>7718549</v>
      </c>
      <c r="B2889" t="s">
        <v>2173</v>
      </c>
      <c r="D2889" t="s">
        <v>85</v>
      </c>
      <c r="E2889" t="s">
        <v>86</v>
      </c>
      <c r="F2889" t="s">
        <v>58</v>
      </c>
      <c r="G2889" t="s">
        <v>59</v>
      </c>
      <c r="H2889" t="s">
        <v>60</v>
      </c>
      <c r="J2889" t="s">
        <v>86</v>
      </c>
      <c r="L2889" t="s">
        <v>62</v>
      </c>
      <c r="M2889" t="s">
        <v>63</v>
      </c>
      <c r="N2889" t="s">
        <v>64</v>
      </c>
      <c r="P2889" t="s">
        <v>201</v>
      </c>
      <c r="R2889">
        <v>5.18</v>
      </c>
      <c r="T2889">
        <v>2.02</v>
      </c>
      <c r="V2889">
        <v>6.88</v>
      </c>
      <c r="W2889" t="s">
        <v>66</v>
      </c>
      <c r="X2889" t="s">
        <v>67</v>
      </c>
      <c r="Y2889" t="s">
        <v>67</v>
      </c>
      <c r="Z2889" t="s">
        <v>68</v>
      </c>
      <c r="AB2889">
        <v>4</v>
      </c>
      <c r="AC2889" t="s">
        <v>61</v>
      </c>
      <c r="AJ2889" t="s">
        <v>69</v>
      </c>
      <c r="AY2889" t="s">
        <v>168</v>
      </c>
      <c r="AZ2889">
        <v>2033</v>
      </c>
      <c r="BA2889" t="s">
        <v>1385</v>
      </c>
      <c r="BB2889" t="s">
        <v>1386</v>
      </c>
      <c r="BC2889">
        <v>1966</v>
      </c>
      <c r="BD2889" t="s">
        <v>90</v>
      </c>
    </row>
    <row r="2890" spans="1:56" x14ac:dyDescent="0.35">
      <c r="A2890">
        <v>7718549</v>
      </c>
      <c r="B2890" t="s">
        <v>2173</v>
      </c>
      <c r="D2890" t="s">
        <v>57</v>
      </c>
      <c r="E2890" t="s">
        <v>86</v>
      </c>
      <c r="F2890" t="s">
        <v>58</v>
      </c>
      <c r="G2890" t="s">
        <v>59</v>
      </c>
      <c r="H2890" t="s">
        <v>60</v>
      </c>
      <c r="I2890" t="s">
        <v>2174</v>
      </c>
      <c r="J2890" t="s">
        <v>86</v>
      </c>
      <c r="L2890" t="s">
        <v>74</v>
      </c>
      <c r="M2890" t="s">
        <v>63</v>
      </c>
      <c r="N2890" t="s">
        <v>64</v>
      </c>
      <c r="P2890" t="s">
        <v>201</v>
      </c>
      <c r="R2890">
        <v>28</v>
      </c>
      <c r="W2890" t="s">
        <v>66</v>
      </c>
      <c r="X2890" t="s">
        <v>67</v>
      </c>
      <c r="Y2890" t="s">
        <v>67</v>
      </c>
      <c r="Z2890" t="s">
        <v>68</v>
      </c>
      <c r="AB2890">
        <v>4</v>
      </c>
      <c r="AC2890" t="s">
        <v>61</v>
      </c>
      <c r="AJ2890" t="s">
        <v>69</v>
      </c>
      <c r="AY2890" t="s">
        <v>2175</v>
      </c>
      <c r="AZ2890">
        <v>5225</v>
      </c>
      <c r="BA2890" t="s">
        <v>2176</v>
      </c>
      <c r="BB2890" t="s">
        <v>2177</v>
      </c>
      <c r="BC2890">
        <v>1974</v>
      </c>
      <c r="BD2890" t="s">
        <v>90</v>
      </c>
    </row>
    <row r="2891" spans="1:56" x14ac:dyDescent="0.35">
      <c r="A2891">
        <v>7723140</v>
      </c>
      <c r="B2891" t="s">
        <v>2178</v>
      </c>
      <c r="D2891" t="s">
        <v>57</v>
      </c>
      <c r="E2891">
        <v>100</v>
      </c>
      <c r="F2891" t="s">
        <v>58</v>
      </c>
      <c r="G2891" t="s">
        <v>59</v>
      </c>
      <c r="H2891" t="s">
        <v>60</v>
      </c>
      <c r="J2891" t="s">
        <v>86</v>
      </c>
      <c r="L2891" t="s">
        <v>62</v>
      </c>
      <c r="M2891" t="s">
        <v>63</v>
      </c>
      <c r="N2891" t="s">
        <v>64</v>
      </c>
      <c r="P2891" t="s">
        <v>201</v>
      </c>
      <c r="R2891">
        <v>0.02</v>
      </c>
      <c r="T2891">
        <v>1.6E-2</v>
      </c>
      <c r="V2891">
        <v>2.5000000000000001E-2</v>
      </c>
      <c r="W2891" t="s">
        <v>66</v>
      </c>
      <c r="X2891" t="s">
        <v>67</v>
      </c>
      <c r="Y2891" t="s">
        <v>67</v>
      </c>
      <c r="Z2891" t="s">
        <v>68</v>
      </c>
      <c r="AB2891">
        <v>4</v>
      </c>
      <c r="AC2891" t="s">
        <v>61</v>
      </c>
      <c r="AJ2891" t="s">
        <v>69</v>
      </c>
      <c r="AY2891" t="s">
        <v>2179</v>
      </c>
      <c r="AZ2891">
        <v>5964</v>
      </c>
      <c r="BA2891" t="s">
        <v>2180</v>
      </c>
      <c r="BB2891" t="s">
        <v>2181</v>
      </c>
      <c r="BC2891">
        <v>1978</v>
      </c>
      <c r="BD2891" t="s">
        <v>90</v>
      </c>
    </row>
    <row r="2892" spans="1:56" x14ac:dyDescent="0.35">
      <c r="A2892">
        <v>7723140</v>
      </c>
      <c r="B2892" t="s">
        <v>2178</v>
      </c>
      <c r="D2892" t="s">
        <v>57</v>
      </c>
      <c r="E2892">
        <v>100</v>
      </c>
      <c r="F2892" t="s">
        <v>58</v>
      </c>
      <c r="G2892" t="s">
        <v>59</v>
      </c>
      <c r="H2892" t="s">
        <v>60</v>
      </c>
      <c r="J2892">
        <v>7</v>
      </c>
      <c r="K2892" t="s">
        <v>1027</v>
      </c>
      <c r="L2892" t="s">
        <v>62</v>
      </c>
      <c r="M2892" t="s">
        <v>63</v>
      </c>
      <c r="N2892" t="s">
        <v>64</v>
      </c>
      <c r="P2892" t="s">
        <v>201</v>
      </c>
      <c r="R2892">
        <v>7.3999999999999996E-2</v>
      </c>
      <c r="T2892">
        <v>5.3999999999999999E-2</v>
      </c>
      <c r="V2892">
        <v>0.10299999999999999</v>
      </c>
      <c r="W2892" t="s">
        <v>66</v>
      </c>
      <c r="X2892" t="s">
        <v>67</v>
      </c>
      <c r="Y2892" t="s">
        <v>67</v>
      </c>
      <c r="Z2892" t="s">
        <v>68</v>
      </c>
      <c r="AB2892">
        <v>4</v>
      </c>
      <c r="AC2892" t="s">
        <v>61</v>
      </c>
      <c r="AJ2892" t="s">
        <v>69</v>
      </c>
      <c r="AY2892" t="s">
        <v>2179</v>
      </c>
      <c r="AZ2892">
        <v>5964</v>
      </c>
      <c r="BA2892" t="s">
        <v>2180</v>
      </c>
      <c r="BB2892" t="s">
        <v>2181</v>
      </c>
      <c r="BC2892">
        <v>1978</v>
      </c>
      <c r="BD2892" t="s">
        <v>1028</v>
      </c>
    </row>
    <row r="2893" spans="1:56" x14ac:dyDescent="0.35">
      <c r="A2893">
        <v>7723140</v>
      </c>
      <c r="B2893" t="s">
        <v>2178</v>
      </c>
      <c r="D2893" t="s">
        <v>57</v>
      </c>
      <c r="E2893">
        <v>100</v>
      </c>
      <c r="F2893" t="s">
        <v>58</v>
      </c>
      <c r="G2893" t="s">
        <v>59</v>
      </c>
      <c r="H2893" t="s">
        <v>60</v>
      </c>
      <c r="J2893">
        <v>30</v>
      </c>
      <c r="K2893" t="s">
        <v>1027</v>
      </c>
      <c r="L2893" t="s">
        <v>62</v>
      </c>
      <c r="M2893" t="s">
        <v>63</v>
      </c>
      <c r="N2893" t="s">
        <v>64</v>
      </c>
      <c r="P2893" t="s">
        <v>201</v>
      </c>
      <c r="R2893">
        <v>2.1000000000000001E-2</v>
      </c>
      <c r="T2893">
        <v>1.0999999999999999E-2</v>
      </c>
      <c r="V2893">
        <v>2.8000000000000001E-2</v>
      </c>
      <c r="W2893" t="s">
        <v>66</v>
      </c>
      <c r="X2893" t="s">
        <v>67</v>
      </c>
      <c r="Y2893" t="s">
        <v>67</v>
      </c>
      <c r="Z2893" t="s">
        <v>68</v>
      </c>
      <c r="AB2893">
        <v>4</v>
      </c>
      <c r="AC2893" t="s">
        <v>61</v>
      </c>
      <c r="AJ2893" t="s">
        <v>69</v>
      </c>
      <c r="AY2893" t="s">
        <v>2179</v>
      </c>
      <c r="AZ2893">
        <v>5964</v>
      </c>
      <c r="BA2893" t="s">
        <v>2180</v>
      </c>
      <c r="BB2893" t="s">
        <v>2181</v>
      </c>
      <c r="BC2893">
        <v>1978</v>
      </c>
      <c r="BD2893" t="s">
        <v>1028</v>
      </c>
    </row>
    <row r="2894" spans="1:56" x14ac:dyDescent="0.35">
      <c r="A2894">
        <v>7723140</v>
      </c>
      <c r="B2894" t="s">
        <v>2178</v>
      </c>
      <c r="D2894" t="s">
        <v>57</v>
      </c>
      <c r="E2894">
        <v>100</v>
      </c>
      <c r="F2894" t="s">
        <v>58</v>
      </c>
      <c r="G2894" t="s">
        <v>59</v>
      </c>
      <c r="H2894" t="s">
        <v>60</v>
      </c>
      <c r="J2894">
        <v>60</v>
      </c>
      <c r="K2894" t="s">
        <v>1027</v>
      </c>
      <c r="L2894" t="s">
        <v>62</v>
      </c>
      <c r="M2894" t="s">
        <v>63</v>
      </c>
      <c r="N2894" t="s">
        <v>64</v>
      </c>
      <c r="P2894" t="s">
        <v>201</v>
      </c>
      <c r="R2894">
        <v>1.7999999999999999E-2</v>
      </c>
      <c r="T2894">
        <v>1.4999999999999999E-2</v>
      </c>
      <c r="V2894">
        <v>2.1999999999999999E-2</v>
      </c>
      <c r="W2894" t="s">
        <v>66</v>
      </c>
      <c r="X2894" t="s">
        <v>67</v>
      </c>
      <c r="Y2894" t="s">
        <v>67</v>
      </c>
      <c r="Z2894" t="s">
        <v>68</v>
      </c>
      <c r="AB2894">
        <v>4</v>
      </c>
      <c r="AC2894" t="s">
        <v>61</v>
      </c>
      <c r="AJ2894" t="s">
        <v>69</v>
      </c>
      <c r="AY2894" t="s">
        <v>2179</v>
      </c>
      <c r="AZ2894">
        <v>5964</v>
      </c>
      <c r="BA2894" t="s">
        <v>2180</v>
      </c>
      <c r="BB2894" t="s">
        <v>2181</v>
      </c>
      <c r="BC2894">
        <v>1978</v>
      </c>
      <c r="BD2894" t="s">
        <v>1028</v>
      </c>
    </row>
    <row r="2895" spans="1:56" x14ac:dyDescent="0.35">
      <c r="A2895">
        <v>7723140</v>
      </c>
      <c r="B2895" t="s">
        <v>2178</v>
      </c>
      <c r="D2895" t="s">
        <v>57</v>
      </c>
      <c r="E2895">
        <v>100</v>
      </c>
      <c r="F2895" t="s">
        <v>58</v>
      </c>
      <c r="G2895" t="s">
        <v>59</v>
      </c>
      <c r="H2895" t="s">
        <v>60</v>
      </c>
      <c r="J2895">
        <v>1</v>
      </c>
      <c r="K2895" t="s">
        <v>495</v>
      </c>
      <c r="L2895" t="s">
        <v>62</v>
      </c>
      <c r="M2895" t="s">
        <v>63</v>
      </c>
      <c r="N2895" t="s">
        <v>64</v>
      </c>
      <c r="P2895" t="s">
        <v>201</v>
      </c>
      <c r="R2895">
        <v>0.154</v>
      </c>
      <c r="T2895">
        <v>9.6000000000000002E-2</v>
      </c>
      <c r="V2895">
        <v>0.247</v>
      </c>
      <c r="W2895" t="s">
        <v>66</v>
      </c>
      <c r="X2895" t="s">
        <v>67</v>
      </c>
      <c r="Y2895" t="s">
        <v>67</v>
      </c>
      <c r="Z2895" t="s">
        <v>68</v>
      </c>
      <c r="AB2895">
        <v>4</v>
      </c>
      <c r="AC2895" t="s">
        <v>61</v>
      </c>
      <c r="AJ2895" t="s">
        <v>69</v>
      </c>
      <c r="AY2895" t="s">
        <v>2179</v>
      </c>
      <c r="AZ2895">
        <v>5964</v>
      </c>
      <c r="BA2895" t="s">
        <v>2180</v>
      </c>
      <c r="BB2895" t="s">
        <v>2181</v>
      </c>
      <c r="BC2895">
        <v>1978</v>
      </c>
      <c r="BD2895" t="s">
        <v>499</v>
      </c>
    </row>
    <row r="2896" spans="1:56" x14ac:dyDescent="0.35">
      <c r="A2896">
        <v>7723140</v>
      </c>
      <c r="B2896" t="s">
        <v>2178</v>
      </c>
      <c r="D2896" t="s">
        <v>57</v>
      </c>
      <c r="E2896">
        <v>100</v>
      </c>
      <c r="F2896" t="s">
        <v>58</v>
      </c>
      <c r="G2896" t="s">
        <v>59</v>
      </c>
      <c r="H2896" t="s">
        <v>60</v>
      </c>
      <c r="I2896" t="s">
        <v>186</v>
      </c>
      <c r="J2896" t="s">
        <v>86</v>
      </c>
      <c r="L2896" t="s">
        <v>62</v>
      </c>
      <c r="M2896" t="s">
        <v>63</v>
      </c>
      <c r="N2896" t="s">
        <v>64</v>
      </c>
      <c r="P2896" t="s">
        <v>201</v>
      </c>
      <c r="Q2896" t="s">
        <v>153</v>
      </c>
      <c r="R2896">
        <v>0.56000000000000005</v>
      </c>
      <c r="W2896" t="s">
        <v>66</v>
      </c>
      <c r="X2896" t="s">
        <v>67</v>
      </c>
      <c r="Y2896" t="s">
        <v>67</v>
      </c>
      <c r="Z2896" t="s">
        <v>68</v>
      </c>
      <c r="AB2896">
        <v>4</v>
      </c>
      <c r="AC2896" t="s">
        <v>61</v>
      </c>
      <c r="AJ2896" t="s">
        <v>69</v>
      </c>
      <c r="AY2896" t="s">
        <v>2179</v>
      </c>
      <c r="AZ2896">
        <v>5964</v>
      </c>
      <c r="BA2896" t="s">
        <v>2180</v>
      </c>
      <c r="BB2896" t="s">
        <v>2181</v>
      </c>
      <c r="BC2896">
        <v>1978</v>
      </c>
      <c r="BD2896" t="s">
        <v>90</v>
      </c>
    </row>
    <row r="2897" spans="1:56" x14ac:dyDescent="0.35">
      <c r="A2897">
        <v>7733020</v>
      </c>
      <c r="B2897" t="s">
        <v>2182</v>
      </c>
      <c r="D2897" t="s">
        <v>85</v>
      </c>
      <c r="E2897" t="s">
        <v>86</v>
      </c>
      <c r="F2897" t="s">
        <v>58</v>
      </c>
      <c r="G2897" t="s">
        <v>59</v>
      </c>
      <c r="H2897" t="s">
        <v>60</v>
      </c>
      <c r="I2897" t="s">
        <v>2174</v>
      </c>
      <c r="J2897" t="s">
        <v>86</v>
      </c>
      <c r="L2897" t="s">
        <v>62</v>
      </c>
      <c r="M2897" t="s">
        <v>63</v>
      </c>
      <c r="N2897" t="s">
        <v>64</v>
      </c>
      <c r="P2897" t="s">
        <v>201</v>
      </c>
      <c r="R2897">
        <v>13</v>
      </c>
      <c r="W2897" t="s">
        <v>66</v>
      </c>
      <c r="X2897" t="s">
        <v>67</v>
      </c>
      <c r="Y2897" t="s">
        <v>67</v>
      </c>
      <c r="Z2897" t="s">
        <v>68</v>
      </c>
      <c r="AB2897">
        <v>4</v>
      </c>
      <c r="AC2897" t="s">
        <v>61</v>
      </c>
      <c r="AJ2897" t="s">
        <v>69</v>
      </c>
      <c r="AY2897" t="s">
        <v>373</v>
      </c>
      <c r="AZ2897">
        <v>5077</v>
      </c>
      <c r="BA2897" t="s">
        <v>2183</v>
      </c>
      <c r="BB2897" t="s">
        <v>2184</v>
      </c>
      <c r="BC2897">
        <v>1969</v>
      </c>
      <c r="BD2897" t="s">
        <v>90</v>
      </c>
    </row>
    <row r="2898" spans="1:56" x14ac:dyDescent="0.35">
      <c r="A2898">
        <v>7733020</v>
      </c>
      <c r="B2898" t="s">
        <v>2182</v>
      </c>
      <c r="C2898" t="s">
        <v>195</v>
      </c>
      <c r="D2898" t="s">
        <v>57</v>
      </c>
      <c r="E2898" t="s">
        <v>86</v>
      </c>
      <c r="F2898" t="s">
        <v>58</v>
      </c>
      <c r="G2898" t="s">
        <v>59</v>
      </c>
      <c r="H2898" t="s">
        <v>60</v>
      </c>
      <c r="I2898" t="s">
        <v>188</v>
      </c>
      <c r="J2898" t="s">
        <v>86</v>
      </c>
      <c r="L2898" t="s">
        <v>190</v>
      </c>
      <c r="M2898" t="s">
        <v>63</v>
      </c>
      <c r="N2898" t="s">
        <v>64</v>
      </c>
      <c r="P2898" t="s">
        <v>201</v>
      </c>
      <c r="R2898">
        <v>0.28899999999999998</v>
      </c>
      <c r="T2898">
        <v>0.24</v>
      </c>
      <c r="V2898">
        <v>0.34799999999999998</v>
      </c>
      <c r="W2898" t="s">
        <v>66</v>
      </c>
      <c r="X2898" t="s">
        <v>67</v>
      </c>
      <c r="Y2898" t="s">
        <v>67</v>
      </c>
      <c r="Z2898" t="s">
        <v>68</v>
      </c>
      <c r="AB2898">
        <v>4</v>
      </c>
      <c r="AC2898" t="s">
        <v>61</v>
      </c>
      <c r="AJ2898" t="s">
        <v>69</v>
      </c>
      <c r="AY2898" t="s">
        <v>331</v>
      </c>
      <c r="AZ2898">
        <v>5313</v>
      </c>
      <c r="BA2898" t="s">
        <v>332</v>
      </c>
      <c r="BB2898" t="s">
        <v>333</v>
      </c>
      <c r="BC2898">
        <v>1989</v>
      </c>
      <c r="BD2898" t="s">
        <v>90</v>
      </c>
    </row>
    <row r="2899" spans="1:56" x14ac:dyDescent="0.35">
      <c r="A2899">
        <v>7733020</v>
      </c>
      <c r="B2899" t="s">
        <v>2182</v>
      </c>
      <c r="D2899" t="s">
        <v>85</v>
      </c>
      <c r="E2899" t="s">
        <v>86</v>
      </c>
      <c r="F2899" t="s">
        <v>58</v>
      </c>
      <c r="G2899" t="s">
        <v>59</v>
      </c>
      <c r="H2899" t="s">
        <v>60</v>
      </c>
      <c r="J2899" t="s">
        <v>86</v>
      </c>
      <c r="L2899" t="s">
        <v>62</v>
      </c>
      <c r="M2899" t="s">
        <v>63</v>
      </c>
      <c r="N2899" t="s">
        <v>64</v>
      </c>
      <c r="P2899" t="s">
        <v>201</v>
      </c>
      <c r="R2899">
        <v>0.78</v>
      </c>
      <c r="T2899">
        <v>0.57999999999999996</v>
      </c>
      <c r="V2899">
        <v>1.01</v>
      </c>
      <c r="W2899" t="s">
        <v>66</v>
      </c>
      <c r="X2899" t="s">
        <v>67</v>
      </c>
      <c r="Y2899" t="s">
        <v>67</v>
      </c>
      <c r="Z2899" t="s">
        <v>68</v>
      </c>
      <c r="AB2899">
        <v>4</v>
      </c>
      <c r="AC2899" t="s">
        <v>61</v>
      </c>
      <c r="AJ2899" t="s">
        <v>69</v>
      </c>
      <c r="AY2899" t="s">
        <v>168</v>
      </c>
      <c r="AZ2899">
        <v>2033</v>
      </c>
      <c r="BA2899" t="s">
        <v>1385</v>
      </c>
      <c r="BB2899" t="s">
        <v>1386</v>
      </c>
      <c r="BC2899">
        <v>1966</v>
      </c>
      <c r="BD2899" t="s">
        <v>90</v>
      </c>
    </row>
    <row r="2900" spans="1:56" x14ac:dyDescent="0.35">
      <c r="A2900">
        <v>7733020</v>
      </c>
      <c r="B2900" t="s">
        <v>2182</v>
      </c>
      <c r="D2900" t="s">
        <v>57</v>
      </c>
      <c r="E2900" t="s">
        <v>86</v>
      </c>
      <c r="F2900" t="s">
        <v>58</v>
      </c>
      <c r="G2900" t="s">
        <v>59</v>
      </c>
      <c r="H2900" t="s">
        <v>60</v>
      </c>
      <c r="J2900" t="s">
        <v>86</v>
      </c>
      <c r="L2900" t="s">
        <v>74</v>
      </c>
      <c r="M2900" t="s">
        <v>63</v>
      </c>
      <c r="N2900" t="s">
        <v>64</v>
      </c>
      <c r="P2900" t="s">
        <v>201</v>
      </c>
      <c r="R2900">
        <v>12.5</v>
      </c>
      <c r="W2900" t="s">
        <v>66</v>
      </c>
      <c r="X2900" t="s">
        <v>67</v>
      </c>
      <c r="Y2900" t="s">
        <v>67</v>
      </c>
      <c r="Z2900" t="s">
        <v>68</v>
      </c>
      <c r="AB2900">
        <v>4</v>
      </c>
      <c r="AC2900" t="s">
        <v>61</v>
      </c>
      <c r="AJ2900" t="s">
        <v>69</v>
      </c>
      <c r="AY2900" t="s">
        <v>2185</v>
      </c>
      <c r="AZ2900">
        <v>2118</v>
      </c>
      <c r="BA2900" t="s">
        <v>2186</v>
      </c>
      <c r="BB2900" t="s">
        <v>2187</v>
      </c>
      <c r="BC2900">
        <v>1966</v>
      </c>
      <c r="BD2900" t="s">
        <v>90</v>
      </c>
    </row>
    <row r="2901" spans="1:56" x14ac:dyDescent="0.35">
      <c r="A2901">
        <v>7733020</v>
      </c>
      <c r="B2901" t="s">
        <v>2182</v>
      </c>
      <c r="D2901" t="s">
        <v>57</v>
      </c>
      <c r="E2901" t="s">
        <v>86</v>
      </c>
      <c r="F2901" t="s">
        <v>58</v>
      </c>
      <c r="G2901" t="s">
        <v>59</v>
      </c>
      <c r="H2901" t="s">
        <v>60</v>
      </c>
      <c r="J2901" t="s">
        <v>86</v>
      </c>
      <c r="L2901" t="s">
        <v>74</v>
      </c>
      <c r="M2901" t="s">
        <v>63</v>
      </c>
      <c r="N2901" t="s">
        <v>64</v>
      </c>
      <c r="P2901" t="s">
        <v>201</v>
      </c>
      <c r="R2901">
        <v>25</v>
      </c>
      <c r="W2901" t="s">
        <v>66</v>
      </c>
      <c r="X2901" t="s">
        <v>67</v>
      </c>
      <c r="Y2901" t="s">
        <v>67</v>
      </c>
      <c r="Z2901" t="s">
        <v>68</v>
      </c>
      <c r="AB2901">
        <v>4</v>
      </c>
      <c r="AC2901" t="s">
        <v>61</v>
      </c>
      <c r="AJ2901" t="s">
        <v>69</v>
      </c>
      <c r="AY2901" t="s">
        <v>2185</v>
      </c>
      <c r="AZ2901">
        <v>2118</v>
      </c>
      <c r="BA2901" t="s">
        <v>2186</v>
      </c>
      <c r="BB2901" t="s">
        <v>2187</v>
      </c>
      <c r="BC2901">
        <v>1966</v>
      </c>
      <c r="BD2901" t="s">
        <v>90</v>
      </c>
    </row>
    <row r="2902" spans="1:56" x14ac:dyDescent="0.35">
      <c r="A2902">
        <v>7733020</v>
      </c>
      <c r="B2902" t="s">
        <v>2182</v>
      </c>
      <c r="D2902" t="s">
        <v>57</v>
      </c>
      <c r="E2902" t="s">
        <v>86</v>
      </c>
      <c r="F2902" t="s">
        <v>58</v>
      </c>
      <c r="G2902" t="s">
        <v>59</v>
      </c>
      <c r="H2902" t="s">
        <v>60</v>
      </c>
      <c r="J2902" t="s">
        <v>1102</v>
      </c>
      <c r="K2902" t="s">
        <v>184</v>
      </c>
      <c r="M2902" t="s">
        <v>63</v>
      </c>
      <c r="N2902" t="s">
        <v>64</v>
      </c>
      <c r="P2902" t="s">
        <v>201</v>
      </c>
      <c r="R2902">
        <v>0.5</v>
      </c>
      <c r="T2902">
        <v>0.26</v>
      </c>
      <c r="V2902">
        <v>0.96</v>
      </c>
      <c r="W2902" t="s">
        <v>66</v>
      </c>
      <c r="X2902" t="s">
        <v>67</v>
      </c>
      <c r="Y2902" t="s">
        <v>67</v>
      </c>
      <c r="Z2902" t="s">
        <v>68</v>
      </c>
      <c r="AB2902">
        <v>4</v>
      </c>
      <c r="AC2902" t="s">
        <v>61</v>
      </c>
      <c r="AJ2902" t="s">
        <v>69</v>
      </c>
      <c r="AY2902" t="s">
        <v>1851</v>
      </c>
      <c r="AZ2902">
        <v>7289</v>
      </c>
      <c r="BA2902" t="s">
        <v>1852</v>
      </c>
      <c r="BB2902" t="s">
        <v>1853</v>
      </c>
      <c r="BC2902">
        <v>1993</v>
      </c>
      <c r="BD2902" t="s">
        <v>185</v>
      </c>
    </row>
    <row r="2903" spans="1:56" x14ac:dyDescent="0.35">
      <c r="A2903">
        <v>7733020</v>
      </c>
      <c r="B2903" t="s">
        <v>2182</v>
      </c>
      <c r="D2903" t="s">
        <v>57</v>
      </c>
      <c r="E2903" t="s">
        <v>86</v>
      </c>
      <c r="F2903" t="s">
        <v>58</v>
      </c>
      <c r="G2903" t="s">
        <v>59</v>
      </c>
      <c r="H2903" t="s">
        <v>60</v>
      </c>
      <c r="J2903" t="s">
        <v>86</v>
      </c>
      <c r="L2903" t="s">
        <v>74</v>
      </c>
      <c r="M2903" t="s">
        <v>63</v>
      </c>
      <c r="N2903" t="s">
        <v>64</v>
      </c>
      <c r="P2903" t="s">
        <v>201</v>
      </c>
      <c r="R2903">
        <v>13.6</v>
      </c>
      <c r="W2903" t="s">
        <v>66</v>
      </c>
      <c r="X2903" t="s">
        <v>67</v>
      </c>
      <c r="Y2903" t="s">
        <v>67</v>
      </c>
      <c r="Z2903" t="s">
        <v>68</v>
      </c>
      <c r="AB2903">
        <v>4</v>
      </c>
      <c r="AC2903" t="s">
        <v>61</v>
      </c>
      <c r="AJ2903" t="s">
        <v>69</v>
      </c>
      <c r="AY2903" t="s">
        <v>2185</v>
      </c>
      <c r="AZ2903">
        <v>2118</v>
      </c>
      <c r="BA2903" t="s">
        <v>2186</v>
      </c>
      <c r="BB2903" t="s">
        <v>2187</v>
      </c>
      <c r="BC2903">
        <v>1966</v>
      </c>
      <c r="BD2903" t="s">
        <v>90</v>
      </c>
    </row>
    <row r="2904" spans="1:56" x14ac:dyDescent="0.35">
      <c r="A2904">
        <v>7733020</v>
      </c>
      <c r="B2904" t="s">
        <v>2182</v>
      </c>
      <c r="D2904" t="s">
        <v>57</v>
      </c>
      <c r="E2904" t="s">
        <v>86</v>
      </c>
      <c r="F2904" t="s">
        <v>58</v>
      </c>
      <c r="G2904" t="s">
        <v>59</v>
      </c>
      <c r="H2904" t="s">
        <v>60</v>
      </c>
      <c r="I2904" t="s">
        <v>186</v>
      </c>
      <c r="J2904" t="s">
        <v>505</v>
      </c>
      <c r="K2904" t="s">
        <v>61</v>
      </c>
      <c r="L2904" t="s">
        <v>74</v>
      </c>
      <c r="M2904" t="s">
        <v>63</v>
      </c>
      <c r="N2904" t="s">
        <v>64</v>
      </c>
      <c r="P2904" t="s">
        <v>201</v>
      </c>
      <c r="R2904">
        <v>1.82</v>
      </c>
      <c r="T2904">
        <v>1.68</v>
      </c>
      <c r="V2904">
        <v>1.97</v>
      </c>
      <c r="W2904" t="s">
        <v>66</v>
      </c>
      <c r="X2904" t="s">
        <v>67</v>
      </c>
      <c r="Y2904" t="s">
        <v>67</v>
      </c>
      <c r="Z2904" t="s">
        <v>68</v>
      </c>
      <c r="AB2904">
        <v>4</v>
      </c>
      <c r="AC2904" t="s">
        <v>61</v>
      </c>
      <c r="AJ2904" t="s">
        <v>69</v>
      </c>
      <c r="AY2904" t="s">
        <v>2188</v>
      </c>
      <c r="AZ2904">
        <v>2109</v>
      </c>
      <c r="BA2904" t="s">
        <v>2189</v>
      </c>
      <c r="BB2904" t="s">
        <v>2190</v>
      </c>
      <c r="BC2904">
        <v>1965</v>
      </c>
      <c r="BD2904" t="s">
        <v>73</v>
      </c>
    </row>
    <row r="2905" spans="1:56" x14ac:dyDescent="0.35">
      <c r="A2905">
        <v>7733020</v>
      </c>
      <c r="B2905" t="s">
        <v>2182</v>
      </c>
      <c r="C2905" t="s">
        <v>195</v>
      </c>
      <c r="D2905" t="s">
        <v>57</v>
      </c>
      <c r="E2905" t="s">
        <v>86</v>
      </c>
      <c r="F2905" t="s">
        <v>58</v>
      </c>
      <c r="G2905" t="s">
        <v>59</v>
      </c>
      <c r="H2905" t="s">
        <v>60</v>
      </c>
      <c r="I2905" t="s">
        <v>129</v>
      </c>
      <c r="J2905">
        <v>4</v>
      </c>
      <c r="K2905" t="s">
        <v>320</v>
      </c>
      <c r="L2905" t="s">
        <v>74</v>
      </c>
      <c r="M2905" t="s">
        <v>63</v>
      </c>
      <c r="N2905" t="s">
        <v>64</v>
      </c>
      <c r="O2905">
        <v>6</v>
      </c>
      <c r="P2905" t="s">
        <v>201</v>
      </c>
      <c r="R2905">
        <v>4.28</v>
      </c>
      <c r="T2905">
        <v>1.5</v>
      </c>
      <c r="V2905">
        <v>7.4</v>
      </c>
      <c r="W2905" t="s">
        <v>66</v>
      </c>
      <c r="X2905" t="s">
        <v>67</v>
      </c>
      <c r="Y2905" t="s">
        <v>67</v>
      </c>
      <c r="Z2905" t="s">
        <v>68</v>
      </c>
      <c r="AB2905">
        <v>4</v>
      </c>
      <c r="AC2905" t="s">
        <v>61</v>
      </c>
      <c r="AJ2905" t="s">
        <v>69</v>
      </c>
      <c r="AY2905" t="s">
        <v>2191</v>
      </c>
      <c r="AZ2905">
        <v>82108</v>
      </c>
      <c r="BA2905" t="s">
        <v>2192</v>
      </c>
      <c r="BB2905" t="s">
        <v>2193</v>
      </c>
      <c r="BC2905">
        <v>1981</v>
      </c>
      <c r="BD2905" t="s">
        <v>324</v>
      </c>
    </row>
    <row r="2906" spans="1:56" x14ac:dyDescent="0.35">
      <c r="A2906">
        <v>7733020</v>
      </c>
      <c r="B2906" t="s">
        <v>2182</v>
      </c>
      <c r="C2906" t="s">
        <v>195</v>
      </c>
      <c r="D2906" t="s">
        <v>57</v>
      </c>
      <c r="E2906" t="s">
        <v>86</v>
      </c>
      <c r="F2906" t="s">
        <v>58</v>
      </c>
      <c r="G2906" t="s">
        <v>59</v>
      </c>
      <c r="H2906" t="s">
        <v>60</v>
      </c>
      <c r="I2906" t="s">
        <v>1469</v>
      </c>
      <c r="J2906" t="s">
        <v>289</v>
      </c>
      <c r="K2906" t="s">
        <v>184</v>
      </c>
      <c r="L2906" t="s">
        <v>62</v>
      </c>
      <c r="M2906" t="s">
        <v>63</v>
      </c>
      <c r="N2906" t="s">
        <v>64</v>
      </c>
      <c r="O2906" t="s">
        <v>1470</v>
      </c>
      <c r="P2906" t="s">
        <v>201</v>
      </c>
      <c r="R2906">
        <v>1.27</v>
      </c>
      <c r="W2906" t="s">
        <v>66</v>
      </c>
      <c r="X2906" t="s">
        <v>67</v>
      </c>
      <c r="Y2906" t="s">
        <v>67</v>
      </c>
      <c r="Z2906" t="s">
        <v>68</v>
      </c>
      <c r="AB2906">
        <v>4</v>
      </c>
      <c r="AC2906" t="s">
        <v>61</v>
      </c>
      <c r="AJ2906" t="s">
        <v>69</v>
      </c>
      <c r="AY2906" t="s">
        <v>1471</v>
      </c>
      <c r="AZ2906">
        <v>76100</v>
      </c>
      <c r="BA2906" t="s">
        <v>1472</v>
      </c>
      <c r="BB2906" t="s">
        <v>1473</v>
      </c>
      <c r="BC2906">
        <v>1998</v>
      </c>
      <c r="BD2906" t="s">
        <v>185</v>
      </c>
    </row>
    <row r="2907" spans="1:56" x14ac:dyDescent="0.35">
      <c r="A2907">
        <v>7733020</v>
      </c>
      <c r="B2907" t="s">
        <v>2182</v>
      </c>
      <c r="C2907" t="s">
        <v>195</v>
      </c>
      <c r="D2907" t="s">
        <v>85</v>
      </c>
      <c r="E2907" t="s">
        <v>86</v>
      </c>
      <c r="F2907" t="s">
        <v>58</v>
      </c>
      <c r="G2907" t="s">
        <v>59</v>
      </c>
      <c r="H2907" t="s">
        <v>60</v>
      </c>
      <c r="I2907" t="s">
        <v>129</v>
      </c>
      <c r="J2907" t="s">
        <v>86</v>
      </c>
      <c r="L2907" t="s">
        <v>62</v>
      </c>
      <c r="M2907" t="s">
        <v>63</v>
      </c>
      <c r="N2907" t="s">
        <v>64</v>
      </c>
      <c r="O2907">
        <v>5</v>
      </c>
      <c r="P2907" t="s">
        <v>201</v>
      </c>
      <c r="R2907">
        <v>15</v>
      </c>
      <c r="W2907" t="s">
        <v>66</v>
      </c>
      <c r="X2907" t="s">
        <v>67</v>
      </c>
      <c r="Y2907" t="s">
        <v>67</v>
      </c>
      <c r="Z2907" t="s">
        <v>68</v>
      </c>
      <c r="AB2907">
        <v>4</v>
      </c>
      <c r="AC2907" t="s">
        <v>61</v>
      </c>
      <c r="AJ2907" t="s">
        <v>69</v>
      </c>
      <c r="AY2907" t="s">
        <v>298</v>
      </c>
      <c r="AZ2907">
        <v>11951</v>
      </c>
      <c r="BA2907" t="s">
        <v>299</v>
      </c>
      <c r="BB2907" t="s">
        <v>300</v>
      </c>
      <c r="BC2907">
        <v>1986</v>
      </c>
      <c r="BD2907" t="s">
        <v>90</v>
      </c>
    </row>
    <row r="2908" spans="1:56" x14ac:dyDescent="0.35">
      <c r="A2908">
        <v>7733020</v>
      </c>
      <c r="B2908" t="s">
        <v>2182</v>
      </c>
      <c r="D2908" t="s">
        <v>57</v>
      </c>
      <c r="E2908" t="s">
        <v>86</v>
      </c>
      <c r="F2908" t="s">
        <v>58</v>
      </c>
      <c r="G2908" t="s">
        <v>59</v>
      </c>
      <c r="H2908" t="s">
        <v>60</v>
      </c>
      <c r="J2908" t="s">
        <v>86</v>
      </c>
      <c r="L2908" t="s">
        <v>74</v>
      </c>
      <c r="M2908" t="s">
        <v>63</v>
      </c>
      <c r="N2908" t="s">
        <v>64</v>
      </c>
      <c r="P2908" t="s">
        <v>201</v>
      </c>
      <c r="R2908">
        <v>35.5</v>
      </c>
      <c r="W2908" t="s">
        <v>66</v>
      </c>
      <c r="X2908" t="s">
        <v>67</v>
      </c>
      <c r="Y2908" t="s">
        <v>67</v>
      </c>
      <c r="Z2908" t="s">
        <v>68</v>
      </c>
      <c r="AB2908">
        <v>4</v>
      </c>
      <c r="AC2908" t="s">
        <v>61</v>
      </c>
      <c r="AJ2908" t="s">
        <v>69</v>
      </c>
      <c r="AY2908" t="s">
        <v>2185</v>
      </c>
      <c r="AZ2908">
        <v>2118</v>
      </c>
      <c r="BA2908" t="s">
        <v>2186</v>
      </c>
      <c r="BB2908" t="s">
        <v>2187</v>
      </c>
      <c r="BC2908">
        <v>1966</v>
      </c>
      <c r="BD2908" t="s">
        <v>90</v>
      </c>
    </row>
    <row r="2909" spans="1:56" x14ac:dyDescent="0.35">
      <c r="A2909">
        <v>7733020</v>
      </c>
      <c r="B2909" t="s">
        <v>2182</v>
      </c>
      <c r="C2909" t="s">
        <v>195</v>
      </c>
      <c r="D2909" t="s">
        <v>85</v>
      </c>
      <c r="E2909" t="s">
        <v>86</v>
      </c>
      <c r="F2909" t="s">
        <v>58</v>
      </c>
      <c r="G2909" t="s">
        <v>59</v>
      </c>
      <c r="H2909" t="s">
        <v>60</v>
      </c>
      <c r="I2909" t="s">
        <v>129</v>
      </c>
      <c r="J2909">
        <v>4</v>
      </c>
      <c r="K2909" t="s">
        <v>320</v>
      </c>
      <c r="L2909" t="s">
        <v>74</v>
      </c>
      <c r="M2909" t="s">
        <v>63</v>
      </c>
      <c r="N2909" t="s">
        <v>64</v>
      </c>
      <c r="O2909">
        <v>6</v>
      </c>
      <c r="P2909" t="s">
        <v>201</v>
      </c>
      <c r="R2909">
        <v>4.26</v>
      </c>
      <c r="T2909">
        <v>1.5</v>
      </c>
      <c r="V2909">
        <v>7.4</v>
      </c>
      <c r="W2909" t="s">
        <v>66</v>
      </c>
      <c r="X2909" t="s">
        <v>67</v>
      </c>
      <c r="Y2909" t="s">
        <v>67</v>
      </c>
      <c r="Z2909" t="s">
        <v>68</v>
      </c>
      <c r="AB2909">
        <v>4</v>
      </c>
      <c r="AC2909" t="s">
        <v>61</v>
      </c>
      <c r="AJ2909" t="s">
        <v>69</v>
      </c>
      <c r="AY2909" t="s">
        <v>2191</v>
      </c>
      <c r="AZ2909">
        <v>82108</v>
      </c>
      <c r="BA2909" t="s">
        <v>2192</v>
      </c>
      <c r="BB2909" t="s">
        <v>2193</v>
      </c>
      <c r="BC2909">
        <v>1981</v>
      </c>
      <c r="BD2909" t="s">
        <v>324</v>
      </c>
    </row>
    <row r="2910" spans="1:56" x14ac:dyDescent="0.35">
      <c r="A2910">
        <v>7733020</v>
      </c>
      <c r="B2910" t="s">
        <v>2182</v>
      </c>
      <c r="D2910" t="s">
        <v>57</v>
      </c>
      <c r="E2910" t="s">
        <v>86</v>
      </c>
      <c r="F2910" t="s">
        <v>58</v>
      </c>
      <c r="G2910" t="s">
        <v>59</v>
      </c>
      <c r="H2910" t="s">
        <v>60</v>
      </c>
      <c r="J2910" t="s">
        <v>86</v>
      </c>
      <c r="L2910" t="s">
        <v>74</v>
      </c>
      <c r="M2910" t="s">
        <v>63</v>
      </c>
      <c r="N2910" t="s">
        <v>64</v>
      </c>
      <c r="P2910" t="s">
        <v>201</v>
      </c>
      <c r="R2910">
        <v>12.5</v>
      </c>
      <c r="W2910" t="s">
        <v>66</v>
      </c>
      <c r="X2910" t="s">
        <v>67</v>
      </c>
      <c r="Y2910" t="s">
        <v>67</v>
      </c>
      <c r="Z2910" t="s">
        <v>68</v>
      </c>
      <c r="AB2910">
        <v>4</v>
      </c>
      <c r="AC2910" t="s">
        <v>61</v>
      </c>
      <c r="AJ2910" t="s">
        <v>69</v>
      </c>
      <c r="AY2910" t="s">
        <v>2185</v>
      </c>
      <c r="AZ2910">
        <v>2118</v>
      </c>
      <c r="BA2910" t="s">
        <v>2186</v>
      </c>
      <c r="BB2910" t="s">
        <v>2187</v>
      </c>
      <c r="BC2910">
        <v>1966</v>
      </c>
      <c r="BD2910" t="s">
        <v>90</v>
      </c>
    </row>
    <row r="2911" spans="1:56" x14ac:dyDescent="0.35">
      <c r="A2911">
        <v>7733020</v>
      </c>
      <c r="B2911" t="s">
        <v>2182</v>
      </c>
      <c r="D2911" t="s">
        <v>57</v>
      </c>
      <c r="E2911" t="s">
        <v>86</v>
      </c>
      <c r="F2911" t="s">
        <v>58</v>
      </c>
      <c r="G2911" t="s">
        <v>59</v>
      </c>
      <c r="H2911" t="s">
        <v>60</v>
      </c>
      <c r="I2911" t="s">
        <v>1469</v>
      </c>
      <c r="J2911" t="s">
        <v>289</v>
      </c>
      <c r="K2911" t="s">
        <v>184</v>
      </c>
      <c r="L2911" t="s">
        <v>62</v>
      </c>
      <c r="M2911" t="s">
        <v>63</v>
      </c>
      <c r="N2911" t="s">
        <v>64</v>
      </c>
      <c r="P2911" t="s">
        <v>1296</v>
      </c>
      <c r="R2911">
        <v>0.06</v>
      </c>
      <c r="W2911" t="s">
        <v>66</v>
      </c>
      <c r="X2911" t="s">
        <v>67</v>
      </c>
      <c r="Y2911" t="s">
        <v>67</v>
      </c>
      <c r="Z2911" t="s">
        <v>68</v>
      </c>
      <c r="AB2911">
        <v>4</v>
      </c>
      <c r="AC2911" t="s">
        <v>61</v>
      </c>
      <c r="AJ2911" t="s">
        <v>69</v>
      </c>
      <c r="AY2911" t="s">
        <v>1474</v>
      </c>
      <c r="AZ2911">
        <v>9180</v>
      </c>
      <c r="BA2911" t="s">
        <v>1475</v>
      </c>
      <c r="BB2911" t="s">
        <v>1476</v>
      </c>
      <c r="BC2911">
        <v>1992</v>
      </c>
      <c r="BD2911" t="s">
        <v>185</v>
      </c>
    </row>
    <row r="2912" spans="1:56" x14ac:dyDescent="0.35">
      <c r="A2912">
        <v>7733020</v>
      </c>
      <c r="B2912" t="s">
        <v>2182</v>
      </c>
      <c r="C2912" t="s">
        <v>195</v>
      </c>
      <c r="D2912" t="s">
        <v>57</v>
      </c>
      <c r="E2912" t="s">
        <v>86</v>
      </c>
      <c r="F2912" t="s">
        <v>58</v>
      </c>
      <c r="G2912" t="s">
        <v>59</v>
      </c>
      <c r="H2912" t="s">
        <v>60</v>
      </c>
      <c r="I2912" t="s">
        <v>1469</v>
      </c>
      <c r="J2912" t="s">
        <v>289</v>
      </c>
      <c r="K2912" t="s">
        <v>184</v>
      </c>
      <c r="L2912" t="s">
        <v>62</v>
      </c>
      <c r="M2912" t="s">
        <v>63</v>
      </c>
      <c r="N2912" t="s">
        <v>64</v>
      </c>
      <c r="O2912" t="s">
        <v>1470</v>
      </c>
      <c r="P2912" t="s">
        <v>1296</v>
      </c>
      <c r="R2912">
        <v>0.06</v>
      </c>
      <c r="W2912" t="s">
        <v>66</v>
      </c>
      <c r="X2912" t="s">
        <v>67</v>
      </c>
      <c r="Y2912" t="s">
        <v>67</v>
      </c>
      <c r="Z2912" t="s">
        <v>68</v>
      </c>
      <c r="AB2912">
        <v>4</v>
      </c>
      <c r="AC2912" t="s">
        <v>61</v>
      </c>
      <c r="AJ2912" t="s">
        <v>69</v>
      </c>
      <c r="AY2912" t="s">
        <v>1471</v>
      </c>
      <c r="AZ2912">
        <v>76100</v>
      </c>
      <c r="BA2912" t="s">
        <v>1472</v>
      </c>
      <c r="BB2912" t="s">
        <v>1473</v>
      </c>
      <c r="BC2912">
        <v>1998</v>
      </c>
      <c r="BD2912" t="s">
        <v>185</v>
      </c>
    </row>
    <row r="2913" spans="1:56" x14ac:dyDescent="0.35">
      <c r="A2913">
        <v>7733020</v>
      </c>
      <c r="B2913" t="s">
        <v>2182</v>
      </c>
      <c r="C2913" t="s">
        <v>195</v>
      </c>
      <c r="D2913" t="s">
        <v>85</v>
      </c>
      <c r="E2913" t="s">
        <v>86</v>
      </c>
      <c r="F2913" t="s">
        <v>58</v>
      </c>
      <c r="G2913" t="s">
        <v>59</v>
      </c>
      <c r="H2913" t="s">
        <v>60</v>
      </c>
      <c r="I2913" t="s">
        <v>129</v>
      </c>
      <c r="J2913">
        <v>4</v>
      </c>
      <c r="K2913" t="s">
        <v>320</v>
      </c>
      <c r="L2913" t="s">
        <v>74</v>
      </c>
      <c r="M2913" t="s">
        <v>63</v>
      </c>
      <c r="N2913" t="s">
        <v>64</v>
      </c>
      <c r="O2913">
        <v>6</v>
      </c>
      <c r="P2913" t="s">
        <v>201</v>
      </c>
      <c r="R2913">
        <v>6.01</v>
      </c>
      <c r="T2913">
        <v>4.22</v>
      </c>
      <c r="V2913">
        <v>8.19</v>
      </c>
      <c r="W2913" t="s">
        <v>66</v>
      </c>
      <c r="X2913" t="s">
        <v>67</v>
      </c>
      <c r="Y2913" t="s">
        <v>67</v>
      </c>
      <c r="Z2913" t="s">
        <v>68</v>
      </c>
      <c r="AB2913">
        <v>4</v>
      </c>
      <c r="AC2913" t="s">
        <v>61</v>
      </c>
      <c r="AJ2913" t="s">
        <v>69</v>
      </c>
      <c r="AY2913" t="s">
        <v>2191</v>
      </c>
      <c r="AZ2913">
        <v>82108</v>
      </c>
      <c r="BA2913" t="s">
        <v>2192</v>
      </c>
      <c r="BB2913" t="s">
        <v>2193</v>
      </c>
      <c r="BC2913">
        <v>1981</v>
      </c>
      <c r="BD2913" t="s">
        <v>324</v>
      </c>
    </row>
    <row r="2914" spans="1:56" x14ac:dyDescent="0.35">
      <c r="A2914">
        <v>7733020</v>
      </c>
      <c r="B2914" t="s">
        <v>2182</v>
      </c>
      <c r="C2914" t="s">
        <v>195</v>
      </c>
      <c r="D2914" t="s">
        <v>85</v>
      </c>
      <c r="E2914" t="s">
        <v>86</v>
      </c>
      <c r="F2914" t="s">
        <v>58</v>
      </c>
      <c r="G2914" t="s">
        <v>59</v>
      </c>
      <c r="H2914" t="s">
        <v>60</v>
      </c>
      <c r="I2914" t="s">
        <v>129</v>
      </c>
      <c r="J2914">
        <v>4</v>
      </c>
      <c r="K2914" t="s">
        <v>320</v>
      </c>
      <c r="L2914" t="s">
        <v>74</v>
      </c>
      <c r="M2914" t="s">
        <v>63</v>
      </c>
      <c r="N2914" t="s">
        <v>64</v>
      </c>
      <c r="O2914">
        <v>6</v>
      </c>
      <c r="P2914" t="s">
        <v>201</v>
      </c>
      <c r="R2914">
        <v>4.18</v>
      </c>
      <c r="T2914">
        <v>2.34</v>
      </c>
      <c r="V2914">
        <v>6.34</v>
      </c>
      <c r="W2914" t="s">
        <v>66</v>
      </c>
      <c r="X2914" t="s">
        <v>67</v>
      </c>
      <c r="Y2914" t="s">
        <v>67</v>
      </c>
      <c r="Z2914" t="s">
        <v>68</v>
      </c>
      <c r="AB2914">
        <v>4</v>
      </c>
      <c r="AC2914" t="s">
        <v>61</v>
      </c>
      <c r="AJ2914" t="s">
        <v>69</v>
      </c>
      <c r="AY2914" t="s">
        <v>2191</v>
      </c>
      <c r="AZ2914">
        <v>82108</v>
      </c>
      <c r="BA2914" t="s">
        <v>2192</v>
      </c>
      <c r="BB2914" t="s">
        <v>2193</v>
      </c>
      <c r="BC2914">
        <v>1981</v>
      </c>
      <c r="BD2914" t="s">
        <v>324</v>
      </c>
    </row>
    <row r="2915" spans="1:56" x14ac:dyDescent="0.35">
      <c r="A2915">
        <v>7733020</v>
      </c>
      <c r="B2915" t="s">
        <v>2182</v>
      </c>
      <c r="D2915" t="s">
        <v>57</v>
      </c>
      <c r="E2915" t="s">
        <v>86</v>
      </c>
      <c r="F2915" t="s">
        <v>58</v>
      </c>
      <c r="G2915" t="s">
        <v>59</v>
      </c>
      <c r="H2915" t="s">
        <v>60</v>
      </c>
      <c r="J2915" t="s">
        <v>86</v>
      </c>
      <c r="L2915" t="s">
        <v>74</v>
      </c>
      <c r="M2915" t="s">
        <v>63</v>
      </c>
      <c r="N2915" t="s">
        <v>64</v>
      </c>
      <c r="P2915" t="s">
        <v>201</v>
      </c>
      <c r="R2915">
        <v>13.7</v>
      </c>
      <c r="W2915" t="s">
        <v>66</v>
      </c>
      <c r="X2915" t="s">
        <v>67</v>
      </c>
      <c r="Y2915" t="s">
        <v>67</v>
      </c>
      <c r="Z2915" t="s">
        <v>68</v>
      </c>
      <c r="AB2915">
        <v>4</v>
      </c>
      <c r="AC2915" t="s">
        <v>61</v>
      </c>
      <c r="AJ2915" t="s">
        <v>69</v>
      </c>
      <c r="AY2915" t="s">
        <v>2185</v>
      </c>
      <c r="AZ2915">
        <v>2118</v>
      </c>
      <c r="BA2915" t="s">
        <v>2186</v>
      </c>
      <c r="BB2915" t="s">
        <v>2187</v>
      </c>
      <c r="BC2915">
        <v>1966</v>
      </c>
      <c r="BD2915" t="s">
        <v>90</v>
      </c>
    </row>
    <row r="2916" spans="1:56" x14ac:dyDescent="0.35">
      <c r="A2916">
        <v>7733020</v>
      </c>
      <c r="B2916" t="s">
        <v>2182</v>
      </c>
      <c r="C2916" t="s">
        <v>195</v>
      </c>
      <c r="D2916" t="s">
        <v>57</v>
      </c>
      <c r="E2916" t="s">
        <v>86</v>
      </c>
      <c r="F2916" t="s">
        <v>58</v>
      </c>
      <c r="G2916" t="s">
        <v>59</v>
      </c>
      <c r="H2916" t="s">
        <v>60</v>
      </c>
      <c r="I2916" t="s">
        <v>188</v>
      </c>
      <c r="J2916" t="s">
        <v>86</v>
      </c>
      <c r="L2916" t="s">
        <v>74</v>
      </c>
      <c r="M2916" t="s">
        <v>63</v>
      </c>
      <c r="N2916" t="s">
        <v>64</v>
      </c>
      <c r="O2916">
        <v>6</v>
      </c>
      <c r="P2916" t="s">
        <v>201</v>
      </c>
      <c r="R2916">
        <v>0.30299999999999999</v>
      </c>
      <c r="T2916">
        <v>0.218</v>
      </c>
      <c r="V2916">
        <v>0.42</v>
      </c>
      <c r="W2916" t="s">
        <v>66</v>
      </c>
      <c r="X2916" t="s">
        <v>67</v>
      </c>
      <c r="Y2916" t="s">
        <v>67</v>
      </c>
      <c r="Z2916" t="s">
        <v>68</v>
      </c>
      <c r="AB2916">
        <v>4</v>
      </c>
      <c r="AC2916" t="s">
        <v>61</v>
      </c>
      <c r="AJ2916" t="s">
        <v>69</v>
      </c>
      <c r="AY2916" t="s">
        <v>331</v>
      </c>
      <c r="AZ2916">
        <v>5313</v>
      </c>
      <c r="BA2916" t="s">
        <v>332</v>
      </c>
      <c r="BB2916" t="s">
        <v>333</v>
      </c>
      <c r="BC2916">
        <v>1989</v>
      </c>
      <c r="BD2916" t="s">
        <v>90</v>
      </c>
    </row>
    <row r="2917" spans="1:56" x14ac:dyDescent="0.35">
      <c r="A2917">
        <v>7733020</v>
      </c>
      <c r="B2917" t="s">
        <v>2182</v>
      </c>
      <c r="D2917" t="s">
        <v>85</v>
      </c>
      <c r="E2917" t="s">
        <v>86</v>
      </c>
      <c r="F2917" t="s">
        <v>58</v>
      </c>
      <c r="G2917" t="s">
        <v>59</v>
      </c>
      <c r="H2917" t="s">
        <v>60</v>
      </c>
      <c r="J2917" t="s">
        <v>86</v>
      </c>
      <c r="L2917" t="s">
        <v>62</v>
      </c>
      <c r="M2917" t="s">
        <v>63</v>
      </c>
      <c r="N2917" t="s">
        <v>64</v>
      </c>
      <c r="P2917" t="s">
        <v>201</v>
      </c>
      <c r="R2917">
        <v>7.63</v>
      </c>
      <c r="W2917" t="s">
        <v>66</v>
      </c>
      <c r="X2917" t="s">
        <v>67</v>
      </c>
      <c r="Y2917" t="s">
        <v>67</v>
      </c>
      <c r="Z2917" t="s">
        <v>68</v>
      </c>
      <c r="AB2917">
        <v>4</v>
      </c>
      <c r="AC2917" t="s">
        <v>61</v>
      </c>
      <c r="AJ2917" t="s">
        <v>69</v>
      </c>
      <c r="AY2917" t="s">
        <v>2194</v>
      </c>
      <c r="AZ2917">
        <v>2115</v>
      </c>
      <c r="BA2917" t="s">
        <v>2195</v>
      </c>
      <c r="BB2917" t="s">
        <v>2196</v>
      </c>
      <c r="BC2917">
        <v>1968</v>
      </c>
      <c r="BD2917" t="s">
        <v>90</v>
      </c>
    </row>
    <row r="2918" spans="1:56" x14ac:dyDescent="0.35">
      <c r="A2918">
        <v>7733020</v>
      </c>
      <c r="B2918" t="s">
        <v>2182</v>
      </c>
      <c r="C2918" t="s">
        <v>195</v>
      </c>
      <c r="D2918" t="s">
        <v>85</v>
      </c>
      <c r="E2918" t="s">
        <v>86</v>
      </c>
      <c r="F2918" t="s">
        <v>58</v>
      </c>
      <c r="G2918" t="s">
        <v>59</v>
      </c>
      <c r="H2918" t="s">
        <v>60</v>
      </c>
      <c r="I2918" t="s">
        <v>129</v>
      </c>
      <c r="J2918" t="s">
        <v>86</v>
      </c>
      <c r="L2918" t="s">
        <v>62</v>
      </c>
      <c r="M2918" t="s">
        <v>63</v>
      </c>
      <c r="N2918" t="s">
        <v>64</v>
      </c>
      <c r="O2918">
        <v>5</v>
      </c>
      <c r="P2918" t="s">
        <v>201</v>
      </c>
      <c r="R2918">
        <v>17</v>
      </c>
      <c r="W2918" t="s">
        <v>66</v>
      </c>
      <c r="X2918" t="s">
        <v>67</v>
      </c>
      <c r="Y2918" t="s">
        <v>67</v>
      </c>
      <c r="Z2918" t="s">
        <v>68</v>
      </c>
      <c r="AB2918">
        <v>4</v>
      </c>
      <c r="AC2918" t="s">
        <v>61</v>
      </c>
      <c r="AJ2918" t="s">
        <v>69</v>
      </c>
      <c r="AY2918" t="s">
        <v>298</v>
      </c>
      <c r="AZ2918">
        <v>11951</v>
      </c>
      <c r="BA2918" t="s">
        <v>299</v>
      </c>
      <c r="BB2918" t="s">
        <v>300</v>
      </c>
      <c r="BC2918">
        <v>1986</v>
      </c>
      <c r="BD2918" t="s">
        <v>90</v>
      </c>
    </row>
    <row r="2919" spans="1:56" x14ac:dyDescent="0.35">
      <c r="A2919">
        <v>7733020</v>
      </c>
      <c r="B2919" t="s">
        <v>2182</v>
      </c>
      <c r="D2919" t="s">
        <v>57</v>
      </c>
      <c r="E2919" t="s">
        <v>86</v>
      </c>
      <c r="F2919" t="s">
        <v>58</v>
      </c>
      <c r="G2919" t="s">
        <v>59</v>
      </c>
      <c r="H2919" t="s">
        <v>60</v>
      </c>
      <c r="I2919" t="s">
        <v>1469</v>
      </c>
      <c r="J2919" t="s">
        <v>289</v>
      </c>
      <c r="K2919" t="s">
        <v>184</v>
      </c>
      <c r="L2919" t="s">
        <v>62</v>
      </c>
      <c r="M2919" t="s">
        <v>63</v>
      </c>
      <c r="N2919" t="s">
        <v>64</v>
      </c>
      <c r="P2919" t="s">
        <v>201</v>
      </c>
      <c r="R2919">
        <v>1.27</v>
      </c>
      <c r="W2919" t="s">
        <v>66</v>
      </c>
      <c r="X2919" t="s">
        <v>67</v>
      </c>
      <c r="Y2919" t="s">
        <v>67</v>
      </c>
      <c r="Z2919" t="s">
        <v>68</v>
      </c>
      <c r="AB2919">
        <v>4</v>
      </c>
      <c r="AC2919" t="s">
        <v>61</v>
      </c>
      <c r="AJ2919" t="s">
        <v>69</v>
      </c>
      <c r="AY2919" t="s">
        <v>1474</v>
      </c>
      <c r="AZ2919">
        <v>9180</v>
      </c>
      <c r="BA2919" t="s">
        <v>1475</v>
      </c>
      <c r="BB2919" t="s">
        <v>1476</v>
      </c>
      <c r="BC2919">
        <v>1992</v>
      </c>
      <c r="BD2919" t="s">
        <v>185</v>
      </c>
    </row>
    <row r="2920" spans="1:56" x14ac:dyDescent="0.35">
      <c r="A2920">
        <v>7733020</v>
      </c>
      <c r="B2920" t="s">
        <v>2182</v>
      </c>
      <c r="C2920" t="s">
        <v>195</v>
      </c>
      <c r="D2920" t="s">
        <v>57</v>
      </c>
      <c r="E2920" t="s">
        <v>86</v>
      </c>
      <c r="F2920" t="s">
        <v>58</v>
      </c>
      <c r="G2920" t="s">
        <v>59</v>
      </c>
      <c r="H2920" t="s">
        <v>60</v>
      </c>
      <c r="J2920">
        <v>3</v>
      </c>
      <c r="K2920" t="s">
        <v>320</v>
      </c>
      <c r="L2920" t="s">
        <v>190</v>
      </c>
      <c r="M2920" t="s">
        <v>63</v>
      </c>
      <c r="N2920" t="s">
        <v>64</v>
      </c>
      <c r="P2920" t="s">
        <v>201</v>
      </c>
      <c r="R2920">
        <v>15.4</v>
      </c>
      <c r="T2920">
        <v>13.8</v>
      </c>
      <c r="V2920">
        <v>17.100000000000001</v>
      </c>
      <c r="W2920" t="s">
        <v>66</v>
      </c>
      <c r="X2920" t="s">
        <v>67</v>
      </c>
      <c r="Y2920" t="s">
        <v>67</v>
      </c>
      <c r="Z2920" t="s">
        <v>68</v>
      </c>
      <c r="AB2920">
        <v>4</v>
      </c>
      <c r="AC2920" t="s">
        <v>61</v>
      </c>
      <c r="AJ2920" t="s">
        <v>69</v>
      </c>
      <c r="AY2920" t="s">
        <v>2197</v>
      </c>
      <c r="AZ2920">
        <v>3080</v>
      </c>
      <c r="BA2920" t="s">
        <v>2198</v>
      </c>
      <c r="BB2920" t="s">
        <v>2199</v>
      </c>
      <c r="BC2920">
        <v>1989</v>
      </c>
      <c r="BD2920" t="s">
        <v>324</v>
      </c>
    </row>
    <row r="2921" spans="1:56" x14ac:dyDescent="0.35">
      <c r="A2921">
        <v>7733020</v>
      </c>
      <c r="B2921" t="s">
        <v>2182</v>
      </c>
      <c r="D2921" t="s">
        <v>57</v>
      </c>
      <c r="E2921" t="s">
        <v>86</v>
      </c>
      <c r="F2921" t="s">
        <v>58</v>
      </c>
      <c r="G2921" t="s">
        <v>59</v>
      </c>
      <c r="H2921" t="s">
        <v>60</v>
      </c>
      <c r="J2921" t="s">
        <v>86</v>
      </c>
      <c r="L2921" t="s">
        <v>74</v>
      </c>
      <c r="M2921" t="s">
        <v>63</v>
      </c>
      <c r="N2921" t="s">
        <v>64</v>
      </c>
      <c r="P2921" t="s">
        <v>201</v>
      </c>
      <c r="R2921">
        <v>29</v>
      </c>
      <c r="W2921" t="s">
        <v>66</v>
      </c>
      <c r="X2921" t="s">
        <v>67</v>
      </c>
      <c r="Y2921" t="s">
        <v>67</v>
      </c>
      <c r="Z2921" t="s">
        <v>68</v>
      </c>
      <c r="AB2921">
        <v>4</v>
      </c>
      <c r="AC2921" t="s">
        <v>61</v>
      </c>
      <c r="AJ2921" t="s">
        <v>69</v>
      </c>
      <c r="AY2921" t="s">
        <v>2185</v>
      </c>
      <c r="AZ2921">
        <v>2118</v>
      </c>
      <c r="BA2921" t="s">
        <v>2186</v>
      </c>
      <c r="BB2921" t="s">
        <v>2187</v>
      </c>
      <c r="BC2921">
        <v>1966</v>
      </c>
      <c r="BD2921" t="s">
        <v>90</v>
      </c>
    </row>
    <row r="2922" spans="1:56" x14ac:dyDescent="0.35">
      <c r="A2922">
        <v>7733020</v>
      </c>
      <c r="B2922" t="s">
        <v>2182</v>
      </c>
      <c r="C2922" t="s">
        <v>195</v>
      </c>
      <c r="D2922" t="s">
        <v>57</v>
      </c>
      <c r="E2922" t="s">
        <v>86</v>
      </c>
      <c r="F2922" t="s">
        <v>58</v>
      </c>
      <c r="G2922" t="s">
        <v>59</v>
      </c>
      <c r="H2922" t="s">
        <v>60</v>
      </c>
      <c r="I2922" t="s">
        <v>129</v>
      </c>
      <c r="J2922">
        <v>4</v>
      </c>
      <c r="K2922" t="s">
        <v>320</v>
      </c>
      <c r="L2922" t="s">
        <v>74</v>
      </c>
      <c r="M2922" t="s">
        <v>63</v>
      </c>
      <c r="N2922" t="s">
        <v>64</v>
      </c>
      <c r="O2922">
        <v>6</v>
      </c>
      <c r="P2922" t="s">
        <v>201</v>
      </c>
      <c r="R2922">
        <v>2.27</v>
      </c>
      <c r="T2922">
        <v>1.59</v>
      </c>
      <c r="V2922">
        <v>3.34</v>
      </c>
      <c r="W2922" t="s">
        <v>66</v>
      </c>
      <c r="X2922" t="s">
        <v>67</v>
      </c>
      <c r="Y2922" t="s">
        <v>67</v>
      </c>
      <c r="Z2922" t="s">
        <v>68</v>
      </c>
      <c r="AB2922">
        <v>4</v>
      </c>
      <c r="AC2922" t="s">
        <v>61</v>
      </c>
      <c r="AJ2922" t="s">
        <v>69</v>
      </c>
      <c r="AY2922" t="s">
        <v>2191</v>
      </c>
      <c r="AZ2922">
        <v>82108</v>
      </c>
      <c r="BA2922" t="s">
        <v>2192</v>
      </c>
      <c r="BB2922" t="s">
        <v>2193</v>
      </c>
      <c r="BC2922">
        <v>1981</v>
      </c>
      <c r="BD2922" t="s">
        <v>324</v>
      </c>
    </row>
    <row r="2923" spans="1:56" x14ac:dyDescent="0.35">
      <c r="A2923">
        <v>7733020</v>
      </c>
      <c r="B2923" t="s">
        <v>2182</v>
      </c>
      <c r="D2923" t="s">
        <v>57</v>
      </c>
      <c r="E2923" t="s">
        <v>86</v>
      </c>
      <c r="F2923" t="s">
        <v>58</v>
      </c>
      <c r="G2923" t="s">
        <v>59</v>
      </c>
      <c r="H2923" t="s">
        <v>60</v>
      </c>
      <c r="J2923" t="s">
        <v>1102</v>
      </c>
      <c r="K2923" t="s">
        <v>184</v>
      </c>
      <c r="M2923" t="s">
        <v>63</v>
      </c>
      <c r="N2923" t="s">
        <v>64</v>
      </c>
      <c r="P2923" t="s">
        <v>201</v>
      </c>
      <c r="R2923">
        <v>0.33</v>
      </c>
      <c r="T2923">
        <v>0.23</v>
      </c>
      <c r="V2923">
        <v>0.48</v>
      </c>
      <c r="W2923" t="s">
        <v>66</v>
      </c>
      <c r="X2923" t="s">
        <v>67</v>
      </c>
      <c r="Y2923" t="s">
        <v>67</v>
      </c>
      <c r="Z2923" t="s">
        <v>68</v>
      </c>
      <c r="AB2923">
        <v>4</v>
      </c>
      <c r="AC2923" t="s">
        <v>61</v>
      </c>
      <c r="AJ2923" t="s">
        <v>69</v>
      </c>
      <c r="AY2923" t="s">
        <v>1851</v>
      </c>
      <c r="AZ2923">
        <v>7289</v>
      </c>
      <c r="BA2923" t="s">
        <v>1852</v>
      </c>
      <c r="BB2923" t="s">
        <v>1853</v>
      </c>
      <c r="BC2923">
        <v>1993</v>
      </c>
      <c r="BD2923" t="s">
        <v>185</v>
      </c>
    </row>
    <row r="2924" spans="1:56" x14ac:dyDescent="0.35">
      <c r="A2924">
        <v>7733020</v>
      </c>
      <c r="B2924" t="s">
        <v>2182</v>
      </c>
      <c r="D2924" t="s">
        <v>85</v>
      </c>
      <c r="E2924" t="s">
        <v>86</v>
      </c>
      <c r="F2924" t="s">
        <v>58</v>
      </c>
      <c r="G2924" t="s">
        <v>59</v>
      </c>
      <c r="H2924" t="s">
        <v>60</v>
      </c>
      <c r="J2924" t="s">
        <v>86</v>
      </c>
      <c r="L2924" t="s">
        <v>62</v>
      </c>
      <c r="M2924" t="s">
        <v>63</v>
      </c>
      <c r="N2924" t="s">
        <v>64</v>
      </c>
      <c r="P2924" t="s">
        <v>201</v>
      </c>
      <c r="R2924">
        <v>2.5499999999999998</v>
      </c>
      <c r="T2924">
        <v>2.23</v>
      </c>
      <c r="V2924">
        <v>3</v>
      </c>
      <c r="W2924" t="s">
        <v>66</v>
      </c>
      <c r="X2924" t="s">
        <v>67</v>
      </c>
      <c r="Y2924" t="s">
        <v>67</v>
      </c>
      <c r="Z2924" t="s">
        <v>68</v>
      </c>
      <c r="AB2924">
        <v>4</v>
      </c>
      <c r="AC2924" t="s">
        <v>61</v>
      </c>
      <c r="AJ2924" t="s">
        <v>69</v>
      </c>
      <c r="AY2924" t="s">
        <v>168</v>
      </c>
      <c r="AZ2924">
        <v>2033</v>
      </c>
      <c r="BA2924" t="s">
        <v>1385</v>
      </c>
      <c r="BB2924" t="s">
        <v>1386</v>
      </c>
      <c r="BC2924">
        <v>1966</v>
      </c>
      <c r="BD2924" t="s">
        <v>90</v>
      </c>
    </row>
    <row r="2925" spans="1:56" x14ac:dyDescent="0.35">
      <c r="A2925">
        <v>7733020</v>
      </c>
      <c r="B2925" t="s">
        <v>2182</v>
      </c>
      <c r="C2925" t="s">
        <v>195</v>
      </c>
      <c r="D2925" t="s">
        <v>57</v>
      </c>
      <c r="E2925" t="s">
        <v>86</v>
      </c>
      <c r="F2925" t="s">
        <v>58</v>
      </c>
      <c r="G2925" t="s">
        <v>59</v>
      </c>
      <c r="H2925" t="s">
        <v>60</v>
      </c>
      <c r="I2925" t="s">
        <v>129</v>
      </c>
      <c r="J2925">
        <v>4</v>
      </c>
      <c r="K2925" t="s">
        <v>320</v>
      </c>
      <c r="L2925" t="s">
        <v>74</v>
      </c>
      <c r="M2925" t="s">
        <v>63</v>
      </c>
      <c r="N2925" t="s">
        <v>64</v>
      </c>
      <c r="O2925">
        <v>6</v>
      </c>
      <c r="P2925" t="s">
        <v>201</v>
      </c>
      <c r="R2925">
        <v>4.2300000000000004</v>
      </c>
      <c r="T2925">
        <v>2.2400000000000002</v>
      </c>
      <c r="V2925">
        <v>6.71</v>
      </c>
      <c r="W2925" t="s">
        <v>66</v>
      </c>
      <c r="X2925" t="s">
        <v>67</v>
      </c>
      <c r="Y2925" t="s">
        <v>67</v>
      </c>
      <c r="Z2925" t="s">
        <v>68</v>
      </c>
      <c r="AB2925">
        <v>4</v>
      </c>
      <c r="AC2925" t="s">
        <v>61</v>
      </c>
      <c r="AJ2925" t="s">
        <v>69</v>
      </c>
      <c r="AY2925" t="s">
        <v>2191</v>
      </c>
      <c r="AZ2925">
        <v>82108</v>
      </c>
      <c r="BA2925" t="s">
        <v>2192</v>
      </c>
      <c r="BB2925" t="s">
        <v>2193</v>
      </c>
      <c r="BC2925">
        <v>1981</v>
      </c>
      <c r="BD2925" t="s">
        <v>324</v>
      </c>
    </row>
    <row r="2926" spans="1:56" x14ac:dyDescent="0.35">
      <c r="A2926">
        <v>7733020</v>
      </c>
      <c r="B2926" t="s">
        <v>2182</v>
      </c>
      <c r="D2926" t="s">
        <v>57</v>
      </c>
      <c r="E2926" t="s">
        <v>86</v>
      </c>
      <c r="F2926" t="s">
        <v>58</v>
      </c>
      <c r="G2926" t="s">
        <v>59</v>
      </c>
      <c r="H2926" t="s">
        <v>60</v>
      </c>
      <c r="J2926" t="s">
        <v>86</v>
      </c>
      <c r="L2926" t="s">
        <v>74</v>
      </c>
      <c r="M2926" t="s">
        <v>63</v>
      </c>
      <c r="N2926" t="s">
        <v>64</v>
      </c>
      <c r="P2926" t="s">
        <v>201</v>
      </c>
      <c r="R2926">
        <v>4.7</v>
      </c>
      <c r="W2926" t="s">
        <v>66</v>
      </c>
      <c r="X2926" t="s">
        <v>67</v>
      </c>
      <c r="Y2926" t="s">
        <v>67</v>
      </c>
      <c r="Z2926" t="s">
        <v>68</v>
      </c>
      <c r="AB2926">
        <v>4</v>
      </c>
      <c r="AC2926" t="s">
        <v>61</v>
      </c>
      <c r="AJ2926" t="s">
        <v>69</v>
      </c>
      <c r="AY2926" t="s">
        <v>2185</v>
      </c>
      <c r="AZ2926">
        <v>2118</v>
      </c>
      <c r="BA2926" t="s">
        <v>2186</v>
      </c>
      <c r="BB2926" t="s">
        <v>2187</v>
      </c>
      <c r="BC2926">
        <v>1966</v>
      </c>
      <c r="BD2926" t="s">
        <v>90</v>
      </c>
    </row>
    <row r="2927" spans="1:56" x14ac:dyDescent="0.35">
      <c r="A2927">
        <v>7733020</v>
      </c>
      <c r="B2927" t="s">
        <v>2182</v>
      </c>
      <c r="D2927" t="s">
        <v>57</v>
      </c>
      <c r="E2927" t="s">
        <v>86</v>
      </c>
      <c r="F2927" t="s">
        <v>58</v>
      </c>
      <c r="G2927" t="s">
        <v>59</v>
      </c>
      <c r="H2927" t="s">
        <v>60</v>
      </c>
      <c r="J2927" t="s">
        <v>1102</v>
      </c>
      <c r="K2927" t="s">
        <v>184</v>
      </c>
      <c r="M2927" t="s">
        <v>63</v>
      </c>
      <c r="N2927" t="s">
        <v>64</v>
      </c>
      <c r="P2927" t="s">
        <v>201</v>
      </c>
      <c r="R2927">
        <v>0.78</v>
      </c>
      <c r="T2927">
        <v>0.56000000000000005</v>
      </c>
      <c r="V2927">
        <v>1.1000000000000001</v>
      </c>
      <c r="W2927" t="s">
        <v>66</v>
      </c>
      <c r="X2927" t="s">
        <v>67</v>
      </c>
      <c r="Y2927" t="s">
        <v>67</v>
      </c>
      <c r="Z2927" t="s">
        <v>68</v>
      </c>
      <c r="AB2927">
        <v>4</v>
      </c>
      <c r="AC2927" t="s">
        <v>61</v>
      </c>
      <c r="AJ2927" t="s">
        <v>69</v>
      </c>
      <c r="AY2927" t="s">
        <v>1851</v>
      </c>
      <c r="AZ2927">
        <v>7289</v>
      </c>
      <c r="BA2927" t="s">
        <v>1852</v>
      </c>
      <c r="BB2927" t="s">
        <v>1853</v>
      </c>
      <c r="BC2927">
        <v>1993</v>
      </c>
      <c r="BD2927" t="s">
        <v>185</v>
      </c>
    </row>
    <row r="2928" spans="1:56" x14ac:dyDescent="0.35">
      <c r="A2928">
        <v>7733020</v>
      </c>
      <c r="B2928" t="s">
        <v>2182</v>
      </c>
      <c r="C2928" t="s">
        <v>195</v>
      </c>
      <c r="D2928" t="s">
        <v>57</v>
      </c>
      <c r="E2928" t="s">
        <v>86</v>
      </c>
      <c r="F2928" t="s">
        <v>58</v>
      </c>
      <c r="G2928" t="s">
        <v>59</v>
      </c>
      <c r="H2928" t="s">
        <v>60</v>
      </c>
      <c r="I2928" t="s">
        <v>129</v>
      </c>
      <c r="J2928">
        <v>4</v>
      </c>
      <c r="K2928" t="s">
        <v>320</v>
      </c>
      <c r="L2928" t="s">
        <v>74</v>
      </c>
      <c r="M2928" t="s">
        <v>63</v>
      </c>
      <c r="N2928" t="s">
        <v>64</v>
      </c>
      <c r="O2928">
        <v>6</v>
      </c>
      <c r="P2928" t="s">
        <v>201</v>
      </c>
      <c r="R2928">
        <v>2.98</v>
      </c>
      <c r="T2928">
        <v>2.56</v>
      </c>
      <c r="V2928">
        <v>3.51</v>
      </c>
      <c r="W2928" t="s">
        <v>66</v>
      </c>
      <c r="X2928" t="s">
        <v>67</v>
      </c>
      <c r="Y2928" t="s">
        <v>67</v>
      </c>
      <c r="Z2928" t="s">
        <v>68</v>
      </c>
      <c r="AB2928">
        <v>4</v>
      </c>
      <c r="AC2928" t="s">
        <v>61</v>
      </c>
      <c r="AJ2928" t="s">
        <v>69</v>
      </c>
      <c r="AY2928" t="s">
        <v>2191</v>
      </c>
      <c r="AZ2928">
        <v>82108</v>
      </c>
      <c r="BA2928" t="s">
        <v>2192</v>
      </c>
      <c r="BB2928" t="s">
        <v>2193</v>
      </c>
      <c r="BC2928">
        <v>1981</v>
      </c>
      <c r="BD2928" t="s">
        <v>324</v>
      </c>
    </row>
    <row r="2929" spans="1:56" x14ac:dyDescent="0.35">
      <c r="A2929">
        <v>7733020</v>
      </c>
      <c r="B2929" t="s">
        <v>2182</v>
      </c>
      <c r="D2929" t="s">
        <v>57</v>
      </c>
      <c r="E2929" t="s">
        <v>86</v>
      </c>
      <c r="F2929" t="s">
        <v>58</v>
      </c>
      <c r="G2929" t="s">
        <v>59</v>
      </c>
      <c r="H2929" t="s">
        <v>60</v>
      </c>
      <c r="J2929" t="s">
        <v>86</v>
      </c>
      <c r="L2929" t="s">
        <v>74</v>
      </c>
      <c r="M2929" t="s">
        <v>63</v>
      </c>
      <c r="N2929" t="s">
        <v>64</v>
      </c>
      <c r="P2929" t="s">
        <v>201</v>
      </c>
      <c r="R2929">
        <v>9.9</v>
      </c>
      <c r="W2929" t="s">
        <v>66</v>
      </c>
      <c r="X2929" t="s">
        <v>67</v>
      </c>
      <c r="Y2929" t="s">
        <v>67</v>
      </c>
      <c r="Z2929" t="s">
        <v>68</v>
      </c>
      <c r="AB2929">
        <v>4</v>
      </c>
      <c r="AC2929" t="s">
        <v>61</v>
      </c>
      <c r="AJ2929" t="s">
        <v>69</v>
      </c>
      <c r="AY2929" t="s">
        <v>2185</v>
      </c>
      <c r="AZ2929">
        <v>2118</v>
      </c>
      <c r="BA2929" t="s">
        <v>2186</v>
      </c>
      <c r="BB2929" t="s">
        <v>2187</v>
      </c>
      <c r="BC2929">
        <v>1966</v>
      </c>
      <c r="BD2929" t="s">
        <v>90</v>
      </c>
    </row>
    <row r="2930" spans="1:56" x14ac:dyDescent="0.35">
      <c r="A2930">
        <v>7733020</v>
      </c>
      <c r="B2930" t="s">
        <v>2182</v>
      </c>
      <c r="C2930" t="s">
        <v>195</v>
      </c>
      <c r="D2930" t="s">
        <v>57</v>
      </c>
      <c r="E2930" t="s">
        <v>86</v>
      </c>
      <c r="F2930" t="s">
        <v>58</v>
      </c>
      <c r="G2930" t="s">
        <v>59</v>
      </c>
      <c r="H2930" t="s">
        <v>60</v>
      </c>
      <c r="I2930" t="s">
        <v>188</v>
      </c>
      <c r="J2930" t="s">
        <v>86</v>
      </c>
      <c r="L2930" t="s">
        <v>190</v>
      </c>
      <c r="M2930" t="s">
        <v>63</v>
      </c>
      <c r="N2930" t="s">
        <v>64</v>
      </c>
      <c r="P2930" t="s">
        <v>201</v>
      </c>
      <c r="R2930">
        <v>0.20399999999999999</v>
      </c>
      <c r="T2930">
        <v>0.16800000000000001</v>
      </c>
      <c r="V2930">
        <v>0.25</v>
      </c>
      <c r="W2930" t="s">
        <v>66</v>
      </c>
      <c r="X2930" t="s">
        <v>67</v>
      </c>
      <c r="Y2930" t="s">
        <v>67</v>
      </c>
      <c r="Z2930" t="s">
        <v>68</v>
      </c>
      <c r="AB2930">
        <v>4</v>
      </c>
      <c r="AC2930" t="s">
        <v>61</v>
      </c>
      <c r="AJ2930" t="s">
        <v>69</v>
      </c>
      <c r="AY2930" t="s">
        <v>331</v>
      </c>
      <c r="AZ2930">
        <v>5313</v>
      </c>
      <c r="BA2930" t="s">
        <v>332</v>
      </c>
      <c r="BB2930" t="s">
        <v>333</v>
      </c>
      <c r="BC2930">
        <v>1989</v>
      </c>
      <c r="BD2930" t="s">
        <v>90</v>
      </c>
    </row>
    <row r="2931" spans="1:56" x14ac:dyDescent="0.35">
      <c r="A2931">
        <v>7733020</v>
      </c>
      <c r="B2931" t="s">
        <v>2182</v>
      </c>
      <c r="D2931" t="s">
        <v>85</v>
      </c>
      <c r="E2931" t="s">
        <v>86</v>
      </c>
      <c r="F2931" t="s">
        <v>58</v>
      </c>
      <c r="G2931" t="s">
        <v>59</v>
      </c>
      <c r="H2931" t="s">
        <v>60</v>
      </c>
      <c r="J2931" t="s">
        <v>86</v>
      </c>
      <c r="L2931" t="s">
        <v>62</v>
      </c>
      <c r="M2931" t="s">
        <v>63</v>
      </c>
      <c r="N2931" t="s">
        <v>64</v>
      </c>
      <c r="P2931" t="s">
        <v>201</v>
      </c>
      <c r="R2931">
        <v>0.96</v>
      </c>
      <c r="T2931">
        <v>0.76</v>
      </c>
      <c r="V2931">
        <v>1.22</v>
      </c>
      <c r="W2931" t="s">
        <v>66</v>
      </c>
      <c r="X2931" t="s">
        <v>67</v>
      </c>
      <c r="Y2931" t="s">
        <v>67</v>
      </c>
      <c r="Z2931" t="s">
        <v>68</v>
      </c>
      <c r="AB2931">
        <v>4</v>
      </c>
      <c r="AC2931" t="s">
        <v>61</v>
      </c>
      <c r="AJ2931" t="s">
        <v>69</v>
      </c>
      <c r="AY2931" t="s">
        <v>168</v>
      </c>
      <c r="AZ2931">
        <v>2033</v>
      </c>
      <c r="BA2931" t="s">
        <v>1385</v>
      </c>
      <c r="BB2931" t="s">
        <v>1386</v>
      </c>
      <c r="BC2931">
        <v>1966</v>
      </c>
      <c r="BD2931" t="s">
        <v>90</v>
      </c>
    </row>
    <row r="2932" spans="1:56" x14ac:dyDescent="0.35">
      <c r="A2932">
        <v>7733020</v>
      </c>
      <c r="B2932" t="s">
        <v>2182</v>
      </c>
      <c r="C2932" t="s">
        <v>195</v>
      </c>
      <c r="D2932" t="s">
        <v>57</v>
      </c>
      <c r="E2932" t="s">
        <v>86</v>
      </c>
      <c r="F2932" t="s">
        <v>58</v>
      </c>
      <c r="G2932" t="s">
        <v>59</v>
      </c>
      <c r="H2932" t="s">
        <v>60</v>
      </c>
      <c r="I2932" t="s">
        <v>188</v>
      </c>
      <c r="J2932" t="s">
        <v>86</v>
      </c>
      <c r="L2932" t="s">
        <v>190</v>
      </c>
      <c r="M2932" t="s">
        <v>63</v>
      </c>
      <c r="N2932" t="s">
        <v>64</v>
      </c>
      <c r="P2932" t="s">
        <v>201</v>
      </c>
      <c r="R2932">
        <v>0.28199999999999997</v>
      </c>
      <c r="T2932">
        <v>0.23300000000000001</v>
      </c>
      <c r="V2932">
        <v>0.34100000000000003</v>
      </c>
      <c r="W2932" t="s">
        <v>66</v>
      </c>
      <c r="X2932" t="s">
        <v>67</v>
      </c>
      <c r="Y2932" t="s">
        <v>67</v>
      </c>
      <c r="Z2932" t="s">
        <v>68</v>
      </c>
      <c r="AB2932">
        <v>4</v>
      </c>
      <c r="AC2932" t="s">
        <v>61</v>
      </c>
      <c r="AJ2932" t="s">
        <v>69</v>
      </c>
      <c r="AY2932" t="s">
        <v>331</v>
      </c>
      <c r="AZ2932">
        <v>5313</v>
      </c>
      <c r="BA2932" t="s">
        <v>332</v>
      </c>
      <c r="BB2932" t="s">
        <v>333</v>
      </c>
      <c r="BC2932">
        <v>1989</v>
      </c>
      <c r="BD2932" t="s">
        <v>90</v>
      </c>
    </row>
    <row r="2933" spans="1:56" x14ac:dyDescent="0.35">
      <c r="A2933">
        <v>7733020</v>
      </c>
      <c r="B2933" t="s">
        <v>2182</v>
      </c>
      <c r="D2933" t="s">
        <v>57</v>
      </c>
      <c r="E2933" t="s">
        <v>86</v>
      </c>
      <c r="F2933" t="s">
        <v>58</v>
      </c>
      <c r="G2933" t="s">
        <v>59</v>
      </c>
      <c r="H2933" t="s">
        <v>60</v>
      </c>
      <c r="I2933" t="s">
        <v>1469</v>
      </c>
      <c r="J2933" t="s">
        <v>289</v>
      </c>
      <c r="K2933" t="s">
        <v>184</v>
      </c>
      <c r="L2933" t="s">
        <v>62</v>
      </c>
      <c r="M2933" t="s">
        <v>63</v>
      </c>
      <c r="N2933" t="s">
        <v>64</v>
      </c>
      <c r="P2933" t="s">
        <v>1296</v>
      </c>
      <c r="R2933">
        <v>1.37</v>
      </c>
      <c r="W2933" t="s">
        <v>66</v>
      </c>
      <c r="X2933" t="s">
        <v>67</v>
      </c>
      <c r="Y2933" t="s">
        <v>67</v>
      </c>
      <c r="Z2933" t="s">
        <v>68</v>
      </c>
      <c r="AB2933">
        <v>4</v>
      </c>
      <c r="AC2933" t="s">
        <v>61</v>
      </c>
      <c r="AJ2933" t="s">
        <v>69</v>
      </c>
      <c r="AY2933" t="s">
        <v>1474</v>
      </c>
      <c r="AZ2933">
        <v>9180</v>
      </c>
      <c r="BA2933" t="s">
        <v>1475</v>
      </c>
      <c r="BB2933" t="s">
        <v>1476</v>
      </c>
      <c r="BC2933">
        <v>1992</v>
      </c>
      <c r="BD2933" t="s">
        <v>185</v>
      </c>
    </row>
    <row r="2934" spans="1:56" x14ac:dyDescent="0.35">
      <c r="A2934">
        <v>7733020</v>
      </c>
      <c r="B2934" t="s">
        <v>2182</v>
      </c>
      <c r="C2934" t="s">
        <v>195</v>
      </c>
      <c r="D2934" t="s">
        <v>57</v>
      </c>
      <c r="E2934" t="s">
        <v>86</v>
      </c>
      <c r="F2934" t="s">
        <v>58</v>
      </c>
      <c r="G2934" t="s">
        <v>59</v>
      </c>
      <c r="H2934" t="s">
        <v>60</v>
      </c>
      <c r="I2934" t="s">
        <v>188</v>
      </c>
      <c r="J2934" t="s">
        <v>86</v>
      </c>
      <c r="L2934" t="s">
        <v>74</v>
      </c>
      <c r="M2934" t="s">
        <v>63</v>
      </c>
      <c r="N2934" t="s">
        <v>64</v>
      </c>
      <c r="O2934">
        <v>6</v>
      </c>
      <c r="P2934" t="s">
        <v>201</v>
      </c>
      <c r="R2934">
        <v>0.313</v>
      </c>
      <c r="T2934">
        <v>0.25</v>
      </c>
      <c r="V2934">
        <v>0.39200000000000002</v>
      </c>
      <c r="W2934" t="s">
        <v>66</v>
      </c>
      <c r="X2934" t="s">
        <v>67</v>
      </c>
      <c r="Y2934" t="s">
        <v>67</v>
      </c>
      <c r="Z2934" t="s">
        <v>68</v>
      </c>
      <c r="AB2934">
        <v>4</v>
      </c>
      <c r="AC2934" t="s">
        <v>61</v>
      </c>
      <c r="AJ2934" t="s">
        <v>69</v>
      </c>
      <c r="AY2934" t="s">
        <v>331</v>
      </c>
      <c r="AZ2934">
        <v>5313</v>
      </c>
      <c r="BA2934" t="s">
        <v>332</v>
      </c>
      <c r="BB2934" t="s">
        <v>333</v>
      </c>
      <c r="BC2934">
        <v>1989</v>
      </c>
      <c r="BD2934" t="s">
        <v>90</v>
      </c>
    </row>
    <row r="2935" spans="1:56" x14ac:dyDescent="0.35">
      <c r="A2935">
        <v>7733020</v>
      </c>
      <c r="B2935" t="s">
        <v>2182</v>
      </c>
      <c r="C2935" t="s">
        <v>195</v>
      </c>
      <c r="D2935" t="s">
        <v>57</v>
      </c>
      <c r="E2935" t="s">
        <v>86</v>
      </c>
      <c r="F2935" t="s">
        <v>58</v>
      </c>
      <c r="G2935" t="s">
        <v>59</v>
      </c>
      <c r="H2935" t="s">
        <v>60</v>
      </c>
      <c r="J2935">
        <v>4</v>
      </c>
      <c r="K2935" t="s">
        <v>196</v>
      </c>
      <c r="L2935" t="s">
        <v>74</v>
      </c>
      <c r="M2935" t="s">
        <v>63</v>
      </c>
      <c r="N2935" t="s">
        <v>64</v>
      </c>
      <c r="P2935" t="s">
        <v>201</v>
      </c>
      <c r="R2935">
        <v>0.6</v>
      </c>
      <c r="W2935" t="s">
        <v>66</v>
      </c>
      <c r="X2935" t="s">
        <v>67</v>
      </c>
      <c r="Y2935" t="s">
        <v>67</v>
      </c>
      <c r="Z2935" t="s">
        <v>68</v>
      </c>
      <c r="AB2935">
        <v>4</v>
      </c>
      <c r="AC2935" t="s">
        <v>61</v>
      </c>
      <c r="AJ2935" t="s">
        <v>69</v>
      </c>
      <c r="AY2935" t="s">
        <v>2200</v>
      </c>
      <c r="AZ2935">
        <v>2116</v>
      </c>
      <c r="BA2935" t="s">
        <v>2201</v>
      </c>
      <c r="BB2935" t="s">
        <v>2202</v>
      </c>
      <c r="BC2935">
        <v>1978</v>
      </c>
      <c r="BD2935" t="s">
        <v>200</v>
      </c>
    </row>
    <row r="2936" spans="1:56" x14ac:dyDescent="0.35">
      <c r="A2936">
        <v>7733020</v>
      </c>
      <c r="B2936" t="s">
        <v>2182</v>
      </c>
      <c r="C2936" t="s">
        <v>195</v>
      </c>
      <c r="D2936" t="s">
        <v>85</v>
      </c>
      <c r="E2936" t="s">
        <v>86</v>
      </c>
      <c r="F2936" t="s">
        <v>58</v>
      </c>
      <c r="G2936" t="s">
        <v>59</v>
      </c>
      <c r="H2936" t="s">
        <v>60</v>
      </c>
      <c r="I2936" t="s">
        <v>129</v>
      </c>
      <c r="J2936" t="s">
        <v>86</v>
      </c>
      <c r="L2936" t="s">
        <v>62</v>
      </c>
      <c r="M2936" t="s">
        <v>63</v>
      </c>
      <c r="N2936" t="s">
        <v>64</v>
      </c>
      <c r="O2936">
        <v>5</v>
      </c>
      <c r="P2936" t="s">
        <v>201</v>
      </c>
      <c r="R2936">
        <v>22</v>
      </c>
      <c r="W2936" t="s">
        <v>66</v>
      </c>
      <c r="X2936" t="s">
        <v>67</v>
      </c>
      <c r="Y2936" t="s">
        <v>67</v>
      </c>
      <c r="Z2936" t="s">
        <v>68</v>
      </c>
      <c r="AB2936">
        <v>4</v>
      </c>
      <c r="AC2936" t="s">
        <v>61</v>
      </c>
      <c r="AJ2936" t="s">
        <v>69</v>
      </c>
      <c r="AY2936" t="s">
        <v>298</v>
      </c>
      <c r="AZ2936">
        <v>11951</v>
      </c>
      <c r="BA2936" t="s">
        <v>299</v>
      </c>
      <c r="BB2936" t="s">
        <v>300</v>
      </c>
      <c r="BC2936">
        <v>1986</v>
      </c>
      <c r="BD2936" t="s">
        <v>90</v>
      </c>
    </row>
    <row r="2937" spans="1:56" x14ac:dyDescent="0.35">
      <c r="A2937">
        <v>7733020</v>
      </c>
      <c r="B2937" t="s">
        <v>2182</v>
      </c>
      <c r="C2937" t="s">
        <v>195</v>
      </c>
      <c r="D2937" t="s">
        <v>57</v>
      </c>
      <c r="E2937" t="s">
        <v>86</v>
      </c>
      <c r="F2937" t="s">
        <v>58</v>
      </c>
      <c r="G2937" t="s">
        <v>59</v>
      </c>
      <c r="H2937" t="s">
        <v>60</v>
      </c>
      <c r="I2937" t="s">
        <v>188</v>
      </c>
      <c r="J2937" t="s">
        <v>86</v>
      </c>
      <c r="L2937" t="s">
        <v>74</v>
      </c>
      <c r="M2937" t="s">
        <v>63</v>
      </c>
      <c r="N2937" t="s">
        <v>64</v>
      </c>
      <c r="O2937">
        <v>6</v>
      </c>
      <c r="P2937" t="s">
        <v>201</v>
      </c>
      <c r="R2937">
        <v>0.32200000000000001</v>
      </c>
      <c r="T2937">
        <v>0.27600000000000002</v>
      </c>
      <c r="V2937">
        <v>0.374</v>
      </c>
      <c r="W2937" t="s">
        <v>66</v>
      </c>
      <c r="X2937" t="s">
        <v>67</v>
      </c>
      <c r="Y2937" t="s">
        <v>67</v>
      </c>
      <c r="Z2937" t="s">
        <v>68</v>
      </c>
      <c r="AB2937">
        <v>4</v>
      </c>
      <c r="AC2937" t="s">
        <v>61</v>
      </c>
      <c r="AJ2937" t="s">
        <v>69</v>
      </c>
      <c r="AY2937" t="s">
        <v>331</v>
      </c>
      <c r="AZ2937">
        <v>5313</v>
      </c>
      <c r="BA2937" t="s">
        <v>332</v>
      </c>
      <c r="BB2937" t="s">
        <v>333</v>
      </c>
      <c r="BC2937">
        <v>1989</v>
      </c>
      <c r="BD2937" t="s">
        <v>90</v>
      </c>
    </row>
    <row r="2938" spans="1:56" x14ac:dyDescent="0.35">
      <c r="A2938">
        <v>7733020</v>
      </c>
      <c r="B2938" t="s">
        <v>2182</v>
      </c>
      <c r="D2938" t="s">
        <v>85</v>
      </c>
      <c r="E2938" t="s">
        <v>86</v>
      </c>
      <c r="F2938" t="s">
        <v>58</v>
      </c>
      <c r="G2938" t="s">
        <v>59</v>
      </c>
      <c r="H2938" t="s">
        <v>60</v>
      </c>
      <c r="I2938" t="s">
        <v>1469</v>
      </c>
      <c r="J2938" t="s">
        <v>289</v>
      </c>
      <c r="K2938" t="s">
        <v>184</v>
      </c>
      <c r="L2938" t="s">
        <v>62</v>
      </c>
      <c r="M2938" t="s">
        <v>63</v>
      </c>
      <c r="N2938" t="s">
        <v>64</v>
      </c>
      <c r="P2938" t="s">
        <v>201</v>
      </c>
      <c r="R2938">
        <v>1.38</v>
      </c>
      <c r="W2938" t="s">
        <v>66</v>
      </c>
      <c r="X2938" t="s">
        <v>67</v>
      </c>
      <c r="Y2938" t="s">
        <v>67</v>
      </c>
      <c r="Z2938" t="s">
        <v>68</v>
      </c>
      <c r="AB2938">
        <v>4</v>
      </c>
      <c r="AC2938" t="s">
        <v>61</v>
      </c>
      <c r="AJ2938" t="s">
        <v>69</v>
      </c>
      <c r="AY2938" t="s">
        <v>1474</v>
      </c>
      <c r="AZ2938">
        <v>9180</v>
      </c>
      <c r="BA2938" t="s">
        <v>1475</v>
      </c>
      <c r="BB2938" t="s">
        <v>1476</v>
      </c>
      <c r="BC2938">
        <v>1992</v>
      </c>
      <c r="BD2938" t="s">
        <v>185</v>
      </c>
    </row>
    <row r="2939" spans="1:56" x14ac:dyDescent="0.35">
      <c r="A2939">
        <v>7733020</v>
      </c>
      <c r="B2939" t="s">
        <v>2182</v>
      </c>
      <c r="C2939" t="s">
        <v>195</v>
      </c>
      <c r="D2939" t="s">
        <v>57</v>
      </c>
      <c r="E2939" t="s">
        <v>86</v>
      </c>
      <c r="F2939" t="s">
        <v>58</v>
      </c>
      <c r="G2939" t="s">
        <v>59</v>
      </c>
      <c r="H2939" t="s">
        <v>60</v>
      </c>
      <c r="I2939" t="s">
        <v>129</v>
      </c>
      <c r="J2939">
        <v>4</v>
      </c>
      <c r="K2939" t="s">
        <v>320</v>
      </c>
      <c r="L2939" t="s">
        <v>74</v>
      </c>
      <c r="M2939" t="s">
        <v>63</v>
      </c>
      <c r="N2939" t="s">
        <v>64</v>
      </c>
      <c r="O2939">
        <v>6</v>
      </c>
      <c r="P2939" t="s">
        <v>201</v>
      </c>
      <c r="R2939">
        <v>2.65</v>
      </c>
      <c r="T2939">
        <v>1.71</v>
      </c>
      <c r="V2939">
        <v>3.59</v>
      </c>
      <c r="W2939" t="s">
        <v>66</v>
      </c>
      <c r="X2939" t="s">
        <v>67</v>
      </c>
      <c r="Y2939" t="s">
        <v>67</v>
      </c>
      <c r="Z2939" t="s">
        <v>68</v>
      </c>
      <c r="AB2939">
        <v>4</v>
      </c>
      <c r="AC2939" t="s">
        <v>61</v>
      </c>
      <c r="AJ2939" t="s">
        <v>69</v>
      </c>
      <c r="AY2939" t="s">
        <v>2191</v>
      </c>
      <c r="AZ2939">
        <v>82108</v>
      </c>
      <c r="BA2939" t="s">
        <v>2192</v>
      </c>
      <c r="BB2939" t="s">
        <v>2193</v>
      </c>
      <c r="BC2939">
        <v>1981</v>
      </c>
      <c r="BD2939" t="s">
        <v>324</v>
      </c>
    </row>
    <row r="2940" spans="1:56" x14ac:dyDescent="0.35">
      <c r="A2940">
        <v>7733020</v>
      </c>
      <c r="B2940" t="s">
        <v>2182</v>
      </c>
      <c r="C2940" t="s">
        <v>195</v>
      </c>
      <c r="D2940" t="s">
        <v>57</v>
      </c>
      <c r="E2940" t="s">
        <v>86</v>
      </c>
      <c r="F2940" t="s">
        <v>58</v>
      </c>
      <c r="G2940" t="s">
        <v>59</v>
      </c>
      <c r="H2940" t="s">
        <v>60</v>
      </c>
      <c r="I2940" t="s">
        <v>129</v>
      </c>
      <c r="J2940">
        <v>4</v>
      </c>
      <c r="K2940" t="s">
        <v>320</v>
      </c>
      <c r="L2940" t="s">
        <v>74</v>
      </c>
      <c r="M2940" t="s">
        <v>63</v>
      </c>
      <c r="N2940" t="s">
        <v>64</v>
      </c>
      <c r="O2940">
        <v>6</v>
      </c>
      <c r="P2940" t="s">
        <v>201</v>
      </c>
      <c r="R2940">
        <v>2.8</v>
      </c>
      <c r="T2940">
        <v>2</v>
      </c>
      <c r="V2940">
        <v>4</v>
      </c>
      <c r="W2940" t="s">
        <v>66</v>
      </c>
      <c r="X2940" t="s">
        <v>67</v>
      </c>
      <c r="Y2940" t="s">
        <v>67</v>
      </c>
      <c r="Z2940" t="s">
        <v>68</v>
      </c>
      <c r="AB2940">
        <v>4</v>
      </c>
      <c r="AC2940" t="s">
        <v>61</v>
      </c>
      <c r="AJ2940" t="s">
        <v>69</v>
      </c>
      <c r="AY2940" t="s">
        <v>2191</v>
      </c>
      <c r="AZ2940">
        <v>82108</v>
      </c>
      <c r="BA2940" t="s">
        <v>2192</v>
      </c>
      <c r="BB2940" t="s">
        <v>2193</v>
      </c>
      <c r="BC2940">
        <v>1981</v>
      </c>
      <c r="BD2940" t="s">
        <v>324</v>
      </c>
    </row>
    <row r="2941" spans="1:56" x14ac:dyDescent="0.35">
      <c r="A2941">
        <v>7733020</v>
      </c>
      <c r="B2941" t="s">
        <v>2182</v>
      </c>
      <c r="D2941" t="s">
        <v>57</v>
      </c>
      <c r="E2941" t="s">
        <v>86</v>
      </c>
      <c r="F2941" t="s">
        <v>58</v>
      </c>
      <c r="G2941" t="s">
        <v>59</v>
      </c>
      <c r="H2941" t="s">
        <v>60</v>
      </c>
      <c r="J2941" t="s">
        <v>86</v>
      </c>
      <c r="L2941" t="s">
        <v>74</v>
      </c>
      <c r="M2941" t="s">
        <v>63</v>
      </c>
      <c r="N2941" t="s">
        <v>64</v>
      </c>
      <c r="P2941" t="s">
        <v>201</v>
      </c>
      <c r="R2941">
        <v>8.1999999999999993</v>
      </c>
      <c r="W2941" t="s">
        <v>66</v>
      </c>
      <c r="X2941" t="s">
        <v>67</v>
      </c>
      <c r="Y2941" t="s">
        <v>67</v>
      </c>
      <c r="Z2941" t="s">
        <v>68</v>
      </c>
      <c r="AB2941">
        <v>4</v>
      </c>
      <c r="AC2941" t="s">
        <v>61</v>
      </c>
      <c r="AJ2941" t="s">
        <v>69</v>
      </c>
      <c r="AY2941" t="s">
        <v>2185</v>
      </c>
      <c r="AZ2941">
        <v>2118</v>
      </c>
      <c r="BA2941" t="s">
        <v>2186</v>
      </c>
      <c r="BB2941" t="s">
        <v>2187</v>
      </c>
      <c r="BC2941">
        <v>1966</v>
      </c>
      <c r="BD2941" t="s">
        <v>90</v>
      </c>
    </row>
    <row r="2942" spans="1:56" x14ac:dyDescent="0.35">
      <c r="A2942">
        <v>7733020</v>
      </c>
      <c r="B2942" t="s">
        <v>2182</v>
      </c>
      <c r="D2942" t="s">
        <v>57</v>
      </c>
      <c r="E2942" t="s">
        <v>86</v>
      </c>
      <c r="F2942" t="s">
        <v>58</v>
      </c>
      <c r="G2942" t="s">
        <v>59</v>
      </c>
      <c r="H2942" t="s">
        <v>60</v>
      </c>
      <c r="J2942" t="s">
        <v>86</v>
      </c>
      <c r="L2942" t="s">
        <v>74</v>
      </c>
      <c r="M2942" t="s">
        <v>63</v>
      </c>
      <c r="N2942" t="s">
        <v>64</v>
      </c>
      <c r="P2942" t="s">
        <v>201</v>
      </c>
      <c r="R2942">
        <v>19</v>
      </c>
      <c r="W2942" t="s">
        <v>66</v>
      </c>
      <c r="X2942" t="s">
        <v>67</v>
      </c>
      <c r="Y2942" t="s">
        <v>67</v>
      </c>
      <c r="Z2942" t="s">
        <v>68</v>
      </c>
      <c r="AB2942">
        <v>4</v>
      </c>
      <c r="AC2942" t="s">
        <v>61</v>
      </c>
      <c r="AJ2942" t="s">
        <v>69</v>
      </c>
      <c r="AY2942" t="s">
        <v>2185</v>
      </c>
      <c r="AZ2942">
        <v>2118</v>
      </c>
      <c r="BA2942" t="s">
        <v>2186</v>
      </c>
      <c r="BB2942" t="s">
        <v>2187</v>
      </c>
      <c r="BC2942">
        <v>1966</v>
      </c>
      <c r="BD2942" t="s">
        <v>90</v>
      </c>
    </row>
    <row r="2943" spans="1:56" x14ac:dyDescent="0.35">
      <c r="A2943">
        <v>7733020</v>
      </c>
      <c r="B2943" t="s">
        <v>2182</v>
      </c>
      <c r="D2943" t="s">
        <v>57</v>
      </c>
      <c r="E2943" t="s">
        <v>86</v>
      </c>
      <c r="F2943" t="s">
        <v>58</v>
      </c>
      <c r="G2943" t="s">
        <v>59</v>
      </c>
      <c r="H2943" t="s">
        <v>60</v>
      </c>
      <c r="J2943" t="s">
        <v>86</v>
      </c>
      <c r="L2943" t="s">
        <v>74</v>
      </c>
      <c r="M2943" t="s">
        <v>63</v>
      </c>
      <c r="N2943" t="s">
        <v>64</v>
      </c>
      <c r="P2943" t="s">
        <v>201</v>
      </c>
      <c r="R2943">
        <v>15.5</v>
      </c>
      <c r="W2943" t="s">
        <v>66</v>
      </c>
      <c r="X2943" t="s">
        <v>67</v>
      </c>
      <c r="Y2943" t="s">
        <v>67</v>
      </c>
      <c r="Z2943" t="s">
        <v>68</v>
      </c>
      <c r="AB2943">
        <v>4</v>
      </c>
      <c r="AC2943" t="s">
        <v>61</v>
      </c>
      <c r="AJ2943" t="s">
        <v>69</v>
      </c>
      <c r="AY2943" t="s">
        <v>2185</v>
      </c>
      <c r="AZ2943">
        <v>2118</v>
      </c>
      <c r="BA2943" t="s">
        <v>2186</v>
      </c>
      <c r="BB2943" t="s">
        <v>2187</v>
      </c>
      <c r="BC2943">
        <v>1966</v>
      </c>
      <c r="BD2943" t="s">
        <v>90</v>
      </c>
    </row>
    <row r="2944" spans="1:56" x14ac:dyDescent="0.35">
      <c r="A2944">
        <v>7733020</v>
      </c>
      <c r="B2944" t="s">
        <v>2182</v>
      </c>
      <c r="D2944" t="s">
        <v>57</v>
      </c>
      <c r="E2944" t="s">
        <v>86</v>
      </c>
      <c r="F2944" t="s">
        <v>58</v>
      </c>
      <c r="G2944" t="s">
        <v>59</v>
      </c>
      <c r="H2944" t="s">
        <v>60</v>
      </c>
      <c r="J2944" t="s">
        <v>86</v>
      </c>
      <c r="L2944" t="s">
        <v>74</v>
      </c>
      <c r="M2944" t="s">
        <v>63</v>
      </c>
      <c r="N2944" t="s">
        <v>64</v>
      </c>
      <c r="P2944" t="s">
        <v>201</v>
      </c>
      <c r="R2944">
        <v>5.0999999999999996</v>
      </c>
      <c r="W2944" t="s">
        <v>66</v>
      </c>
      <c r="X2944" t="s">
        <v>67</v>
      </c>
      <c r="Y2944" t="s">
        <v>67</v>
      </c>
      <c r="Z2944" t="s">
        <v>68</v>
      </c>
      <c r="AB2944">
        <v>4</v>
      </c>
      <c r="AC2944" t="s">
        <v>61</v>
      </c>
      <c r="AJ2944" t="s">
        <v>69</v>
      </c>
      <c r="AY2944" t="s">
        <v>2185</v>
      </c>
      <c r="AZ2944">
        <v>2118</v>
      </c>
      <c r="BA2944" t="s">
        <v>2186</v>
      </c>
      <c r="BB2944" t="s">
        <v>2187</v>
      </c>
      <c r="BC2944">
        <v>1966</v>
      </c>
      <c r="BD2944" t="s">
        <v>90</v>
      </c>
    </row>
    <row r="2945" spans="1:56" x14ac:dyDescent="0.35">
      <c r="A2945">
        <v>7733020</v>
      </c>
      <c r="B2945" t="s">
        <v>2182</v>
      </c>
      <c r="D2945" t="s">
        <v>57</v>
      </c>
      <c r="E2945" t="s">
        <v>86</v>
      </c>
      <c r="F2945" t="s">
        <v>58</v>
      </c>
      <c r="G2945" t="s">
        <v>59</v>
      </c>
      <c r="H2945" t="s">
        <v>60</v>
      </c>
      <c r="I2945" t="s">
        <v>129</v>
      </c>
      <c r="J2945">
        <v>8</v>
      </c>
      <c r="K2945" t="s">
        <v>196</v>
      </c>
      <c r="L2945" t="s">
        <v>74</v>
      </c>
      <c r="M2945" t="s">
        <v>63</v>
      </c>
      <c r="N2945" t="s">
        <v>64</v>
      </c>
      <c r="P2945" t="s">
        <v>201</v>
      </c>
      <c r="R2945">
        <v>2.61</v>
      </c>
      <c r="T2945">
        <v>2.4900000000000002</v>
      </c>
      <c r="V2945">
        <v>2.75</v>
      </c>
      <c r="W2945" t="s">
        <v>66</v>
      </c>
      <c r="X2945" t="s">
        <v>67</v>
      </c>
      <c r="Y2945" t="s">
        <v>67</v>
      </c>
      <c r="Z2945" t="s">
        <v>68</v>
      </c>
      <c r="AB2945">
        <v>4</v>
      </c>
      <c r="AC2945" t="s">
        <v>61</v>
      </c>
      <c r="AJ2945" t="s">
        <v>69</v>
      </c>
      <c r="AY2945" t="s">
        <v>1303</v>
      </c>
      <c r="AZ2945">
        <v>2125</v>
      </c>
      <c r="BA2945" t="s">
        <v>1317</v>
      </c>
      <c r="BB2945" t="s">
        <v>1318</v>
      </c>
      <c r="BC2945">
        <v>1979</v>
      </c>
      <c r="BD2945" t="s">
        <v>200</v>
      </c>
    </row>
    <row r="2946" spans="1:56" x14ac:dyDescent="0.35">
      <c r="A2946">
        <v>7733020</v>
      </c>
      <c r="B2946" t="s">
        <v>2182</v>
      </c>
      <c r="C2946" t="s">
        <v>195</v>
      </c>
      <c r="D2946" t="s">
        <v>85</v>
      </c>
      <c r="E2946" t="s">
        <v>86</v>
      </c>
      <c r="F2946" t="s">
        <v>58</v>
      </c>
      <c r="G2946" t="s">
        <v>59</v>
      </c>
      <c r="H2946" t="s">
        <v>60</v>
      </c>
      <c r="I2946" t="s">
        <v>129</v>
      </c>
      <c r="J2946">
        <v>4</v>
      </c>
      <c r="K2946" t="s">
        <v>320</v>
      </c>
      <c r="L2946" t="s">
        <v>74</v>
      </c>
      <c r="M2946" t="s">
        <v>63</v>
      </c>
      <c r="N2946" t="s">
        <v>64</v>
      </c>
      <c r="O2946">
        <v>6</v>
      </c>
      <c r="P2946" t="s">
        <v>201</v>
      </c>
      <c r="R2946">
        <v>6.4</v>
      </c>
      <c r="T2946">
        <v>4.5999999999999996</v>
      </c>
      <c r="V2946">
        <v>8.9</v>
      </c>
      <c r="W2946" t="s">
        <v>66</v>
      </c>
      <c r="X2946" t="s">
        <v>67</v>
      </c>
      <c r="Y2946" t="s">
        <v>67</v>
      </c>
      <c r="Z2946" t="s">
        <v>68</v>
      </c>
      <c r="AB2946">
        <v>4</v>
      </c>
      <c r="AC2946" t="s">
        <v>61</v>
      </c>
      <c r="AJ2946" t="s">
        <v>69</v>
      </c>
      <c r="AY2946" t="s">
        <v>2191</v>
      </c>
      <c r="AZ2946">
        <v>82108</v>
      </c>
      <c r="BA2946" t="s">
        <v>2192</v>
      </c>
      <c r="BB2946" t="s">
        <v>2193</v>
      </c>
      <c r="BC2946">
        <v>1981</v>
      </c>
      <c r="BD2946" t="s">
        <v>324</v>
      </c>
    </row>
    <row r="2947" spans="1:56" x14ac:dyDescent="0.35">
      <c r="A2947">
        <v>7733020</v>
      </c>
      <c r="B2947" t="s">
        <v>2182</v>
      </c>
      <c r="C2947" t="s">
        <v>195</v>
      </c>
      <c r="D2947" t="s">
        <v>57</v>
      </c>
      <c r="E2947" t="s">
        <v>86</v>
      </c>
      <c r="F2947" t="s">
        <v>58</v>
      </c>
      <c r="G2947" t="s">
        <v>59</v>
      </c>
      <c r="H2947" t="s">
        <v>60</v>
      </c>
      <c r="I2947" t="s">
        <v>129</v>
      </c>
      <c r="J2947">
        <v>4</v>
      </c>
      <c r="K2947" t="s">
        <v>320</v>
      </c>
      <c r="L2947" t="s">
        <v>74</v>
      </c>
      <c r="M2947" t="s">
        <v>63</v>
      </c>
      <c r="N2947" t="s">
        <v>64</v>
      </c>
      <c r="O2947">
        <v>6</v>
      </c>
      <c r="P2947" t="s">
        <v>201</v>
      </c>
      <c r="R2947">
        <v>3.5</v>
      </c>
      <c r="T2947">
        <v>2.2599999999999998</v>
      </c>
      <c r="V2947">
        <v>5.0199999999999996</v>
      </c>
      <c r="W2947" t="s">
        <v>66</v>
      </c>
      <c r="X2947" t="s">
        <v>67</v>
      </c>
      <c r="Y2947" t="s">
        <v>67</v>
      </c>
      <c r="Z2947" t="s">
        <v>68</v>
      </c>
      <c r="AB2947">
        <v>4</v>
      </c>
      <c r="AC2947" t="s">
        <v>61</v>
      </c>
      <c r="AJ2947" t="s">
        <v>69</v>
      </c>
      <c r="AY2947" t="s">
        <v>2191</v>
      </c>
      <c r="AZ2947">
        <v>82108</v>
      </c>
      <c r="BA2947" t="s">
        <v>2192</v>
      </c>
      <c r="BB2947" t="s">
        <v>2193</v>
      </c>
      <c r="BC2947">
        <v>1981</v>
      </c>
      <c r="BD2947" t="s">
        <v>324</v>
      </c>
    </row>
    <row r="2948" spans="1:56" x14ac:dyDescent="0.35">
      <c r="A2948">
        <v>7733020</v>
      </c>
      <c r="B2948" t="s">
        <v>2182</v>
      </c>
      <c r="D2948" t="s">
        <v>85</v>
      </c>
      <c r="E2948" t="s">
        <v>86</v>
      </c>
      <c r="F2948" t="s">
        <v>58</v>
      </c>
      <c r="G2948" t="s">
        <v>59</v>
      </c>
      <c r="H2948" t="s">
        <v>60</v>
      </c>
      <c r="J2948" t="s">
        <v>86</v>
      </c>
      <c r="L2948" t="s">
        <v>62</v>
      </c>
      <c r="M2948" t="s">
        <v>63</v>
      </c>
      <c r="N2948" t="s">
        <v>64</v>
      </c>
      <c r="P2948" t="s">
        <v>201</v>
      </c>
      <c r="R2948">
        <v>33.4</v>
      </c>
      <c r="T2948">
        <v>23.2</v>
      </c>
      <c r="V2948">
        <v>545</v>
      </c>
      <c r="W2948" t="s">
        <v>66</v>
      </c>
      <c r="X2948" t="s">
        <v>67</v>
      </c>
      <c r="Y2948" t="s">
        <v>67</v>
      </c>
      <c r="Z2948" t="s">
        <v>68</v>
      </c>
      <c r="AB2948">
        <v>4</v>
      </c>
      <c r="AC2948" t="s">
        <v>61</v>
      </c>
      <c r="AJ2948" t="s">
        <v>69</v>
      </c>
      <c r="AY2948" t="s">
        <v>168</v>
      </c>
      <c r="AZ2948">
        <v>2033</v>
      </c>
      <c r="BA2948" t="s">
        <v>1385</v>
      </c>
      <c r="BB2948" t="s">
        <v>1386</v>
      </c>
      <c r="BC2948">
        <v>1966</v>
      </c>
      <c r="BD2948" t="s">
        <v>90</v>
      </c>
    </row>
    <row r="2949" spans="1:56" x14ac:dyDescent="0.35">
      <c r="A2949">
        <v>7733020</v>
      </c>
      <c r="B2949" t="s">
        <v>2182</v>
      </c>
      <c r="C2949" t="s">
        <v>195</v>
      </c>
      <c r="D2949" t="s">
        <v>57</v>
      </c>
      <c r="E2949" t="s">
        <v>86</v>
      </c>
      <c r="F2949" t="s">
        <v>58</v>
      </c>
      <c r="G2949" t="s">
        <v>59</v>
      </c>
      <c r="H2949" t="s">
        <v>60</v>
      </c>
      <c r="I2949" t="s">
        <v>129</v>
      </c>
      <c r="J2949">
        <v>4</v>
      </c>
      <c r="K2949" t="s">
        <v>320</v>
      </c>
      <c r="L2949" t="s">
        <v>74</v>
      </c>
      <c r="M2949" t="s">
        <v>63</v>
      </c>
      <c r="N2949" t="s">
        <v>64</v>
      </c>
      <c r="O2949">
        <v>6</v>
      </c>
      <c r="P2949" t="s">
        <v>201</v>
      </c>
      <c r="R2949">
        <v>2.3199999999999998</v>
      </c>
      <c r="T2949">
        <v>1.71</v>
      </c>
      <c r="V2949">
        <v>3.24</v>
      </c>
      <c r="W2949" t="s">
        <v>66</v>
      </c>
      <c r="X2949" t="s">
        <v>67</v>
      </c>
      <c r="Y2949" t="s">
        <v>67</v>
      </c>
      <c r="Z2949" t="s">
        <v>68</v>
      </c>
      <c r="AB2949">
        <v>4</v>
      </c>
      <c r="AC2949" t="s">
        <v>61</v>
      </c>
      <c r="AJ2949" t="s">
        <v>69</v>
      </c>
      <c r="AY2949" t="s">
        <v>2191</v>
      </c>
      <c r="AZ2949">
        <v>82108</v>
      </c>
      <c r="BA2949" t="s">
        <v>2192</v>
      </c>
      <c r="BB2949" t="s">
        <v>2193</v>
      </c>
      <c r="BC2949">
        <v>1981</v>
      </c>
      <c r="BD2949" t="s">
        <v>324</v>
      </c>
    </row>
    <row r="2950" spans="1:56" x14ac:dyDescent="0.35">
      <c r="A2950">
        <v>7733020</v>
      </c>
      <c r="B2950" t="s">
        <v>2182</v>
      </c>
      <c r="D2950" t="s">
        <v>57</v>
      </c>
      <c r="E2950" t="s">
        <v>86</v>
      </c>
      <c r="F2950" t="s">
        <v>58</v>
      </c>
      <c r="G2950" t="s">
        <v>59</v>
      </c>
      <c r="H2950" t="s">
        <v>60</v>
      </c>
      <c r="J2950" t="s">
        <v>86</v>
      </c>
      <c r="L2950" t="s">
        <v>74</v>
      </c>
      <c r="M2950" t="s">
        <v>63</v>
      </c>
      <c r="N2950" t="s">
        <v>64</v>
      </c>
      <c r="P2950" t="s">
        <v>201</v>
      </c>
      <c r="R2950">
        <v>8.1</v>
      </c>
      <c r="W2950" t="s">
        <v>66</v>
      </c>
      <c r="X2950" t="s">
        <v>67</v>
      </c>
      <c r="Y2950" t="s">
        <v>67</v>
      </c>
      <c r="Z2950" t="s">
        <v>68</v>
      </c>
      <c r="AB2950">
        <v>4</v>
      </c>
      <c r="AC2950" t="s">
        <v>61</v>
      </c>
      <c r="AJ2950" t="s">
        <v>69</v>
      </c>
      <c r="AY2950" t="s">
        <v>2185</v>
      </c>
      <c r="AZ2950">
        <v>2118</v>
      </c>
      <c r="BA2950" t="s">
        <v>2186</v>
      </c>
      <c r="BB2950" t="s">
        <v>2187</v>
      </c>
      <c r="BC2950">
        <v>1966</v>
      </c>
      <c r="BD2950" t="s">
        <v>90</v>
      </c>
    </row>
    <row r="2951" spans="1:56" x14ac:dyDescent="0.35">
      <c r="A2951">
        <v>7733020</v>
      </c>
      <c r="B2951" t="s">
        <v>2182</v>
      </c>
      <c r="D2951" t="s">
        <v>57</v>
      </c>
      <c r="E2951" t="s">
        <v>86</v>
      </c>
      <c r="F2951" t="s">
        <v>58</v>
      </c>
      <c r="G2951" t="s">
        <v>59</v>
      </c>
      <c r="H2951" t="s">
        <v>60</v>
      </c>
      <c r="J2951" t="s">
        <v>86</v>
      </c>
      <c r="L2951" t="s">
        <v>74</v>
      </c>
      <c r="M2951" t="s">
        <v>63</v>
      </c>
      <c r="N2951" t="s">
        <v>64</v>
      </c>
      <c r="P2951" t="s">
        <v>201</v>
      </c>
      <c r="R2951">
        <v>0.66</v>
      </c>
      <c r="T2951">
        <v>0.48</v>
      </c>
      <c r="V2951">
        <v>0.91</v>
      </c>
      <c r="W2951" t="s">
        <v>66</v>
      </c>
      <c r="X2951" t="s">
        <v>67</v>
      </c>
      <c r="Y2951" t="s">
        <v>67</v>
      </c>
      <c r="Z2951" t="s">
        <v>68</v>
      </c>
      <c r="AB2951">
        <v>4</v>
      </c>
      <c r="AC2951" t="s">
        <v>61</v>
      </c>
      <c r="AJ2951" t="s">
        <v>69</v>
      </c>
      <c r="AY2951" t="s">
        <v>2203</v>
      </c>
      <c r="AZ2951">
        <v>7341</v>
      </c>
      <c r="BA2951" t="s">
        <v>2204</v>
      </c>
      <c r="BB2951" t="s">
        <v>2205</v>
      </c>
      <c r="BC2951">
        <v>1978</v>
      </c>
      <c r="BD2951" t="s">
        <v>90</v>
      </c>
    </row>
    <row r="2952" spans="1:56" x14ac:dyDescent="0.35">
      <c r="A2952">
        <v>7733020</v>
      </c>
      <c r="B2952" t="s">
        <v>2182</v>
      </c>
      <c r="C2952" t="s">
        <v>195</v>
      </c>
      <c r="D2952" t="s">
        <v>57</v>
      </c>
      <c r="E2952" t="s">
        <v>86</v>
      </c>
      <c r="F2952" t="s">
        <v>58</v>
      </c>
      <c r="G2952" t="s">
        <v>59</v>
      </c>
      <c r="H2952" t="s">
        <v>60</v>
      </c>
      <c r="J2952">
        <v>30</v>
      </c>
      <c r="K2952" t="s">
        <v>61</v>
      </c>
      <c r="L2952" t="s">
        <v>190</v>
      </c>
      <c r="M2952" t="s">
        <v>63</v>
      </c>
      <c r="N2952" t="s">
        <v>64</v>
      </c>
      <c r="P2952" t="s">
        <v>1296</v>
      </c>
      <c r="R2952">
        <v>2.98</v>
      </c>
      <c r="T2952">
        <v>2.44</v>
      </c>
      <c r="V2952">
        <v>3.91</v>
      </c>
      <c r="W2952" t="s">
        <v>66</v>
      </c>
      <c r="X2952" t="s">
        <v>67</v>
      </c>
      <c r="Y2952" t="s">
        <v>67</v>
      </c>
      <c r="Z2952" t="s">
        <v>68</v>
      </c>
      <c r="AB2952">
        <v>4</v>
      </c>
      <c r="AC2952" t="s">
        <v>61</v>
      </c>
      <c r="AJ2952" t="s">
        <v>69</v>
      </c>
      <c r="AY2952" t="s">
        <v>2206</v>
      </c>
      <c r="AZ2952">
        <v>9598</v>
      </c>
      <c r="BA2952" t="s">
        <v>2207</v>
      </c>
      <c r="BB2952" t="s">
        <v>2208</v>
      </c>
      <c r="BC2952">
        <v>1990</v>
      </c>
      <c r="BD2952" t="s">
        <v>73</v>
      </c>
    </row>
    <row r="2953" spans="1:56" x14ac:dyDescent="0.35">
      <c r="A2953">
        <v>7733020</v>
      </c>
      <c r="B2953" t="s">
        <v>2182</v>
      </c>
      <c r="D2953" t="s">
        <v>57</v>
      </c>
      <c r="E2953" t="s">
        <v>86</v>
      </c>
      <c r="F2953" t="s">
        <v>58</v>
      </c>
      <c r="G2953" t="s">
        <v>59</v>
      </c>
      <c r="H2953" t="s">
        <v>60</v>
      </c>
      <c r="I2953" t="s">
        <v>177</v>
      </c>
      <c r="J2953" t="s">
        <v>505</v>
      </c>
      <c r="K2953" t="s">
        <v>61</v>
      </c>
      <c r="L2953" t="s">
        <v>74</v>
      </c>
      <c r="M2953" t="s">
        <v>63</v>
      </c>
      <c r="N2953" t="s">
        <v>64</v>
      </c>
      <c r="P2953" t="s">
        <v>201</v>
      </c>
      <c r="R2953">
        <v>0.87</v>
      </c>
      <c r="T2953">
        <v>0.79</v>
      </c>
      <c r="V2953">
        <v>1.01</v>
      </c>
      <c r="W2953" t="s">
        <v>66</v>
      </c>
      <c r="X2953" t="s">
        <v>67</v>
      </c>
      <c r="Y2953" t="s">
        <v>67</v>
      </c>
      <c r="Z2953" t="s">
        <v>68</v>
      </c>
      <c r="AB2953">
        <v>4</v>
      </c>
      <c r="AC2953" t="s">
        <v>61</v>
      </c>
      <c r="AJ2953" t="s">
        <v>69</v>
      </c>
      <c r="AY2953" t="s">
        <v>2188</v>
      </c>
      <c r="AZ2953">
        <v>2109</v>
      </c>
      <c r="BA2953" t="s">
        <v>2189</v>
      </c>
      <c r="BB2953" t="s">
        <v>2190</v>
      </c>
      <c r="BC2953">
        <v>1965</v>
      </c>
      <c r="BD2953" t="s">
        <v>73</v>
      </c>
    </row>
    <row r="2954" spans="1:56" x14ac:dyDescent="0.35">
      <c r="A2954">
        <v>7733020</v>
      </c>
      <c r="B2954" t="s">
        <v>2182</v>
      </c>
      <c r="D2954" t="s">
        <v>57</v>
      </c>
      <c r="E2954" t="s">
        <v>86</v>
      </c>
      <c r="F2954" t="s">
        <v>58</v>
      </c>
      <c r="G2954" t="s">
        <v>59</v>
      </c>
      <c r="H2954" t="s">
        <v>60</v>
      </c>
      <c r="J2954" t="s">
        <v>86</v>
      </c>
      <c r="L2954" t="s">
        <v>74</v>
      </c>
      <c r="M2954" t="s">
        <v>63</v>
      </c>
      <c r="N2954" t="s">
        <v>64</v>
      </c>
      <c r="P2954" t="s">
        <v>201</v>
      </c>
      <c r="R2954">
        <v>6.2</v>
      </c>
      <c r="W2954" t="s">
        <v>66</v>
      </c>
      <c r="X2954" t="s">
        <v>67</v>
      </c>
      <c r="Y2954" t="s">
        <v>67</v>
      </c>
      <c r="Z2954" t="s">
        <v>68</v>
      </c>
      <c r="AB2954">
        <v>4</v>
      </c>
      <c r="AC2954" t="s">
        <v>61</v>
      </c>
      <c r="AJ2954" t="s">
        <v>69</v>
      </c>
      <c r="AY2954" t="s">
        <v>2185</v>
      </c>
      <c r="AZ2954">
        <v>2118</v>
      </c>
      <c r="BA2954" t="s">
        <v>2186</v>
      </c>
      <c r="BB2954" t="s">
        <v>2187</v>
      </c>
      <c r="BC2954">
        <v>1966</v>
      </c>
      <c r="BD2954" t="s">
        <v>90</v>
      </c>
    </row>
    <row r="2955" spans="1:56" x14ac:dyDescent="0.35">
      <c r="A2955">
        <v>7733020</v>
      </c>
      <c r="B2955" t="s">
        <v>2182</v>
      </c>
      <c r="D2955" t="s">
        <v>85</v>
      </c>
      <c r="E2955" t="s">
        <v>86</v>
      </c>
      <c r="F2955" t="s">
        <v>58</v>
      </c>
      <c r="G2955" t="s">
        <v>59</v>
      </c>
      <c r="H2955" t="s">
        <v>60</v>
      </c>
      <c r="J2955" t="s">
        <v>86</v>
      </c>
      <c r="L2955" t="s">
        <v>62</v>
      </c>
      <c r="M2955" t="s">
        <v>63</v>
      </c>
      <c r="N2955" t="s">
        <v>64</v>
      </c>
      <c r="P2955" t="s">
        <v>201</v>
      </c>
      <c r="R2955">
        <v>2.33</v>
      </c>
      <c r="T2955">
        <v>1.82</v>
      </c>
      <c r="V2955">
        <v>3.04</v>
      </c>
      <c r="W2955" t="s">
        <v>66</v>
      </c>
      <c r="X2955" t="s">
        <v>67</v>
      </c>
      <c r="Y2955" t="s">
        <v>67</v>
      </c>
      <c r="Z2955" t="s">
        <v>68</v>
      </c>
      <c r="AB2955">
        <v>4</v>
      </c>
      <c r="AC2955" t="s">
        <v>61</v>
      </c>
      <c r="AJ2955" t="s">
        <v>69</v>
      </c>
      <c r="AY2955" t="s">
        <v>168</v>
      </c>
      <c r="AZ2955">
        <v>2033</v>
      </c>
      <c r="BA2955" t="s">
        <v>1385</v>
      </c>
      <c r="BB2955" t="s">
        <v>1386</v>
      </c>
      <c r="BC2955">
        <v>1966</v>
      </c>
      <c r="BD2955" t="s">
        <v>90</v>
      </c>
    </row>
    <row r="2956" spans="1:56" x14ac:dyDescent="0.35">
      <c r="A2956">
        <v>7733020</v>
      </c>
      <c r="B2956" t="s">
        <v>2182</v>
      </c>
      <c r="D2956" t="s">
        <v>57</v>
      </c>
      <c r="E2956" t="s">
        <v>86</v>
      </c>
      <c r="F2956" t="s">
        <v>58</v>
      </c>
      <c r="G2956" t="s">
        <v>59</v>
      </c>
      <c r="H2956" t="s">
        <v>60</v>
      </c>
      <c r="I2956" t="s">
        <v>2174</v>
      </c>
      <c r="J2956" t="s">
        <v>86</v>
      </c>
      <c r="L2956" t="s">
        <v>74</v>
      </c>
      <c r="M2956" t="s">
        <v>63</v>
      </c>
      <c r="N2956" t="s">
        <v>64</v>
      </c>
      <c r="P2956" t="s">
        <v>201</v>
      </c>
      <c r="R2956">
        <v>8.4</v>
      </c>
      <c r="W2956" t="s">
        <v>66</v>
      </c>
      <c r="X2956" t="s">
        <v>67</v>
      </c>
      <c r="Y2956" t="s">
        <v>67</v>
      </c>
      <c r="Z2956" t="s">
        <v>68</v>
      </c>
      <c r="AB2956">
        <v>4</v>
      </c>
      <c r="AC2956" t="s">
        <v>61</v>
      </c>
      <c r="AJ2956" t="s">
        <v>69</v>
      </c>
      <c r="AY2956" t="s">
        <v>373</v>
      </c>
      <c r="AZ2956">
        <v>5077</v>
      </c>
      <c r="BA2956" t="s">
        <v>2183</v>
      </c>
      <c r="BB2956" t="s">
        <v>2184</v>
      </c>
      <c r="BC2956">
        <v>1969</v>
      </c>
      <c r="BD2956" t="s">
        <v>90</v>
      </c>
    </row>
    <row r="2957" spans="1:56" x14ac:dyDescent="0.35">
      <c r="A2957">
        <v>7733020</v>
      </c>
      <c r="B2957" t="s">
        <v>2182</v>
      </c>
      <c r="C2957" t="s">
        <v>195</v>
      </c>
      <c r="D2957" t="s">
        <v>85</v>
      </c>
      <c r="E2957" t="s">
        <v>86</v>
      </c>
      <c r="F2957" t="s">
        <v>58</v>
      </c>
      <c r="G2957" t="s">
        <v>59</v>
      </c>
      <c r="H2957" t="s">
        <v>60</v>
      </c>
      <c r="I2957" t="s">
        <v>129</v>
      </c>
      <c r="J2957" t="s">
        <v>86</v>
      </c>
      <c r="L2957" t="s">
        <v>62</v>
      </c>
      <c r="M2957" t="s">
        <v>63</v>
      </c>
      <c r="N2957" t="s">
        <v>64</v>
      </c>
      <c r="O2957">
        <v>5</v>
      </c>
      <c r="P2957" t="s">
        <v>201</v>
      </c>
      <c r="R2957">
        <v>13</v>
      </c>
      <c r="W2957" t="s">
        <v>66</v>
      </c>
      <c r="X2957" t="s">
        <v>67</v>
      </c>
      <c r="Y2957" t="s">
        <v>67</v>
      </c>
      <c r="Z2957" t="s">
        <v>68</v>
      </c>
      <c r="AB2957">
        <v>4</v>
      </c>
      <c r="AC2957" t="s">
        <v>61</v>
      </c>
      <c r="AJ2957" t="s">
        <v>69</v>
      </c>
      <c r="AY2957" t="s">
        <v>298</v>
      </c>
      <c r="AZ2957">
        <v>11951</v>
      </c>
      <c r="BA2957" t="s">
        <v>299</v>
      </c>
      <c r="BB2957" t="s">
        <v>300</v>
      </c>
      <c r="BC2957">
        <v>1986</v>
      </c>
      <c r="BD2957" t="s">
        <v>90</v>
      </c>
    </row>
    <row r="2958" spans="1:56" x14ac:dyDescent="0.35">
      <c r="A2958">
        <v>7733020</v>
      </c>
      <c r="B2958" t="s">
        <v>2182</v>
      </c>
      <c r="C2958" t="s">
        <v>195</v>
      </c>
      <c r="D2958" t="s">
        <v>57</v>
      </c>
      <c r="E2958" t="s">
        <v>86</v>
      </c>
      <c r="F2958" t="s">
        <v>58</v>
      </c>
      <c r="G2958" t="s">
        <v>59</v>
      </c>
      <c r="H2958" t="s">
        <v>60</v>
      </c>
      <c r="I2958" t="s">
        <v>129</v>
      </c>
      <c r="J2958">
        <v>4</v>
      </c>
      <c r="K2958" t="s">
        <v>320</v>
      </c>
      <c r="L2958" t="s">
        <v>74</v>
      </c>
      <c r="M2958" t="s">
        <v>63</v>
      </c>
      <c r="N2958" t="s">
        <v>64</v>
      </c>
      <c r="O2958">
        <v>6</v>
      </c>
      <c r="P2958" t="s">
        <v>201</v>
      </c>
      <c r="R2958">
        <v>5.27</v>
      </c>
      <c r="T2958">
        <v>4.1399999999999997</v>
      </c>
      <c r="V2958">
        <v>7.21</v>
      </c>
      <c r="W2958" t="s">
        <v>66</v>
      </c>
      <c r="X2958" t="s">
        <v>67</v>
      </c>
      <c r="Y2958" t="s">
        <v>67</v>
      </c>
      <c r="Z2958" t="s">
        <v>68</v>
      </c>
      <c r="AB2958">
        <v>4</v>
      </c>
      <c r="AC2958" t="s">
        <v>61</v>
      </c>
      <c r="AJ2958" t="s">
        <v>69</v>
      </c>
      <c r="AY2958" t="s">
        <v>2191</v>
      </c>
      <c r="AZ2958">
        <v>82108</v>
      </c>
      <c r="BA2958" t="s">
        <v>2192</v>
      </c>
      <c r="BB2958" t="s">
        <v>2193</v>
      </c>
      <c r="BC2958">
        <v>1981</v>
      </c>
      <c r="BD2958" t="s">
        <v>324</v>
      </c>
    </row>
    <row r="2959" spans="1:56" x14ac:dyDescent="0.35">
      <c r="A2959">
        <v>7733020</v>
      </c>
      <c r="B2959" t="s">
        <v>2182</v>
      </c>
      <c r="D2959" t="s">
        <v>57</v>
      </c>
      <c r="E2959" t="s">
        <v>86</v>
      </c>
      <c r="F2959" t="s">
        <v>58</v>
      </c>
      <c r="G2959" t="s">
        <v>59</v>
      </c>
      <c r="H2959" t="s">
        <v>60</v>
      </c>
      <c r="I2959" t="s">
        <v>1469</v>
      </c>
      <c r="J2959" t="s">
        <v>289</v>
      </c>
      <c r="K2959" t="s">
        <v>184</v>
      </c>
      <c r="L2959" t="s">
        <v>62</v>
      </c>
      <c r="M2959" t="s">
        <v>63</v>
      </c>
      <c r="N2959" t="s">
        <v>64</v>
      </c>
      <c r="P2959" t="s">
        <v>201</v>
      </c>
      <c r="R2959">
        <v>1.83</v>
      </c>
      <c r="W2959" t="s">
        <v>66</v>
      </c>
      <c r="X2959" t="s">
        <v>67</v>
      </c>
      <c r="Y2959" t="s">
        <v>67</v>
      </c>
      <c r="Z2959" t="s">
        <v>68</v>
      </c>
      <c r="AB2959">
        <v>4</v>
      </c>
      <c r="AC2959" t="s">
        <v>61</v>
      </c>
      <c r="AJ2959" t="s">
        <v>69</v>
      </c>
      <c r="AY2959" t="s">
        <v>1474</v>
      </c>
      <c r="AZ2959">
        <v>9180</v>
      </c>
      <c r="BA2959" t="s">
        <v>1475</v>
      </c>
      <c r="BB2959" t="s">
        <v>1476</v>
      </c>
      <c r="BC2959">
        <v>1992</v>
      </c>
      <c r="BD2959" t="s">
        <v>185</v>
      </c>
    </row>
    <row r="2960" spans="1:56" x14ac:dyDescent="0.35">
      <c r="A2960">
        <v>7733020</v>
      </c>
      <c r="B2960" t="s">
        <v>2182</v>
      </c>
      <c r="D2960" t="s">
        <v>85</v>
      </c>
      <c r="E2960" t="s">
        <v>86</v>
      </c>
      <c r="F2960" t="s">
        <v>58</v>
      </c>
      <c r="G2960" t="s">
        <v>59</v>
      </c>
      <c r="H2960" t="s">
        <v>60</v>
      </c>
      <c r="J2960" t="s">
        <v>86</v>
      </c>
      <c r="L2960" t="s">
        <v>62</v>
      </c>
      <c r="M2960" t="s">
        <v>63</v>
      </c>
      <c r="N2960" t="s">
        <v>64</v>
      </c>
      <c r="P2960" t="s">
        <v>201</v>
      </c>
      <c r="R2960">
        <v>3.1</v>
      </c>
      <c r="T2960">
        <v>2.2000000000000002</v>
      </c>
      <c r="V2960">
        <v>4.3</v>
      </c>
      <c r="W2960" t="s">
        <v>66</v>
      </c>
      <c r="X2960" t="s">
        <v>67</v>
      </c>
      <c r="Y2960" t="s">
        <v>67</v>
      </c>
      <c r="Z2960" t="s">
        <v>68</v>
      </c>
      <c r="AB2960">
        <v>4</v>
      </c>
      <c r="AC2960" t="s">
        <v>61</v>
      </c>
      <c r="AJ2960" t="s">
        <v>69</v>
      </c>
      <c r="AY2960" t="s">
        <v>2209</v>
      </c>
      <c r="AZ2960">
        <v>2114</v>
      </c>
      <c r="BA2960" t="s">
        <v>2210</v>
      </c>
      <c r="BB2960" t="s">
        <v>2211</v>
      </c>
      <c r="BC2960">
        <v>1979</v>
      </c>
      <c r="BD2960" t="s">
        <v>90</v>
      </c>
    </row>
    <row r="2961" spans="1:56" x14ac:dyDescent="0.35">
      <c r="A2961">
        <v>7733020</v>
      </c>
      <c r="B2961" t="s">
        <v>2182</v>
      </c>
      <c r="D2961" t="s">
        <v>57</v>
      </c>
      <c r="E2961" t="s">
        <v>86</v>
      </c>
      <c r="F2961" t="s">
        <v>58</v>
      </c>
      <c r="G2961" t="s">
        <v>59</v>
      </c>
      <c r="H2961" t="s">
        <v>60</v>
      </c>
      <c r="J2961" t="s">
        <v>86</v>
      </c>
      <c r="L2961" t="s">
        <v>74</v>
      </c>
      <c r="M2961" t="s">
        <v>63</v>
      </c>
      <c r="N2961" t="s">
        <v>64</v>
      </c>
      <c r="P2961" t="s">
        <v>201</v>
      </c>
      <c r="R2961">
        <v>12.5</v>
      </c>
      <c r="W2961" t="s">
        <v>66</v>
      </c>
      <c r="X2961" t="s">
        <v>67</v>
      </c>
      <c r="Y2961" t="s">
        <v>67</v>
      </c>
      <c r="Z2961" t="s">
        <v>68</v>
      </c>
      <c r="AB2961">
        <v>4</v>
      </c>
      <c r="AC2961" t="s">
        <v>61</v>
      </c>
      <c r="AJ2961" t="s">
        <v>69</v>
      </c>
      <c r="AY2961" t="s">
        <v>2185</v>
      </c>
      <c r="AZ2961">
        <v>2118</v>
      </c>
      <c r="BA2961" t="s">
        <v>2186</v>
      </c>
      <c r="BB2961" t="s">
        <v>2187</v>
      </c>
      <c r="BC2961">
        <v>1966</v>
      </c>
      <c r="BD2961" t="s">
        <v>90</v>
      </c>
    </row>
    <row r="2962" spans="1:56" x14ac:dyDescent="0.35">
      <c r="A2962">
        <v>7733020</v>
      </c>
      <c r="B2962" t="s">
        <v>2182</v>
      </c>
      <c r="D2962" t="s">
        <v>57</v>
      </c>
      <c r="E2962" t="s">
        <v>86</v>
      </c>
      <c r="F2962" t="s">
        <v>58</v>
      </c>
      <c r="G2962" t="s">
        <v>59</v>
      </c>
      <c r="H2962" t="s">
        <v>60</v>
      </c>
      <c r="I2962" t="s">
        <v>2174</v>
      </c>
      <c r="J2962" t="s">
        <v>86</v>
      </c>
      <c r="L2962" t="s">
        <v>74</v>
      </c>
      <c r="M2962" t="s">
        <v>63</v>
      </c>
      <c r="N2962" t="s">
        <v>64</v>
      </c>
      <c r="P2962" t="s">
        <v>201</v>
      </c>
      <c r="R2962">
        <v>10</v>
      </c>
      <c r="W2962" t="s">
        <v>66</v>
      </c>
      <c r="X2962" t="s">
        <v>67</v>
      </c>
      <c r="Y2962" t="s">
        <v>67</v>
      </c>
      <c r="Z2962" t="s">
        <v>68</v>
      </c>
      <c r="AB2962">
        <v>4</v>
      </c>
      <c r="AC2962" t="s">
        <v>61</v>
      </c>
      <c r="AJ2962" t="s">
        <v>69</v>
      </c>
      <c r="AY2962" t="s">
        <v>373</v>
      </c>
      <c r="AZ2962">
        <v>5077</v>
      </c>
      <c r="BA2962" t="s">
        <v>2183</v>
      </c>
      <c r="BB2962" t="s">
        <v>2184</v>
      </c>
      <c r="BC2962">
        <v>1969</v>
      </c>
      <c r="BD2962" t="s">
        <v>90</v>
      </c>
    </row>
    <row r="2963" spans="1:56" x14ac:dyDescent="0.35">
      <c r="A2963">
        <v>7733020</v>
      </c>
      <c r="B2963" t="s">
        <v>2182</v>
      </c>
      <c r="C2963" t="s">
        <v>195</v>
      </c>
      <c r="D2963" t="s">
        <v>57</v>
      </c>
      <c r="E2963" t="s">
        <v>86</v>
      </c>
      <c r="F2963" t="s">
        <v>58</v>
      </c>
      <c r="G2963" t="s">
        <v>59</v>
      </c>
      <c r="H2963" t="s">
        <v>60</v>
      </c>
      <c r="I2963" t="s">
        <v>188</v>
      </c>
      <c r="J2963" t="s">
        <v>86</v>
      </c>
      <c r="L2963" t="s">
        <v>190</v>
      </c>
      <c r="M2963" t="s">
        <v>63</v>
      </c>
      <c r="N2963" t="s">
        <v>64</v>
      </c>
      <c r="P2963" t="s">
        <v>201</v>
      </c>
      <c r="R2963">
        <v>0.247</v>
      </c>
      <c r="T2963">
        <v>0.21</v>
      </c>
      <c r="V2963">
        <v>0.29199999999999998</v>
      </c>
      <c r="W2963" t="s">
        <v>66</v>
      </c>
      <c r="X2963" t="s">
        <v>67</v>
      </c>
      <c r="Y2963" t="s">
        <v>67</v>
      </c>
      <c r="Z2963" t="s">
        <v>68</v>
      </c>
      <c r="AB2963">
        <v>4</v>
      </c>
      <c r="AC2963" t="s">
        <v>61</v>
      </c>
      <c r="AJ2963" t="s">
        <v>69</v>
      </c>
      <c r="AY2963" t="s">
        <v>331</v>
      </c>
      <c r="AZ2963">
        <v>5313</v>
      </c>
      <c r="BA2963" t="s">
        <v>332</v>
      </c>
      <c r="BB2963" t="s">
        <v>333</v>
      </c>
      <c r="BC2963">
        <v>1989</v>
      </c>
      <c r="BD2963" t="s">
        <v>90</v>
      </c>
    </row>
    <row r="2964" spans="1:56" x14ac:dyDescent="0.35">
      <c r="A2964">
        <v>7733020</v>
      </c>
      <c r="B2964" t="s">
        <v>2182</v>
      </c>
      <c r="C2964" t="s">
        <v>195</v>
      </c>
      <c r="D2964" t="s">
        <v>85</v>
      </c>
      <c r="E2964" t="s">
        <v>86</v>
      </c>
      <c r="F2964" t="s">
        <v>58</v>
      </c>
      <c r="G2964" t="s">
        <v>59</v>
      </c>
      <c r="H2964" t="s">
        <v>60</v>
      </c>
      <c r="I2964" t="s">
        <v>129</v>
      </c>
      <c r="J2964">
        <v>4</v>
      </c>
      <c r="K2964" t="s">
        <v>320</v>
      </c>
      <c r="L2964" t="s">
        <v>74</v>
      </c>
      <c r="M2964" t="s">
        <v>63</v>
      </c>
      <c r="N2964" t="s">
        <v>64</v>
      </c>
      <c r="O2964">
        <v>6</v>
      </c>
      <c r="P2964" t="s">
        <v>201</v>
      </c>
      <c r="R2964">
        <v>4.2</v>
      </c>
      <c r="T2964">
        <v>3</v>
      </c>
      <c r="V2964">
        <v>6</v>
      </c>
      <c r="W2964" t="s">
        <v>66</v>
      </c>
      <c r="X2964" t="s">
        <v>67</v>
      </c>
      <c r="Y2964" t="s">
        <v>67</v>
      </c>
      <c r="Z2964" t="s">
        <v>68</v>
      </c>
      <c r="AB2964">
        <v>4</v>
      </c>
      <c r="AC2964" t="s">
        <v>61</v>
      </c>
      <c r="AJ2964" t="s">
        <v>69</v>
      </c>
      <c r="AY2964" t="s">
        <v>2191</v>
      </c>
      <c r="AZ2964">
        <v>82108</v>
      </c>
      <c r="BA2964" t="s">
        <v>2192</v>
      </c>
      <c r="BB2964" t="s">
        <v>2193</v>
      </c>
      <c r="BC2964">
        <v>1981</v>
      </c>
      <c r="BD2964" t="s">
        <v>324</v>
      </c>
    </row>
    <row r="2965" spans="1:56" x14ac:dyDescent="0.35">
      <c r="A2965">
        <v>7733020</v>
      </c>
      <c r="B2965" t="s">
        <v>2182</v>
      </c>
      <c r="D2965" t="s">
        <v>85</v>
      </c>
      <c r="E2965" t="s">
        <v>86</v>
      </c>
      <c r="F2965" t="s">
        <v>58</v>
      </c>
      <c r="G2965" t="s">
        <v>59</v>
      </c>
      <c r="H2965" t="s">
        <v>60</v>
      </c>
      <c r="I2965" t="s">
        <v>2174</v>
      </c>
      <c r="J2965" t="s">
        <v>86</v>
      </c>
      <c r="L2965" t="s">
        <v>62</v>
      </c>
      <c r="M2965" t="s">
        <v>63</v>
      </c>
      <c r="N2965" t="s">
        <v>64</v>
      </c>
      <c r="P2965" t="s">
        <v>201</v>
      </c>
      <c r="R2965">
        <v>12</v>
      </c>
      <c r="W2965" t="s">
        <v>66</v>
      </c>
      <c r="X2965" t="s">
        <v>67</v>
      </c>
      <c r="Y2965" t="s">
        <v>67</v>
      </c>
      <c r="Z2965" t="s">
        <v>68</v>
      </c>
      <c r="AB2965">
        <v>4</v>
      </c>
      <c r="AC2965" t="s">
        <v>61</v>
      </c>
      <c r="AJ2965" t="s">
        <v>69</v>
      </c>
      <c r="AY2965" t="s">
        <v>373</v>
      </c>
      <c r="AZ2965">
        <v>5077</v>
      </c>
      <c r="BA2965" t="s">
        <v>2183</v>
      </c>
      <c r="BB2965" t="s">
        <v>2184</v>
      </c>
      <c r="BC2965">
        <v>1969</v>
      </c>
      <c r="BD2965" t="s">
        <v>90</v>
      </c>
    </row>
    <row r="2966" spans="1:56" x14ac:dyDescent="0.35">
      <c r="A2966">
        <v>7733020</v>
      </c>
      <c r="B2966" t="s">
        <v>2182</v>
      </c>
      <c r="D2966" t="s">
        <v>57</v>
      </c>
      <c r="E2966" t="s">
        <v>86</v>
      </c>
      <c r="F2966" t="s">
        <v>58</v>
      </c>
      <c r="G2966" t="s">
        <v>59</v>
      </c>
      <c r="H2966" t="s">
        <v>60</v>
      </c>
      <c r="I2966" t="s">
        <v>186</v>
      </c>
      <c r="J2966" t="s">
        <v>505</v>
      </c>
      <c r="K2966" t="s">
        <v>61</v>
      </c>
      <c r="L2966" t="s">
        <v>74</v>
      </c>
      <c r="M2966" t="s">
        <v>63</v>
      </c>
      <c r="N2966" t="s">
        <v>64</v>
      </c>
      <c r="P2966" t="s">
        <v>201</v>
      </c>
      <c r="R2966">
        <v>1.85</v>
      </c>
      <c r="T2966">
        <v>1.67</v>
      </c>
      <c r="V2966">
        <v>2.06</v>
      </c>
      <c r="W2966" t="s">
        <v>66</v>
      </c>
      <c r="X2966" t="s">
        <v>67</v>
      </c>
      <c r="Y2966" t="s">
        <v>67</v>
      </c>
      <c r="Z2966" t="s">
        <v>68</v>
      </c>
      <c r="AB2966">
        <v>4</v>
      </c>
      <c r="AC2966" t="s">
        <v>61</v>
      </c>
      <c r="AJ2966" t="s">
        <v>69</v>
      </c>
      <c r="AY2966" t="s">
        <v>2188</v>
      </c>
      <c r="AZ2966">
        <v>2109</v>
      </c>
      <c r="BA2966" t="s">
        <v>2189</v>
      </c>
      <c r="BB2966" t="s">
        <v>2190</v>
      </c>
      <c r="BC2966">
        <v>1965</v>
      </c>
      <c r="BD2966" t="s">
        <v>73</v>
      </c>
    </row>
    <row r="2967" spans="1:56" x14ac:dyDescent="0.35">
      <c r="A2967">
        <v>7733020</v>
      </c>
      <c r="B2967" t="s">
        <v>2182</v>
      </c>
      <c r="C2967" t="s">
        <v>195</v>
      </c>
      <c r="D2967" t="s">
        <v>85</v>
      </c>
      <c r="E2967" t="s">
        <v>86</v>
      </c>
      <c r="F2967" t="s">
        <v>58</v>
      </c>
      <c r="G2967" t="s">
        <v>59</v>
      </c>
      <c r="H2967" t="s">
        <v>60</v>
      </c>
      <c r="I2967" t="s">
        <v>129</v>
      </c>
      <c r="J2967" t="s">
        <v>86</v>
      </c>
      <c r="L2967" t="s">
        <v>62</v>
      </c>
      <c r="M2967" t="s">
        <v>63</v>
      </c>
      <c r="N2967" t="s">
        <v>64</v>
      </c>
      <c r="O2967">
        <v>5</v>
      </c>
      <c r="P2967" t="s">
        <v>201</v>
      </c>
      <c r="R2967">
        <v>32</v>
      </c>
      <c r="W2967" t="s">
        <v>66</v>
      </c>
      <c r="X2967" t="s">
        <v>67</v>
      </c>
      <c r="Y2967" t="s">
        <v>67</v>
      </c>
      <c r="Z2967" t="s">
        <v>68</v>
      </c>
      <c r="AB2967">
        <v>4</v>
      </c>
      <c r="AC2967" t="s">
        <v>61</v>
      </c>
      <c r="AJ2967" t="s">
        <v>69</v>
      </c>
      <c r="AY2967" t="s">
        <v>298</v>
      </c>
      <c r="AZ2967">
        <v>11951</v>
      </c>
      <c r="BA2967" t="s">
        <v>299</v>
      </c>
      <c r="BB2967" t="s">
        <v>300</v>
      </c>
      <c r="BC2967">
        <v>1986</v>
      </c>
      <c r="BD2967" t="s">
        <v>90</v>
      </c>
    </row>
    <row r="2968" spans="1:56" x14ac:dyDescent="0.35">
      <c r="A2968">
        <v>7733020</v>
      </c>
      <c r="B2968" t="s">
        <v>2182</v>
      </c>
      <c r="C2968" t="s">
        <v>195</v>
      </c>
      <c r="D2968" t="s">
        <v>57</v>
      </c>
      <c r="E2968" t="s">
        <v>86</v>
      </c>
      <c r="F2968" t="s">
        <v>58</v>
      </c>
      <c r="G2968" t="s">
        <v>59</v>
      </c>
      <c r="H2968" t="s">
        <v>60</v>
      </c>
      <c r="I2968" t="s">
        <v>129</v>
      </c>
      <c r="J2968">
        <v>4</v>
      </c>
      <c r="K2968" t="s">
        <v>320</v>
      </c>
      <c r="L2968" t="s">
        <v>74</v>
      </c>
      <c r="M2968" t="s">
        <v>63</v>
      </c>
      <c r="N2968" t="s">
        <v>64</v>
      </c>
      <c r="O2968">
        <v>6</v>
      </c>
      <c r="P2968" t="s">
        <v>201</v>
      </c>
      <c r="R2968">
        <v>7.88</v>
      </c>
      <c r="T2968">
        <v>7.7</v>
      </c>
      <c r="V2968">
        <v>8.08</v>
      </c>
      <c r="W2968" t="s">
        <v>66</v>
      </c>
      <c r="X2968" t="s">
        <v>67</v>
      </c>
      <c r="Y2968" t="s">
        <v>67</v>
      </c>
      <c r="Z2968" t="s">
        <v>68</v>
      </c>
      <c r="AB2968">
        <v>4</v>
      </c>
      <c r="AC2968" t="s">
        <v>61</v>
      </c>
      <c r="AJ2968" t="s">
        <v>69</v>
      </c>
      <c r="AY2968" t="s">
        <v>2191</v>
      </c>
      <c r="AZ2968">
        <v>82108</v>
      </c>
      <c r="BA2968" t="s">
        <v>2192</v>
      </c>
      <c r="BB2968" t="s">
        <v>2193</v>
      </c>
      <c r="BC2968">
        <v>1981</v>
      </c>
      <c r="BD2968" t="s">
        <v>324</v>
      </c>
    </row>
    <row r="2969" spans="1:56" x14ac:dyDescent="0.35">
      <c r="A2969">
        <v>7733020</v>
      </c>
      <c r="B2969" t="s">
        <v>2182</v>
      </c>
      <c r="D2969" t="s">
        <v>57</v>
      </c>
      <c r="E2969" t="s">
        <v>86</v>
      </c>
      <c r="F2969" t="s">
        <v>58</v>
      </c>
      <c r="G2969" t="s">
        <v>59</v>
      </c>
      <c r="H2969" t="s">
        <v>60</v>
      </c>
      <c r="J2969" t="s">
        <v>86</v>
      </c>
      <c r="L2969" t="s">
        <v>74</v>
      </c>
      <c r="M2969" t="s">
        <v>63</v>
      </c>
      <c r="N2969" t="s">
        <v>64</v>
      </c>
      <c r="P2969" t="s">
        <v>201</v>
      </c>
      <c r="R2969">
        <v>13.8</v>
      </c>
      <c r="W2969" t="s">
        <v>66</v>
      </c>
      <c r="X2969" t="s">
        <v>67</v>
      </c>
      <c r="Y2969" t="s">
        <v>67</v>
      </c>
      <c r="Z2969" t="s">
        <v>68</v>
      </c>
      <c r="AB2969">
        <v>4</v>
      </c>
      <c r="AC2969" t="s">
        <v>61</v>
      </c>
      <c r="AJ2969" t="s">
        <v>69</v>
      </c>
      <c r="AY2969" t="s">
        <v>2185</v>
      </c>
      <c r="AZ2969">
        <v>2118</v>
      </c>
      <c r="BA2969" t="s">
        <v>2186</v>
      </c>
      <c r="BB2969" t="s">
        <v>2187</v>
      </c>
      <c r="BC2969">
        <v>1966</v>
      </c>
      <c r="BD2969" t="s">
        <v>90</v>
      </c>
    </row>
    <row r="2970" spans="1:56" x14ac:dyDescent="0.35">
      <c r="A2970">
        <v>7733020</v>
      </c>
      <c r="B2970" t="s">
        <v>2182</v>
      </c>
      <c r="D2970" t="s">
        <v>57</v>
      </c>
      <c r="E2970" t="s">
        <v>86</v>
      </c>
      <c r="F2970" t="s">
        <v>58</v>
      </c>
      <c r="G2970" t="s">
        <v>59</v>
      </c>
      <c r="H2970" t="s">
        <v>60</v>
      </c>
      <c r="I2970" t="s">
        <v>2212</v>
      </c>
      <c r="J2970" t="s">
        <v>86</v>
      </c>
      <c r="L2970" t="s">
        <v>74</v>
      </c>
      <c r="M2970" t="s">
        <v>63</v>
      </c>
      <c r="N2970" t="s">
        <v>64</v>
      </c>
      <c r="P2970" t="s">
        <v>201</v>
      </c>
      <c r="R2970">
        <v>20.96</v>
      </c>
      <c r="T2970">
        <v>16.78</v>
      </c>
      <c r="V2970">
        <v>28.91</v>
      </c>
      <c r="W2970" t="s">
        <v>66</v>
      </c>
      <c r="X2970" t="s">
        <v>67</v>
      </c>
      <c r="Y2970" t="s">
        <v>67</v>
      </c>
      <c r="Z2970" t="s">
        <v>68</v>
      </c>
      <c r="AB2970">
        <v>4</v>
      </c>
      <c r="AC2970" t="s">
        <v>61</v>
      </c>
      <c r="AJ2970" t="s">
        <v>69</v>
      </c>
      <c r="AY2970" t="s">
        <v>2213</v>
      </c>
      <c r="AZ2970">
        <v>12267</v>
      </c>
      <c r="BA2970" t="s">
        <v>2214</v>
      </c>
      <c r="BB2970" t="s">
        <v>2215</v>
      </c>
      <c r="BC2970">
        <v>1986</v>
      </c>
      <c r="BD2970" t="s">
        <v>90</v>
      </c>
    </row>
    <row r="2971" spans="1:56" x14ac:dyDescent="0.35">
      <c r="A2971">
        <v>7733020</v>
      </c>
      <c r="B2971" t="s">
        <v>2182</v>
      </c>
      <c r="D2971" t="s">
        <v>57</v>
      </c>
      <c r="E2971" t="s">
        <v>86</v>
      </c>
      <c r="F2971" t="s">
        <v>58</v>
      </c>
      <c r="G2971" t="s">
        <v>59</v>
      </c>
      <c r="H2971" t="s">
        <v>60</v>
      </c>
      <c r="J2971" t="s">
        <v>86</v>
      </c>
      <c r="L2971" t="s">
        <v>74</v>
      </c>
      <c r="M2971" t="s">
        <v>63</v>
      </c>
      <c r="N2971" t="s">
        <v>64</v>
      </c>
      <c r="P2971" t="s">
        <v>201</v>
      </c>
      <c r="R2971">
        <v>18.5</v>
      </c>
      <c r="W2971" t="s">
        <v>66</v>
      </c>
      <c r="X2971" t="s">
        <v>67</v>
      </c>
      <c r="Y2971" t="s">
        <v>67</v>
      </c>
      <c r="Z2971" t="s">
        <v>68</v>
      </c>
      <c r="AB2971">
        <v>4</v>
      </c>
      <c r="AC2971" t="s">
        <v>61</v>
      </c>
      <c r="AJ2971" t="s">
        <v>69</v>
      </c>
      <c r="AY2971" t="s">
        <v>2185</v>
      </c>
      <c r="AZ2971">
        <v>2118</v>
      </c>
      <c r="BA2971" t="s">
        <v>2186</v>
      </c>
      <c r="BB2971" t="s">
        <v>2187</v>
      </c>
      <c r="BC2971">
        <v>1966</v>
      </c>
      <c r="BD2971" t="s">
        <v>90</v>
      </c>
    </row>
    <row r="2972" spans="1:56" x14ac:dyDescent="0.35">
      <c r="A2972">
        <v>7733020</v>
      </c>
      <c r="B2972" t="s">
        <v>2182</v>
      </c>
      <c r="C2972" t="s">
        <v>195</v>
      </c>
      <c r="D2972" t="s">
        <v>57</v>
      </c>
      <c r="E2972" t="s">
        <v>86</v>
      </c>
      <c r="F2972" t="s">
        <v>58</v>
      </c>
      <c r="G2972" t="s">
        <v>59</v>
      </c>
      <c r="H2972" t="s">
        <v>60</v>
      </c>
      <c r="I2972" t="s">
        <v>129</v>
      </c>
      <c r="J2972">
        <v>4</v>
      </c>
      <c r="K2972" t="s">
        <v>320</v>
      </c>
      <c r="L2972" t="s">
        <v>74</v>
      </c>
      <c r="M2972" t="s">
        <v>63</v>
      </c>
      <c r="N2972" t="s">
        <v>64</v>
      </c>
      <c r="O2972">
        <v>6</v>
      </c>
      <c r="P2972" t="s">
        <v>201</v>
      </c>
      <c r="R2972">
        <v>6.58</v>
      </c>
      <c r="T2972">
        <v>4.1399999999999997</v>
      </c>
      <c r="V2972">
        <v>8.08</v>
      </c>
      <c r="W2972" t="s">
        <v>66</v>
      </c>
      <c r="X2972" t="s">
        <v>67</v>
      </c>
      <c r="Y2972" t="s">
        <v>67</v>
      </c>
      <c r="Z2972" t="s">
        <v>68</v>
      </c>
      <c r="AB2972">
        <v>4</v>
      </c>
      <c r="AC2972" t="s">
        <v>61</v>
      </c>
      <c r="AJ2972" t="s">
        <v>69</v>
      </c>
      <c r="AY2972" t="s">
        <v>2191</v>
      </c>
      <c r="AZ2972">
        <v>82108</v>
      </c>
      <c r="BA2972" t="s">
        <v>2192</v>
      </c>
      <c r="BB2972" t="s">
        <v>2193</v>
      </c>
      <c r="BC2972">
        <v>1981</v>
      </c>
      <c r="BD2972" t="s">
        <v>324</v>
      </c>
    </row>
    <row r="2973" spans="1:56" x14ac:dyDescent="0.35">
      <c r="A2973">
        <v>7757826</v>
      </c>
      <c r="B2973" t="s">
        <v>2216</v>
      </c>
      <c r="D2973" t="s">
        <v>85</v>
      </c>
      <c r="E2973" t="s">
        <v>86</v>
      </c>
      <c r="F2973" t="s">
        <v>58</v>
      </c>
      <c r="G2973" t="s">
        <v>59</v>
      </c>
      <c r="H2973" t="s">
        <v>60</v>
      </c>
      <c r="I2973" t="s">
        <v>188</v>
      </c>
      <c r="J2973" t="s">
        <v>289</v>
      </c>
      <c r="K2973" t="s">
        <v>495</v>
      </c>
      <c r="L2973" t="s">
        <v>190</v>
      </c>
      <c r="M2973" t="s">
        <v>63</v>
      </c>
      <c r="N2973" t="s">
        <v>64</v>
      </c>
      <c r="P2973" t="s">
        <v>201</v>
      </c>
      <c r="R2973">
        <v>15200</v>
      </c>
      <c r="T2973">
        <v>14470</v>
      </c>
      <c r="V2973">
        <v>15940</v>
      </c>
      <c r="W2973" t="s">
        <v>66</v>
      </c>
      <c r="X2973" t="s">
        <v>67</v>
      </c>
      <c r="Y2973" t="s">
        <v>67</v>
      </c>
      <c r="Z2973" t="s">
        <v>68</v>
      </c>
      <c r="AB2973">
        <v>4</v>
      </c>
      <c r="AC2973" t="s">
        <v>61</v>
      </c>
      <c r="AJ2973" t="s">
        <v>69</v>
      </c>
      <c r="AY2973" t="s">
        <v>2087</v>
      </c>
      <c r="AZ2973">
        <v>116913</v>
      </c>
      <c r="BA2973" t="s">
        <v>2088</v>
      </c>
      <c r="BB2973" t="s">
        <v>2089</v>
      </c>
      <c r="BC2973">
        <v>1985</v>
      </c>
      <c r="BD2973" t="s">
        <v>499</v>
      </c>
    </row>
    <row r="2974" spans="1:56" x14ac:dyDescent="0.35">
      <c r="A2974">
        <v>7757826</v>
      </c>
      <c r="B2974" t="s">
        <v>2216</v>
      </c>
      <c r="C2974" t="s">
        <v>195</v>
      </c>
      <c r="D2974" t="s">
        <v>85</v>
      </c>
      <c r="E2974" t="s">
        <v>86</v>
      </c>
      <c r="F2974" t="s">
        <v>58</v>
      </c>
      <c r="G2974" t="s">
        <v>59</v>
      </c>
      <c r="H2974" t="s">
        <v>60</v>
      </c>
      <c r="J2974" t="s">
        <v>86</v>
      </c>
      <c r="K2974" t="s">
        <v>61</v>
      </c>
      <c r="L2974" t="s">
        <v>62</v>
      </c>
      <c r="M2974" t="s">
        <v>63</v>
      </c>
      <c r="N2974" t="s">
        <v>64</v>
      </c>
      <c r="P2974" t="s">
        <v>201</v>
      </c>
      <c r="R2974">
        <v>7960</v>
      </c>
      <c r="T2974">
        <v>6800</v>
      </c>
      <c r="U2974" t="s">
        <v>153</v>
      </c>
      <c r="V2974">
        <v>10000</v>
      </c>
      <c r="W2974" t="s">
        <v>66</v>
      </c>
      <c r="X2974" t="s">
        <v>67</v>
      </c>
      <c r="Y2974" t="s">
        <v>67</v>
      </c>
      <c r="Z2974" t="s">
        <v>68</v>
      </c>
      <c r="AB2974">
        <v>4</v>
      </c>
      <c r="AC2974" t="s">
        <v>61</v>
      </c>
      <c r="AJ2974" t="s">
        <v>69</v>
      </c>
      <c r="AY2974" t="s">
        <v>1456</v>
      </c>
      <c r="AZ2974">
        <v>18272</v>
      </c>
      <c r="BA2974" t="s">
        <v>1457</v>
      </c>
      <c r="BB2974" t="s">
        <v>1458</v>
      </c>
      <c r="BC2974">
        <v>1997</v>
      </c>
      <c r="BD2974" t="s">
        <v>1459</v>
      </c>
    </row>
    <row r="2975" spans="1:56" x14ac:dyDescent="0.35">
      <c r="A2975">
        <v>7758023</v>
      </c>
      <c r="B2975" t="s">
        <v>2217</v>
      </c>
      <c r="C2975" t="s">
        <v>195</v>
      </c>
      <c r="D2975" t="s">
        <v>85</v>
      </c>
      <c r="E2975" t="s">
        <v>86</v>
      </c>
      <c r="F2975" t="s">
        <v>58</v>
      </c>
      <c r="G2975" t="s">
        <v>59</v>
      </c>
      <c r="H2975" t="s">
        <v>60</v>
      </c>
      <c r="I2975" t="s">
        <v>129</v>
      </c>
      <c r="J2975" t="s">
        <v>86</v>
      </c>
      <c r="L2975" t="s">
        <v>62</v>
      </c>
      <c r="M2975" t="s">
        <v>63</v>
      </c>
      <c r="N2975" t="s">
        <v>64</v>
      </c>
      <c r="O2975">
        <v>5</v>
      </c>
      <c r="P2975" t="s">
        <v>201</v>
      </c>
      <c r="Q2975" t="s">
        <v>153</v>
      </c>
      <c r="R2975">
        <v>100</v>
      </c>
      <c r="W2975" t="s">
        <v>66</v>
      </c>
      <c r="X2975" t="s">
        <v>67</v>
      </c>
      <c r="Y2975" t="s">
        <v>67</v>
      </c>
      <c r="Z2975" t="s">
        <v>68</v>
      </c>
      <c r="AB2975">
        <v>4</v>
      </c>
      <c r="AC2975" t="s">
        <v>61</v>
      </c>
      <c r="AJ2975" t="s">
        <v>69</v>
      </c>
      <c r="AY2975" t="s">
        <v>298</v>
      </c>
      <c r="AZ2975">
        <v>11951</v>
      </c>
      <c r="BA2975" t="s">
        <v>299</v>
      </c>
      <c r="BB2975" t="s">
        <v>300</v>
      </c>
      <c r="BC2975">
        <v>1986</v>
      </c>
      <c r="BD2975" t="s">
        <v>90</v>
      </c>
    </row>
    <row r="2976" spans="1:56" x14ac:dyDescent="0.35">
      <c r="A2976">
        <v>7758954</v>
      </c>
      <c r="B2976" t="s">
        <v>2218</v>
      </c>
      <c r="D2976" t="s">
        <v>57</v>
      </c>
      <c r="E2976" t="s">
        <v>86</v>
      </c>
      <c r="F2976" t="s">
        <v>58</v>
      </c>
      <c r="G2976" t="s">
        <v>59</v>
      </c>
      <c r="H2976" t="s">
        <v>60</v>
      </c>
      <c r="J2976" t="s">
        <v>1102</v>
      </c>
      <c r="K2976" t="s">
        <v>184</v>
      </c>
      <c r="M2976" t="s">
        <v>63</v>
      </c>
      <c r="N2976" t="s">
        <v>64</v>
      </c>
      <c r="P2976" t="s">
        <v>201</v>
      </c>
      <c r="R2976">
        <v>0.81</v>
      </c>
      <c r="T2976">
        <v>0.56999999999999995</v>
      </c>
      <c r="V2976">
        <v>1.1000000000000001</v>
      </c>
      <c r="W2976" t="s">
        <v>66</v>
      </c>
      <c r="X2976" t="s">
        <v>67</v>
      </c>
      <c r="Y2976" t="s">
        <v>67</v>
      </c>
      <c r="Z2976" t="s">
        <v>68</v>
      </c>
      <c r="AB2976">
        <v>4</v>
      </c>
      <c r="AC2976" t="s">
        <v>61</v>
      </c>
      <c r="AJ2976" t="s">
        <v>69</v>
      </c>
      <c r="AY2976" t="s">
        <v>1851</v>
      </c>
      <c r="AZ2976">
        <v>7289</v>
      </c>
      <c r="BA2976" t="s">
        <v>1852</v>
      </c>
      <c r="BB2976" t="s">
        <v>1853</v>
      </c>
      <c r="BC2976">
        <v>1993</v>
      </c>
      <c r="BD2976" t="s">
        <v>185</v>
      </c>
    </row>
    <row r="2977" spans="1:56" x14ac:dyDescent="0.35">
      <c r="A2977">
        <v>7758954</v>
      </c>
      <c r="B2977" t="s">
        <v>2218</v>
      </c>
      <c r="D2977" t="s">
        <v>57</v>
      </c>
      <c r="E2977" t="s">
        <v>86</v>
      </c>
      <c r="F2977" t="s">
        <v>58</v>
      </c>
      <c r="G2977" t="s">
        <v>59</v>
      </c>
      <c r="H2977" t="s">
        <v>60</v>
      </c>
      <c r="J2977" t="s">
        <v>1102</v>
      </c>
      <c r="K2977" t="s">
        <v>184</v>
      </c>
      <c r="M2977" t="s">
        <v>63</v>
      </c>
      <c r="N2977" t="s">
        <v>64</v>
      </c>
      <c r="P2977" t="s">
        <v>201</v>
      </c>
      <c r="Q2977" t="s">
        <v>153</v>
      </c>
      <c r="R2977">
        <v>5.4</v>
      </c>
      <c r="W2977" t="s">
        <v>66</v>
      </c>
      <c r="X2977" t="s">
        <v>67</v>
      </c>
      <c r="Y2977" t="s">
        <v>67</v>
      </c>
      <c r="Z2977" t="s">
        <v>68</v>
      </c>
      <c r="AB2977">
        <v>4</v>
      </c>
      <c r="AC2977" t="s">
        <v>61</v>
      </c>
      <c r="AJ2977" t="s">
        <v>69</v>
      </c>
      <c r="AY2977" t="s">
        <v>1851</v>
      </c>
      <c r="AZ2977">
        <v>7289</v>
      </c>
      <c r="BA2977" t="s">
        <v>1852</v>
      </c>
      <c r="BB2977" t="s">
        <v>1853</v>
      </c>
      <c r="BC2977">
        <v>1993</v>
      </c>
      <c r="BD2977" t="s">
        <v>185</v>
      </c>
    </row>
    <row r="2978" spans="1:56" x14ac:dyDescent="0.35">
      <c r="A2978">
        <v>7758954</v>
      </c>
      <c r="B2978" t="s">
        <v>2218</v>
      </c>
      <c r="D2978" t="s">
        <v>85</v>
      </c>
      <c r="E2978" t="s">
        <v>86</v>
      </c>
      <c r="F2978" t="s">
        <v>58</v>
      </c>
      <c r="G2978" t="s">
        <v>59</v>
      </c>
      <c r="H2978" t="s">
        <v>60</v>
      </c>
      <c r="J2978" t="s">
        <v>86</v>
      </c>
      <c r="L2978" t="s">
        <v>62</v>
      </c>
      <c r="M2978" t="s">
        <v>63</v>
      </c>
      <c r="N2978" t="s">
        <v>64</v>
      </c>
      <c r="P2978" t="s">
        <v>201</v>
      </c>
      <c r="R2978">
        <v>5.58</v>
      </c>
      <c r="T2978">
        <v>3.94</v>
      </c>
      <c r="V2978">
        <v>7.89</v>
      </c>
      <c r="W2978" t="s">
        <v>66</v>
      </c>
      <c r="X2978" t="s">
        <v>67</v>
      </c>
      <c r="Y2978" t="s">
        <v>67</v>
      </c>
      <c r="Z2978" t="s">
        <v>68</v>
      </c>
      <c r="AB2978">
        <v>4</v>
      </c>
      <c r="AC2978" t="s">
        <v>61</v>
      </c>
      <c r="AJ2978" t="s">
        <v>69</v>
      </c>
      <c r="AY2978" t="s">
        <v>168</v>
      </c>
      <c r="AZ2978">
        <v>2033</v>
      </c>
      <c r="BA2978" t="s">
        <v>1385</v>
      </c>
      <c r="BB2978" t="s">
        <v>1386</v>
      </c>
      <c r="BC2978">
        <v>1966</v>
      </c>
      <c r="BD2978" t="s">
        <v>90</v>
      </c>
    </row>
    <row r="2979" spans="1:56" x14ac:dyDescent="0.35">
      <c r="A2979">
        <v>7758954</v>
      </c>
      <c r="B2979" t="s">
        <v>2218</v>
      </c>
      <c r="D2979" t="s">
        <v>57</v>
      </c>
      <c r="E2979" t="s">
        <v>86</v>
      </c>
      <c r="F2979" t="s">
        <v>58</v>
      </c>
      <c r="G2979" t="s">
        <v>59</v>
      </c>
      <c r="H2979" t="s">
        <v>60</v>
      </c>
      <c r="I2979" t="s">
        <v>1469</v>
      </c>
      <c r="J2979" t="s">
        <v>289</v>
      </c>
      <c r="K2979" t="s">
        <v>184</v>
      </c>
      <c r="L2979" t="s">
        <v>62</v>
      </c>
      <c r="M2979" t="s">
        <v>63</v>
      </c>
      <c r="N2979" t="s">
        <v>64</v>
      </c>
      <c r="P2979" t="s">
        <v>1296</v>
      </c>
      <c r="R2979">
        <v>3333</v>
      </c>
      <c r="W2979" t="s">
        <v>66</v>
      </c>
      <c r="X2979" t="s">
        <v>67</v>
      </c>
      <c r="Y2979" t="s">
        <v>67</v>
      </c>
      <c r="Z2979" t="s">
        <v>68</v>
      </c>
      <c r="AB2979">
        <v>4</v>
      </c>
      <c r="AC2979" t="s">
        <v>61</v>
      </c>
      <c r="AJ2979" t="s">
        <v>69</v>
      </c>
      <c r="AY2979" t="s">
        <v>1474</v>
      </c>
      <c r="AZ2979">
        <v>9180</v>
      </c>
      <c r="BA2979" t="s">
        <v>1475</v>
      </c>
      <c r="BB2979" t="s">
        <v>1476</v>
      </c>
      <c r="BC2979">
        <v>1992</v>
      </c>
      <c r="BD2979" t="s">
        <v>185</v>
      </c>
    </row>
    <row r="2980" spans="1:56" x14ac:dyDescent="0.35">
      <c r="A2980">
        <v>7758954</v>
      </c>
      <c r="B2980" t="s">
        <v>2218</v>
      </c>
      <c r="C2980" t="s">
        <v>195</v>
      </c>
      <c r="D2980" t="s">
        <v>57</v>
      </c>
      <c r="E2980" t="s">
        <v>86</v>
      </c>
      <c r="F2980" t="s">
        <v>58</v>
      </c>
      <c r="G2980" t="s">
        <v>59</v>
      </c>
      <c r="H2980" t="s">
        <v>60</v>
      </c>
      <c r="I2980" t="s">
        <v>1469</v>
      </c>
      <c r="J2980" t="s">
        <v>289</v>
      </c>
      <c r="K2980" t="s">
        <v>184</v>
      </c>
      <c r="L2980" t="s">
        <v>62</v>
      </c>
      <c r="M2980" t="s">
        <v>63</v>
      </c>
      <c r="N2980" t="s">
        <v>64</v>
      </c>
      <c r="O2980" t="s">
        <v>1470</v>
      </c>
      <c r="P2980" t="s">
        <v>201</v>
      </c>
      <c r="R2980">
        <v>3414</v>
      </c>
      <c r="W2980" t="s">
        <v>66</v>
      </c>
      <c r="X2980" t="s">
        <v>67</v>
      </c>
      <c r="Y2980" t="s">
        <v>67</v>
      </c>
      <c r="Z2980" t="s">
        <v>68</v>
      </c>
      <c r="AB2980">
        <v>4</v>
      </c>
      <c r="AC2980" t="s">
        <v>61</v>
      </c>
      <c r="AJ2980" t="s">
        <v>69</v>
      </c>
      <c r="AY2980" t="s">
        <v>1471</v>
      </c>
      <c r="AZ2980">
        <v>76100</v>
      </c>
      <c r="BA2980" t="s">
        <v>1472</v>
      </c>
      <c r="BB2980" t="s">
        <v>1473</v>
      </c>
      <c r="BC2980">
        <v>1998</v>
      </c>
      <c r="BD2980" t="s">
        <v>185</v>
      </c>
    </row>
    <row r="2981" spans="1:56" x14ac:dyDescent="0.35">
      <c r="A2981">
        <v>7758954</v>
      </c>
      <c r="B2981" t="s">
        <v>2218</v>
      </c>
      <c r="D2981" t="s">
        <v>57</v>
      </c>
      <c r="E2981" t="s">
        <v>86</v>
      </c>
      <c r="F2981" t="s">
        <v>58</v>
      </c>
      <c r="G2981" t="s">
        <v>59</v>
      </c>
      <c r="H2981" t="s">
        <v>60</v>
      </c>
      <c r="J2981" t="s">
        <v>1102</v>
      </c>
      <c r="K2981" t="s">
        <v>184</v>
      </c>
      <c r="M2981" t="s">
        <v>63</v>
      </c>
      <c r="N2981" t="s">
        <v>64</v>
      </c>
      <c r="P2981" t="s">
        <v>201</v>
      </c>
      <c r="Q2981" t="s">
        <v>153</v>
      </c>
      <c r="R2981">
        <v>5.4</v>
      </c>
      <c r="W2981" t="s">
        <v>66</v>
      </c>
      <c r="X2981" t="s">
        <v>67</v>
      </c>
      <c r="Y2981" t="s">
        <v>67</v>
      </c>
      <c r="Z2981" t="s">
        <v>68</v>
      </c>
      <c r="AB2981">
        <v>4</v>
      </c>
      <c r="AC2981" t="s">
        <v>61</v>
      </c>
      <c r="AJ2981" t="s">
        <v>69</v>
      </c>
      <c r="AY2981" t="s">
        <v>1851</v>
      </c>
      <c r="AZ2981">
        <v>7289</v>
      </c>
      <c r="BA2981" t="s">
        <v>1852</v>
      </c>
      <c r="BB2981" t="s">
        <v>1853</v>
      </c>
      <c r="BC2981">
        <v>1993</v>
      </c>
      <c r="BD2981" t="s">
        <v>185</v>
      </c>
    </row>
    <row r="2982" spans="1:56" x14ac:dyDescent="0.35">
      <c r="A2982">
        <v>7758954</v>
      </c>
      <c r="B2982" t="s">
        <v>2218</v>
      </c>
      <c r="C2982" t="s">
        <v>195</v>
      </c>
      <c r="D2982" t="s">
        <v>57</v>
      </c>
      <c r="E2982" t="s">
        <v>86</v>
      </c>
      <c r="F2982" t="s">
        <v>58</v>
      </c>
      <c r="G2982" t="s">
        <v>59</v>
      </c>
      <c r="H2982" t="s">
        <v>60</v>
      </c>
      <c r="I2982" t="s">
        <v>1469</v>
      </c>
      <c r="J2982" t="s">
        <v>289</v>
      </c>
      <c r="K2982" t="s">
        <v>184</v>
      </c>
      <c r="L2982" t="s">
        <v>62</v>
      </c>
      <c r="M2982" t="s">
        <v>63</v>
      </c>
      <c r="N2982" t="s">
        <v>64</v>
      </c>
      <c r="O2982" t="s">
        <v>1470</v>
      </c>
      <c r="P2982" t="s">
        <v>1296</v>
      </c>
      <c r="R2982">
        <v>12.5</v>
      </c>
      <c r="W2982" t="s">
        <v>66</v>
      </c>
      <c r="X2982" t="s">
        <v>67</v>
      </c>
      <c r="Y2982" t="s">
        <v>67</v>
      </c>
      <c r="Z2982" t="s">
        <v>68</v>
      </c>
      <c r="AB2982">
        <v>4</v>
      </c>
      <c r="AC2982" t="s">
        <v>61</v>
      </c>
      <c r="AJ2982" t="s">
        <v>69</v>
      </c>
      <c r="AY2982" t="s">
        <v>1471</v>
      </c>
      <c r="AZ2982">
        <v>76100</v>
      </c>
      <c r="BA2982" t="s">
        <v>1472</v>
      </c>
      <c r="BB2982" t="s">
        <v>1473</v>
      </c>
      <c r="BC2982">
        <v>1998</v>
      </c>
      <c r="BD2982" t="s">
        <v>185</v>
      </c>
    </row>
    <row r="2983" spans="1:56" x14ac:dyDescent="0.35">
      <c r="A2983">
        <v>7758954</v>
      </c>
      <c r="B2983" t="s">
        <v>2218</v>
      </c>
      <c r="D2983" t="s">
        <v>85</v>
      </c>
      <c r="E2983" t="s">
        <v>86</v>
      </c>
      <c r="F2983" t="s">
        <v>58</v>
      </c>
      <c r="G2983" t="s">
        <v>59</v>
      </c>
      <c r="H2983" t="s">
        <v>60</v>
      </c>
      <c r="J2983" t="s">
        <v>86</v>
      </c>
      <c r="L2983" t="s">
        <v>62</v>
      </c>
      <c r="M2983" t="s">
        <v>63</v>
      </c>
      <c r="N2983" t="s">
        <v>64</v>
      </c>
      <c r="P2983" t="s">
        <v>201</v>
      </c>
      <c r="R2983">
        <v>7.33</v>
      </c>
      <c r="T2983">
        <v>4</v>
      </c>
      <c r="V2983">
        <v>45.3</v>
      </c>
      <c r="W2983" t="s">
        <v>66</v>
      </c>
      <c r="X2983" t="s">
        <v>67</v>
      </c>
      <c r="Y2983" t="s">
        <v>67</v>
      </c>
      <c r="Z2983" t="s">
        <v>68</v>
      </c>
      <c r="AB2983">
        <v>4</v>
      </c>
      <c r="AC2983" t="s">
        <v>61</v>
      </c>
      <c r="AJ2983" t="s">
        <v>69</v>
      </c>
      <c r="AY2983" t="s">
        <v>168</v>
      </c>
      <c r="AZ2983">
        <v>2033</v>
      </c>
      <c r="BA2983" t="s">
        <v>1385</v>
      </c>
      <c r="BB2983" t="s">
        <v>1386</v>
      </c>
      <c r="BC2983">
        <v>1966</v>
      </c>
      <c r="BD2983" t="s">
        <v>90</v>
      </c>
    </row>
    <row r="2984" spans="1:56" x14ac:dyDescent="0.35">
      <c r="A2984">
        <v>7758954</v>
      </c>
      <c r="B2984" t="s">
        <v>2218</v>
      </c>
      <c r="D2984" t="s">
        <v>85</v>
      </c>
      <c r="E2984" t="s">
        <v>86</v>
      </c>
      <c r="F2984" t="s">
        <v>58</v>
      </c>
      <c r="G2984" t="s">
        <v>59</v>
      </c>
      <c r="H2984" t="s">
        <v>60</v>
      </c>
      <c r="J2984" t="s">
        <v>86</v>
      </c>
      <c r="L2984" t="s">
        <v>62</v>
      </c>
      <c r="M2984" t="s">
        <v>63</v>
      </c>
      <c r="N2984" t="s">
        <v>64</v>
      </c>
      <c r="P2984" t="s">
        <v>201</v>
      </c>
      <c r="R2984">
        <v>482</v>
      </c>
      <c r="T2984">
        <v>426</v>
      </c>
      <c r="V2984">
        <v>562</v>
      </c>
      <c r="W2984" t="s">
        <v>66</v>
      </c>
      <c r="X2984" t="s">
        <v>67</v>
      </c>
      <c r="Y2984" t="s">
        <v>67</v>
      </c>
      <c r="Z2984" t="s">
        <v>68</v>
      </c>
      <c r="AB2984">
        <v>4</v>
      </c>
      <c r="AC2984" t="s">
        <v>61</v>
      </c>
      <c r="AJ2984" t="s">
        <v>69</v>
      </c>
      <c r="AY2984" t="s">
        <v>168</v>
      </c>
      <c r="AZ2984">
        <v>2033</v>
      </c>
      <c r="BA2984" t="s">
        <v>1385</v>
      </c>
      <c r="BB2984" t="s">
        <v>1386</v>
      </c>
      <c r="BC2984">
        <v>1966</v>
      </c>
      <c r="BD2984" t="s">
        <v>90</v>
      </c>
    </row>
    <row r="2985" spans="1:56" x14ac:dyDescent="0.35">
      <c r="A2985">
        <v>7758954</v>
      </c>
      <c r="B2985" t="s">
        <v>2218</v>
      </c>
      <c r="D2985" t="s">
        <v>85</v>
      </c>
      <c r="E2985" t="s">
        <v>86</v>
      </c>
      <c r="F2985" t="s">
        <v>58</v>
      </c>
      <c r="G2985" t="s">
        <v>59</v>
      </c>
      <c r="H2985" t="s">
        <v>60</v>
      </c>
      <c r="I2985" t="s">
        <v>1469</v>
      </c>
      <c r="J2985" t="s">
        <v>289</v>
      </c>
      <c r="K2985" t="s">
        <v>184</v>
      </c>
      <c r="L2985" t="s">
        <v>62</v>
      </c>
      <c r="M2985" t="s">
        <v>63</v>
      </c>
      <c r="N2985" t="s">
        <v>64</v>
      </c>
      <c r="P2985" t="s">
        <v>201</v>
      </c>
      <c r="R2985">
        <v>2918</v>
      </c>
      <c r="W2985" t="s">
        <v>66</v>
      </c>
      <c r="X2985" t="s">
        <v>67</v>
      </c>
      <c r="Y2985" t="s">
        <v>67</v>
      </c>
      <c r="Z2985" t="s">
        <v>68</v>
      </c>
      <c r="AB2985">
        <v>4</v>
      </c>
      <c r="AC2985" t="s">
        <v>61</v>
      </c>
      <c r="AJ2985" t="s">
        <v>69</v>
      </c>
      <c r="AY2985" t="s">
        <v>1474</v>
      </c>
      <c r="AZ2985">
        <v>9180</v>
      </c>
      <c r="BA2985" t="s">
        <v>1475</v>
      </c>
      <c r="BB2985" t="s">
        <v>1476</v>
      </c>
      <c r="BC2985">
        <v>1992</v>
      </c>
      <c r="BD2985" t="s">
        <v>185</v>
      </c>
    </row>
    <row r="2986" spans="1:56" x14ac:dyDescent="0.35">
      <c r="A2986">
        <v>7758954</v>
      </c>
      <c r="B2986" t="s">
        <v>2218</v>
      </c>
      <c r="D2986" t="s">
        <v>85</v>
      </c>
      <c r="E2986" t="s">
        <v>86</v>
      </c>
      <c r="F2986" t="s">
        <v>58</v>
      </c>
      <c r="G2986" t="s">
        <v>59</v>
      </c>
      <c r="H2986" t="s">
        <v>60</v>
      </c>
      <c r="J2986" t="s">
        <v>86</v>
      </c>
      <c r="L2986" t="s">
        <v>62</v>
      </c>
      <c r="M2986" t="s">
        <v>63</v>
      </c>
      <c r="N2986" t="s">
        <v>64</v>
      </c>
      <c r="P2986" t="s">
        <v>201</v>
      </c>
      <c r="R2986">
        <v>2.4</v>
      </c>
      <c r="W2986" t="s">
        <v>66</v>
      </c>
      <c r="X2986" t="s">
        <v>67</v>
      </c>
      <c r="Y2986" t="s">
        <v>67</v>
      </c>
      <c r="Z2986" t="s">
        <v>68</v>
      </c>
      <c r="AB2986">
        <v>4</v>
      </c>
      <c r="AC2986" t="s">
        <v>61</v>
      </c>
      <c r="AJ2986" t="s">
        <v>69</v>
      </c>
      <c r="AY2986" t="s">
        <v>275</v>
      </c>
      <c r="AZ2986">
        <v>2042</v>
      </c>
      <c r="BA2986" t="s">
        <v>1490</v>
      </c>
      <c r="BB2986" t="s">
        <v>1491</v>
      </c>
      <c r="BC2986">
        <v>1960</v>
      </c>
      <c r="BD2986" t="s">
        <v>90</v>
      </c>
    </row>
    <row r="2987" spans="1:56" x14ac:dyDescent="0.35">
      <c r="A2987">
        <v>7758954</v>
      </c>
      <c r="B2987" t="s">
        <v>2218</v>
      </c>
      <c r="D2987" t="s">
        <v>57</v>
      </c>
      <c r="E2987" t="s">
        <v>86</v>
      </c>
      <c r="F2987" t="s">
        <v>58</v>
      </c>
      <c r="G2987" t="s">
        <v>59</v>
      </c>
      <c r="H2987" t="s">
        <v>60</v>
      </c>
      <c r="I2987" t="s">
        <v>1469</v>
      </c>
      <c r="J2987" t="s">
        <v>289</v>
      </c>
      <c r="K2987" t="s">
        <v>184</v>
      </c>
      <c r="L2987" t="s">
        <v>62</v>
      </c>
      <c r="M2987" t="s">
        <v>63</v>
      </c>
      <c r="N2987" t="s">
        <v>64</v>
      </c>
      <c r="P2987" t="s">
        <v>201</v>
      </c>
      <c r="R2987">
        <v>2723</v>
      </c>
      <c r="W2987" t="s">
        <v>66</v>
      </c>
      <c r="X2987" t="s">
        <v>67</v>
      </c>
      <c r="Y2987" t="s">
        <v>67</v>
      </c>
      <c r="Z2987" t="s">
        <v>68</v>
      </c>
      <c r="AB2987">
        <v>4</v>
      </c>
      <c r="AC2987" t="s">
        <v>61</v>
      </c>
      <c r="AJ2987" t="s">
        <v>69</v>
      </c>
      <c r="AY2987" t="s">
        <v>1474</v>
      </c>
      <c r="AZ2987">
        <v>9180</v>
      </c>
      <c r="BA2987" t="s">
        <v>1475</v>
      </c>
      <c r="BB2987" t="s">
        <v>1476</v>
      </c>
      <c r="BC2987">
        <v>1992</v>
      </c>
      <c r="BD2987" t="s">
        <v>185</v>
      </c>
    </row>
    <row r="2988" spans="1:56" x14ac:dyDescent="0.35">
      <c r="A2988">
        <v>7758954</v>
      </c>
      <c r="B2988" t="s">
        <v>2218</v>
      </c>
      <c r="D2988" t="s">
        <v>85</v>
      </c>
      <c r="E2988" t="s">
        <v>86</v>
      </c>
      <c r="F2988" t="s">
        <v>58</v>
      </c>
      <c r="G2988" t="s">
        <v>59</v>
      </c>
      <c r="H2988" t="s">
        <v>60</v>
      </c>
      <c r="J2988" t="s">
        <v>86</v>
      </c>
      <c r="L2988" t="s">
        <v>62</v>
      </c>
      <c r="M2988" t="s">
        <v>63</v>
      </c>
      <c r="N2988" t="s">
        <v>64</v>
      </c>
      <c r="P2988" t="s">
        <v>201</v>
      </c>
      <c r="Q2988" t="s">
        <v>153</v>
      </c>
      <c r="R2988">
        <v>75</v>
      </c>
      <c r="W2988" t="s">
        <v>66</v>
      </c>
      <c r="X2988" t="s">
        <v>67</v>
      </c>
      <c r="Y2988" t="s">
        <v>67</v>
      </c>
      <c r="Z2988" t="s">
        <v>68</v>
      </c>
      <c r="AB2988">
        <v>4</v>
      </c>
      <c r="AC2988" t="s">
        <v>61</v>
      </c>
      <c r="AJ2988" t="s">
        <v>69</v>
      </c>
      <c r="AY2988" t="s">
        <v>275</v>
      </c>
      <c r="AZ2988">
        <v>2042</v>
      </c>
      <c r="BA2988" t="s">
        <v>1490</v>
      </c>
      <c r="BB2988" t="s">
        <v>1491</v>
      </c>
      <c r="BC2988">
        <v>1960</v>
      </c>
      <c r="BD2988" t="s">
        <v>90</v>
      </c>
    </row>
    <row r="2989" spans="1:56" x14ac:dyDescent="0.35">
      <c r="A2989">
        <v>7758954</v>
      </c>
      <c r="B2989" t="s">
        <v>2218</v>
      </c>
      <c r="D2989" t="s">
        <v>57</v>
      </c>
      <c r="E2989" t="s">
        <v>86</v>
      </c>
      <c r="F2989" t="s">
        <v>58</v>
      </c>
      <c r="G2989" t="s">
        <v>59</v>
      </c>
      <c r="H2989" t="s">
        <v>60</v>
      </c>
      <c r="I2989" t="s">
        <v>1469</v>
      </c>
      <c r="J2989" t="s">
        <v>289</v>
      </c>
      <c r="K2989" t="s">
        <v>184</v>
      </c>
      <c r="L2989" t="s">
        <v>62</v>
      </c>
      <c r="M2989" t="s">
        <v>63</v>
      </c>
      <c r="N2989" t="s">
        <v>64</v>
      </c>
      <c r="P2989" t="s">
        <v>1296</v>
      </c>
      <c r="R2989">
        <v>12.5</v>
      </c>
      <c r="W2989" t="s">
        <v>66</v>
      </c>
      <c r="X2989" t="s">
        <v>67</v>
      </c>
      <c r="Y2989" t="s">
        <v>67</v>
      </c>
      <c r="Z2989" t="s">
        <v>68</v>
      </c>
      <c r="AB2989">
        <v>4</v>
      </c>
      <c r="AC2989" t="s">
        <v>61</v>
      </c>
      <c r="AJ2989" t="s">
        <v>69</v>
      </c>
      <c r="AY2989" t="s">
        <v>1474</v>
      </c>
      <c r="AZ2989">
        <v>9180</v>
      </c>
      <c r="BA2989" t="s">
        <v>1475</v>
      </c>
      <c r="BB2989" t="s">
        <v>1476</v>
      </c>
      <c r="BC2989">
        <v>1992</v>
      </c>
      <c r="BD2989" t="s">
        <v>185</v>
      </c>
    </row>
    <row r="2990" spans="1:56" x14ac:dyDescent="0.35">
      <c r="A2990">
        <v>7758954</v>
      </c>
      <c r="B2990" t="s">
        <v>2218</v>
      </c>
      <c r="D2990" t="s">
        <v>57</v>
      </c>
      <c r="E2990" t="s">
        <v>86</v>
      </c>
      <c r="F2990" t="s">
        <v>58</v>
      </c>
      <c r="G2990" t="s">
        <v>59</v>
      </c>
      <c r="H2990" t="s">
        <v>60</v>
      </c>
      <c r="I2990" t="s">
        <v>1469</v>
      </c>
      <c r="J2990" t="s">
        <v>289</v>
      </c>
      <c r="K2990" t="s">
        <v>184</v>
      </c>
      <c r="L2990" t="s">
        <v>62</v>
      </c>
      <c r="M2990" t="s">
        <v>63</v>
      </c>
      <c r="N2990" t="s">
        <v>64</v>
      </c>
      <c r="P2990" t="s">
        <v>201</v>
      </c>
      <c r="R2990">
        <v>3414</v>
      </c>
      <c r="W2990" t="s">
        <v>66</v>
      </c>
      <c r="X2990" t="s">
        <v>67</v>
      </c>
      <c r="Y2990" t="s">
        <v>67</v>
      </c>
      <c r="Z2990" t="s">
        <v>68</v>
      </c>
      <c r="AB2990">
        <v>4</v>
      </c>
      <c r="AC2990" t="s">
        <v>61</v>
      </c>
      <c r="AJ2990" t="s">
        <v>69</v>
      </c>
      <c r="AY2990" t="s">
        <v>1474</v>
      </c>
      <c r="AZ2990">
        <v>9180</v>
      </c>
      <c r="BA2990" t="s">
        <v>1475</v>
      </c>
      <c r="BB2990" t="s">
        <v>1476</v>
      </c>
      <c r="BC2990">
        <v>1992</v>
      </c>
      <c r="BD2990" t="s">
        <v>185</v>
      </c>
    </row>
    <row r="2991" spans="1:56" x14ac:dyDescent="0.35">
      <c r="A2991">
        <v>7758987</v>
      </c>
      <c r="B2991" t="s">
        <v>2219</v>
      </c>
      <c r="D2991" t="s">
        <v>57</v>
      </c>
      <c r="E2991" t="s">
        <v>86</v>
      </c>
      <c r="F2991" t="s">
        <v>58</v>
      </c>
      <c r="G2991" t="s">
        <v>59</v>
      </c>
      <c r="H2991" t="s">
        <v>60</v>
      </c>
      <c r="I2991" t="s">
        <v>188</v>
      </c>
      <c r="J2991" t="s">
        <v>289</v>
      </c>
      <c r="K2991" t="s">
        <v>184</v>
      </c>
      <c r="L2991" t="s">
        <v>74</v>
      </c>
      <c r="M2991" t="s">
        <v>63</v>
      </c>
      <c r="N2991" t="s">
        <v>64</v>
      </c>
      <c r="P2991" t="s">
        <v>201</v>
      </c>
      <c r="R2991">
        <v>0.27152076000000003</v>
      </c>
      <c r="T2991">
        <v>0.23919686000000001</v>
      </c>
      <c r="V2991">
        <v>0.30707705000000002</v>
      </c>
      <c r="W2991" t="s">
        <v>66</v>
      </c>
      <c r="X2991" t="s">
        <v>67</v>
      </c>
      <c r="Y2991" t="s">
        <v>67</v>
      </c>
      <c r="Z2991" t="s">
        <v>68</v>
      </c>
      <c r="AB2991">
        <v>4</v>
      </c>
      <c r="AC2991" t="s">
        <v>61</v>
      </c>
      <c r="AJ2991" t="s">
        <v>69</v>
      </c>
      <c r="AY2991" t="s">
        <v>2220</v>
      </c>
      <c r="AZ2991">
        <v>16342</v>
      </c>
      <c r="BA2991" t="s">
        <v>2221</v>
      </c>
      <c r="BB2991" t="s">
        <v>2222</v>
      </c>
      <c r="BC2991">
        <v>1996</v>
      </c>
      <c r="BD2991" t="s">
        <v>185</v>
      </c>
    </row>
    <row r="2992" spans="1:56" x14ac:dyDescent="0.35">
      <c r="A2992">
        <v>7758987</v>
      </c>
      <c r="B2992" t="s">
        <v>2219</v>
      </c>
      <c r="D2992" t="s">
        <v>57</v>
      </c>
      <c r="E2992" t="s">
        <v>86</v>
      </c>
      <c r="F2992" t="s">
        <v>58</v>
      </c>
      <c r="G2992" t="s">
        <v>59</v>
      </c>
      <c r="H2992" t="s">
        <v>60</v>
      </c>
      <c r="J2992" t="s">
        <v>86</v>
      </c>
      <c r="L2992" t="s">
        <v>74</v>
      </c>
      <c r="M2992" t="s">
        <v>63</v>
      </c>
      <c r="N2992" t="s">
        <v>64</v>
      </c>
      <c r="P2992" t="s">
        <v>1296</v>
      </c>
      <c r="R2992">
        <v>0.62</v>
      </c>
      <c r="W2992" t="s">
        <v>66</v>
      </c>
      <c r="X2992" t="s">
        <v>67</v>
      </c>
      <c r="Y2992" t="s">
        <v>67</v>
      </c>
      <c r="Z2992" t="s">
        <v>68</v>
      </c>
      <c r="AB2992">
        <v>4</v>
      </c>
      <c r="AC2992" t="s">
        <v>61</v>
      </c>
      <c r="AJ2992" t="s">
        <v>69</v>
      </c>
      <c r="AQ2992" t="s">
        <v>69</v>
      </c>
      <c r="AY2992" t="s">
        <v>2223</v>
      </c>
      <c r="AZ2992">
        <v>2071</v>
      </c>
      <c r="BA2992" t="s">
        <v>2224</v>
      </c>
      <c r="BB2992" t="s">
        <v>2225</v>
      </c>
      <c r="BC2992">
        <v>1976</v>
      </c>
      <c r="BD2992" t="s">
        <v>2226</v>
      </c>
    </row>
    <row r="2993" spans="1:56" x14ac:dyDescent="0.35">
      <c r="A2993">
        <v>7758987</v>
      </c>
      <c r="B2993" t="s">
        <v>2219</v>
      </c>
      <c r="D2993" t="s">
        <v>57</v>
      </c>
      <c r="E2993" t="s">
        <v>86</v>
      </c>
      <c r="F2993" t="s">
        <v>58</v>
      </c>
      <c r="G2993" t="s">
        <v>59</v>
      </c>
      <c r="H2993" t="s">
        <v>60</v>
      </c>
      <c r="J2993" t="s">
        <v>86</v>
      </c>
      <c r="L2993" t="s">
        <v>74</v>
      </c>
      <c r="M2993" t="s">
        <v>63</v>
      </c>
      <c r="N2993" t="s">
        <v>64</v>
      </c>
      <c r="P2993" t="s">
        <v>201</v>
      </c>
      <c r="R2993">
        <v>2.0499999999999998</v>
      </c>
      <c r="W2993" t="s">
        <v>66</v>
      </c>
      <c r="X2993" t="s">
        <v>67</v>
      </c>
      <c r="Y2993" t="s">
        <v>67</v>
      </c>
      <c r="Z2993" t="s">
        <v>68</v>
      </c>
      <c r="AB2993">
        <v>4</v>
      </c>
      <c r="AC2993" t="s">
        <v>61</v>
      </c>
      <c r="AJ2993" t="s">
        <v>69</v>
      </c>
      <c r="AY2993" t="s">
        <v>2227</v>
      </c>
      <c r="AZ2993">
        <v>5081</v>
      </c>
      <c r="BA2993" t="s">
        <v>2228</v>
      </c>
      <c r="BB2993" t="s">
        <v>2229</v>
      </c>
      <c r="BC2993">
        <v>1978</v>
      </c>
      <c r="BD2993" t="s">
        <v>90</v>
      </c>
    </row>
    <row r="2994" spans="1:56" x14ac:dyDescent="0.35">
      <c r="A2994">
        <v>7758987</v>
      </c>
      <c r="B2994" t="s">
        <v>2219</v>
      </c>
      <c r="D2994" t="s">
        <v>57</v>
      </c>
      <c r="E2994" t="s">
        <v>86</v>
      </c>
      <c r="F2994" t="s">
        <v>58</v>
      </c>
      <c r="G2994" t="s">
        <v>59</v>
      </c>
      <c r="H2994" t="s">
        <v>60</v>
      </c>
      <c r="I2994" t="s">
        <v>188</v>
      </c>
      <c r="J2994" t="s">
        <v>289</v>
      </c>
      <c r="K2994" t="s">
        <v>184</v>
      </c>
      <c r="L2994" t="s">
        <v>62</v>
      </c>
      <c r="M2994" t="s">
        <v>63</v>
      </c>
      <c r="N2994" t="s">
        <v>64</v>
      </c>
      <c r="P2994" t="s">
        <v>201</v>
      </c>
      <c r="R2994">
        <v>0.57374922500000003</v>
      </c>
      <c r="T2994">
        <v>0.46869654999999999</v>
      </c>
      <c r="V2994">
        <v>0.686882875</v>
      </c>
      <c r="W2994" t="s">
        <v>66</v>
      </c>
      <c r="X2994" t="s">
        <v>67</v>
      </c>
      <c r="Y2994" t="s">
        <v>67</v>
      </c>
      <c r="Z2994" t="s">
        <v>68</v>
      </c>
      <c r="AB2994">
        <v>4</v>
      </c>
      <c r="AC2994" t="s">
        <v>61</v>
      </c>
      <c r="AJ2994" t="s">
        <v>69</v>
      </c>
      <c r="AY2994" t="s">
        <v>2220</v>
      </c>
      <c r="AZ2994">
        <v>16342</v>
      </c>
      <c r="BA2994" t="s">
        <v>2221</v>
      </c>
      <c r="BB2994" t="s">
        <v>2222</v>
      </c>
      <c r="BC2994">
        <v>1996</v>
      </c>
      <c r="BD2994" t="s">
        <v>185</v>
      </c>
    </row>
    <row r="2995" spans="1:56" x14ac:dyDescent="0.35">
      <c r="A2995">
        <v>7758987</v>
      </c>
      <c r="B2995" t="s">
        <v>2219</v>
      </c>
      <c r="D2995" t="s">
        <v>57</v>
      </c>
      <c r="E2995" t="s">
        <v>86</v>
      </c>
      <c r="F2995" t="s">
        <v>58</v>
      </c>
      <c r="G2995" t="s">
        <v>59</v>
      </c>
      <c r="H2995" t="s">
        <v>60</v>
      </c>
      <c r="I2995" t="s">
        <v>188</v>
      </c>
      <c r="J2995" t="s">
        <v>289</v>
      </c>
      <c r="K2995" t="s">
        <v>184</v>
      </c>
      <c r="L2995" t="s">
        <v>62</v>
      </c>
      <c r="M2995" t="s">
        <v>63</v>
      </c>
      <c r="N2995" t="s">
        <v>64</v>
      </c>
      <c r="P2995" t="s">
        <v>201</v>
      </c>
      <c r="R2995">
        <v>1.2200000000000001E-2</v>
      </c>
      <c r="T2995">
        <v>1.09E-2</v>
      </c>
      <c r="V2995">
        <v>1.35E-2</v>
      </c>
      <c r="W2995" t="s">
        <v>66</v>
      </c>
      <c r="X2995" t="s">
        <v>67</v>
      </c>
      <c r="Y2995" t="s">
        <v>67</v>
      </c>
      <c r="Z2995" t="s">
        <v>68</v>
      </c>
      <c r="AB2995">
        <v>4</v>
      </c>
      <c r="AC2995" t="s">
        <v>61</v>
      </c>
      <c r="AJ2995" t="s">
        <v>69</v>
      </c>
      <c r="AY2995" t="s">
        <v>2230</v>
      </c>
      <c r="AZ2995">
        <v>17105</v>
      </c>
      <c r="BA2995" t="s">
        <v>2231</v>
      </c>
      <c r="BB2995" t="s">
        <v>2232</v>
      </c>
      <c r="BC2995">
        <v>1996</v>
      </c>
      <c r="BD2995" t="s">
        <v>185</v>
      </c>
    </row>
    <row r="2996" spans="1:56" x14ac:dyDescent="0.35">
      <c r="A2996">
        <v>7758987</v>
      </c>
      <c r="B2996" t="s">
        <v>2219</v>
      </c>
      <c r="D2996" t="s">
        <v>57</v>
      </c>
      <c r="E2996" t="s">
        <v>86</v>
      </c>
      <c r="F2996" t="s">
        <v>58</v>
      </c>
      <c r="G2996" t="s">
        <v>59</v>
      </c>
      <c r="H2996" t="s">
        <v>60</v>
      </c>
      <c r="I2996" t="s">
        <v>188</v>
      </c>
      <c r="J2996" t="s">
        <v>289</v>
      </c>
      <c r="K2996" t="s">
        <v>184</v>
      </c>
      <c r="L2996" t="s">
        <v>62</v>
      </c>
      <c r="M2996" t="s">
        <v>63</v>
      </c>
      <c r="N2996" t="s">
        <v>64</v>
      </c>
      <c r="O2996">
        <v>6</v>
      </c>
      <c r="P2996" t="s">
        <v>201</v>
      </c>
      <c r="R2996">
        <v>0.80809750000000002</v>
      </c>
      <c r="T2996">
        <v>0.71112580000000003</v>
      </c>
      <c r="V2996">
        <v>0.93739309999999998</v>
      </c>
      <c r="W2996" t="s">
        <v>66</v>
      </c>
      <c r="X2996" t="s">
        <v>67</v>
      </c>
      <c r="Y2996" t="s">
        <v>67</v>
      </c>
      <c r="Z2996" t="s">
        <v>68</v>
      </c>
      <c r="AB2996">
        <v>4</v>
      </c>
      <c r="AC2996" t="s">
        <v>61</v>
      </c>
      <c r="AJ2996" t="s">
        <v>69</v>
      </c>
      <c r="AY2996" t="s">
        <v>2233</v>
      </c>
      <c r="AZ2996">
        <v>76238</v>
      </c>
      <c r="BA2996" t="s">
        <v>2234</v>
      </c>
      <c r="BB2996" t="s">
        <v>2235</v>
      </c>
      <c r="BC2996">
        <v>1996</v>
      </c>
      <c r="BD2996" t="s">
        <v>185</v>
      </c>
    </row>
    <row r="2997" spans="1:56" x14ac:dyDescent="0.35">
      <c r="A2997">
        <v>7758987</v>
      </c>
      <c r="B2997" t="s">
        <v>2219</v>
      </c>
      <c r="C2997" t="s">
        <v>386</v>
      </c>
      <c r="D2997" t="s">
        <v>85</v>
      </c>
      <c r="E2997" t="s">
        <v>86</v>
      </c>
      <c r="F2997" t="s">
        <v>58</v>
      </c>
      <c r="G2997" t="s">
        <v>59</v>
      </c>
      <c r="H2997" t="s">
        <v>60</v>
      </c>
      <c r="J2997" t="s">
        <v>86</v>
      </c>
      <c r="L2997" t="s">
        <v>62</v>
      </c>
      <c r="M2997" t="s">
        <v>63</v>
      </c>
      <c r="N2997" t="s">
        <v>64</v>
      </c>
      <c r="P2997" t="s">
        <v>201</v>
      </c>
      <c r="R2997">
        <v>0.41</v>
      </c>
      <c r="T2997">
        <v>0.12</v>
      </c>
      <c r="V2997">
        <v>0.56000000000000005</v>
      </c>
      <c r="W2997" t="s">
        <v>66</v>
      </c>
      <c r="X2997" t="s">
        <v>67</v>
      </c>
      <c r="Y2997" t="s">
        <v>67</v>
      </c>
      <c r="Z2997" t="s">
        <v>68</v>
      </c>
      <c r="AB2997">
        <v>4</v>
      </c>
      <c r="AC2997" t="s">
        <v>61</v>
      </c>
      <c r="AJ2997" t="s">
        <v>69</v>
      </c>
      <c r="AY2997" t="s">
        <v>2131</v>
      </c>
      <c r="AZ2997">
        <v>10237</v>
      </c>
      <c r="BA2997" t="s">
        <v>2132</v>
      </c>
      <c r="BB2997" t="s">
        <v>2133</v>
      </c>
      <c r="BC2997">
        <v>1983</v>
      </c>
      <c r="BD2997" t="s">
        <v>90</v>
      </c>
    </row>
    <row r="2998" spans="1:56" x14ac:dyDescent="0.35">
      <c r="A2998">
        <v>7758987</v>
      </c>
      <c r="B2998" t="s">
        <v>2219</v>
      </c>
      <c r="D2998" t="s">
        <v>57</v>
      </c>
      <c r="E2998" t="s">
        <v>86</v>
      </c>
      <c r="F2998" t="s">
        <v>58</v>
      </c>
      <c r="G2998" t="s">
        <v>59</v>
      </c>
      <c r="H2998" t="s">
        <v>60</v>
      </c>
      <c r="I2998" t="s">
        <v>188</v>
      </c>
      <c r="J2998" t="s">
        <v>289</v>
      </c>
      <c r="K2998" t="s">
        <v>184</v>
      </c>
      <c r="L2998" t="s">
        <v>62</v>
      </c>
      <c r="M2998" t="s">
        <v>63</v>
      </c>
      <c r="N2998" t="s">
        <v>64</v>
      </c>
      <c r="P2998" t="s">
        <v>201</v>
      </c>
      <c r="R2998">
        <v>2.06E-2</v>
      </c>
      <c r="T2998">
        <v>1.8200000000000001E-2</v>
      </c>
      <c r="V2998">
        <v>2.3199999999999998E-2</v>
      </c>
      <c r="W2998" t="s">
        <v>66</v>
      </c>
      <c r="X2998" t="s">
        <v>67</v>
      </c>
      <c r="Y2998" t="s">
        <v>67</v>
      </c>
      <c r="Z2998" t="s">
        <v>68</v>
      </c>
      <c r="AB2998">
        <v>4</v>
      </c>
      <c r="AC2998" t="s">
        <v>61</v>
      </c>
      <c r="AJ2998" t="s">
        <v>69</v>
      </c>
      <c r="AY2998" t="s">
        <v>2230</v>
      </c>
      <c r="AZ2998">
        <v>17105</v>
      </c>
      <c r="BA2998" t="s">
        <v>2231</v>
      </c>
      <c r="BB2998" t="s">
        <v>2232</v>
      </c>
      <c r="BC2998">
        <v>1996</v>
      </c>
      <c r="BD2998" t="s">
        <v>185</v>
      </c>
    </row>
    <row r="2999" spans="1:56" x14ac:dyDescent="0.35">
      <c r="A2999">
        <v>7758987</v>
      </c>
      <c r="B2999" t="s">
        <v>2219</v>
      </c>
      <c r="D2999" t="s">
        <v>57</v>
      </c>
      <c r="E2999" t="s">
        <v>86</v>
      </c>
      <c r="F2999" t="s">
        <v>58</v>
      </c>
      <c r="G2999" t="s">
        <v>59</v>
      </c>
      <c r="H2999" t="s">
        <v>60</v>
      </c>
      <c r="I2999" t="s">
        <v>177</v>
      </c>
      <c r="J2999" t="s">
        <v>505</v>
      </c>
      <c r="K2999" t="s">
        <v>61</v>
      </c>
      <c r="L2999" t="s">
        <v>62</v>
      </c>
      <c r="M2999" t="s">
        <v>63</v>
      </c>
      <c r="N2999" t="s">
        <v>64</v>
      </c>
      <c r="P2999" t="s">
        <v>201</v>
      </c>
      <c r="R2999">
        <v>2.1100000000000001E-2</v>
      </c>
      <c r="T2999">
        <v>1.8100000000000002E-2</v>
      </c>
      <c r="V2999">
        <v>2.46E-2</v>
      </c>
      <c r="W2999" t="s">
        <v>66</v>
      </c>
      <c r="X2999" t="s">
        <v>67</v>
      </c>
      <c r="Y2999" t="s">
        <v>67</v>
      </c>
      <c r="Z2999" t="s">
        <v>68</v>
      </c>
      <c r="AB2999">
        <v>4</v>
      </c>
      <c r="AC2999" t="s">
        <v>61</v>
      </c>
      <c r="AJ2999" t="s">
        <v>69</v>
      </c>
      <c r="AY2999" t="s">
        <v>2236</v>
      </c>
      <c r="AZ2999">
        <v>8034</v>
      </c>
      <c r="BA2999" t="s">
        <v>2237</v>
      </c>
      <c r="BB2999" t="s">
        <v>2238</v>
      </c>
      <c r="BC2999">
        <v>1993</v>
      </c>
      <c r="BD2999" t="s">
        <v>73</v>
      </c>
    </row>
    <row r="3000" spans="1:56" x14ac:dyDescent="0.35">
      <c r="A3000">
        <v>7758987</v>
      </c>
      <c r="B3000" t="s">
        <v>2219</v>
      </c>
      <c r="D3000" t="s">
        <v>57</v>
      </c>
      <c r="E3000" t="s">
        <v>86</v>
      </c>
      <c r="F3000" t="s">
        <v>58</v>
      </c>
      <c r="G3000" t="s">
        <v>59</v>
      </c>
      <c r="H3000" t="s">
        <v>60</v>
      </c>
      <c r="I3000" t="s">
        <v>188</v>
      </c>
      <c r="J3000" t="s">
        <v>289</v>
      </c>
      <c r="K3000" t="s">
        <v>184</v>
      </c>
      <c r="L3000" t="s">
        <v>62</v>
      </c>
      <c r="M3000" t="s">
        <v>63</v>
      </c>
      <c r="N3000" t="s">
        <v>64</v>
      </c>
      <c r="O3000">
        <v>6</v>
      </c>
      <c r="P3000" t="s">
        <v>201</v>
      </c>
      <c r="R3000">
        <v>0.48485850000000003</v>
      </c>
      <c r="T3000">
        <v>0.40404875000000001</v>
      </c>
      <c r="V3000">
        <v>0.58183019999999996</v>
      </c>
      <c r="W3000" t="s">
        <v>66</v>
      </c>
      <c r="X3000" t="s">
        <v>67</v>
      </c>
      <c r="Y3000" t="s">
        <v>67</v>
      </c>
      <c r="Z3000" t="s">
        <v>68</v>
      </c>
      <c r="AB3000">
        <v>4</v>
      </c>
      <c r="AC3000" t="s">
        <v>61</v>
      </c>
      <c r="AJ3000" t="s">
        <v>69</v>
      </c>
      <c r="AY3000" t="s">
        <v>2233</v>
      </c>
      <c r="AZ3000">
        <v>76238</v>
      </c>
      <c r="BA3000" t="s">
        <v>2234</v>
      </c>
      <c r="BB3000" t="s">
        <v>2235</v>
      </c>
      <c r="BC3000">
        <v>1996</v>
      </c>
      <c r="BD3000" t="s">
        <v>185</v>
      </c>
    </row>
    <row r="3001" spans="1:56" x14ac:dyDescent="0.35">
      <c r="A3001">
        <v>7758987</v>
      </c>
      <c r="B3001" t="s">
        <v>2219</v>
      </c>
      <c r="D3001" t="s">
        <v>85</v>
      </c>
      <c r="E3001" t="s">
        <v>86</v>
      </c>
      <c r="F3001" t="s">
        <v>58</v>
      </c>
      <c r="G3001" t="s">
        <v>59</v>
      </c>
      <c r="H3001" t="s">
        <v>60</v>
      </c>
      <c r="J3001" t="s">
        <v>86</v>
      </c>
      <c r="K3001" t="s">
        <v>61</v>
      </c>
      <c r="L3001" t="s">
        <v>2239</v>
      </c>
      <c r="M3001" t="s">
        <v>63</v>
      </c>
      <c r="N3001" t="s">
        <v>64</v>
      </c>
      <c r="O3001">
        <v>6</v>
      </c>
      <c r="P3001" t="s">
        <v>201</v>
      </c>
      <c r="R3001">
        <v>0.48699999999999999</v>
      </c>
      <c r="W3001" t="s">
        <v>66</v>
      </c>
      <c r="X3001" t="s">
        <v>67</v>
      </c>
      <c r="Y3001" t="s">
        <v>67</v>
      </c>
      <c r="Z3001" t="s">
        <v>68</v>
      </c>
      <c r="AB3001">
        <v>4</v>
      </c>
      <c r="AC3001" t="s">
        <v>61</v>
      </c>
      <c r="AJ3001" t="s">
        <v>69</v>
      </c>
      <c r="AY3001" t="s">
        <v>2240</v>
      </c>
      <c r="AZ3001">
        <v>152780</v>
      </c>
      <c r="BA3001" t="s">
        <v>2241</v>
      </c>
      <c r="BB3001" t="s">
        <v>2242</v>
      </c>
      <c r="BC3001">
        <v>1985</v>
      </c>
      <c r="BD3001" t="s">
        <v>2243</v>
      </c>
    </row>
    <row r="3002" spans="1:56" x14ac:dyDescent="0.35">
      <c r="A3002">
        <v>7758987</v>
      </c>
      <c r="B3002" t="s">
        <v>2219</v>
      </c>
      <c r="D3002" t="s">
        <v>57</v>
      </c>
      <c r="E3002" t="s">
        <v>86</v>
      </c>
      <c r="F3002" t="s">
        <v>58</v>
      </c>
      <c r="G3002" t="s">
        <v>59</v>
      </c>
      <c r="H3002" t="s">
        <v>60</v>
      </c>
      <c r="I3002" t="s">
        <v>188</v>
      </c>
      <c r="J3002" t="s">
        <v>289</v>
      </c>
      <c r="K3002" t="s">
        <v>184</v>
      </c>
      <c r="L3002" t="s">
        <v>74</v>
      </c>
      <c r="M3002" t="s">
        <v>63</v>
      </c>
      <c r="N3002" t="s">
        <v>64</v>
      </c>
      <c r="O3002">
        <v>6</v>
      </c>
      <c r="P3002" t="s">
        <v>201</v>
      </c>
      <c r="R3002">
        <v>1.2121462499999999E-2</v>
      </c>
      <c r="T3002">
        <v>1.1313365000000001E-2</v>
      </c>
      <c r="V3002">
        <v>1.292956E-2</v>
      </c>
      <c r="W3002" t="s">
        <v>66</v>
      </c>
      <c r="X3002" t="s">
        <v>67</v>
      </c>
      <c r="Y3002" t="s">
        <v>67</v>
      </c>
      <c r="Z3002" t="s">
        <v>68</v>
      </c>
      <c r="AB3002">
        <v>4</v>
      </c>
      <c r="AC3002" t="s">
        <v>61</v>
      </c>
      <c r="AJ3002" t="s">
        <v>69</v>
      </c>
      <c r="AY3002" t="s">
        <v>2233</v>
      </c>
      <c r="AZ3002">
        <v>76238</v>
      </c>
      <c r="BA3002" t="s">
        <v>2234</v>
      </c>
      <c r="BB3002" t="s">
        <v>2235</v>
      </c>
      <c r="BC3002">
        <v>1996</v>
      </c>
      <c r="BD3002" t="s">
        <v>185</v>
      </c>
    </row>
    <row r="3003" spans="1:56" x14ac:dyDescent="0.35">
      <c r="A3003">
        <v>7758987</v>
      </c>
      <c r="B3003" t="s">
        <v>2219</v>
      </c>
      <c r="D3003" t="s">
        <v>57</v>
      </c>
      <c r="E3003" t="s">
        <v>86</v>
      </c>
      <c r="F3003" t="s">
        <v>58</v>
      </c>
      <c r="G3003" t="s">
        <v>59</v>
      </c>
      <c r="H3003" t="s">
        <v>60</v>
      </c>
      <c r="J3003" t="s">
        <v>86</v>
      </c>
      <c r="L3003" t="s">
        <v>62</v>
      </c>
      <c r="M3003" t="s">
        <v>63</v>
      </c>
      <c r="N3003" t="s">
        <v>64</v>
      </c>
      <c r="P3003" t="s">
        <v>1296</v>
      </c>
      <c r="R3003">
        <v>0.76</v>
      </c>
      <c r="W3003" t="s">
        <v>66</v>
      </c>
      <c r="X3003" t="s">
        <v>67</v>
      </c>
      <c r="Y3003" t="s">
        <v>67</v>
      </c>
      <c r="Z3003" t="s">
        <v>68</v>
      </c>
      <c r="AB3003">
        <v>4</v>
      </c>
      <c r="AC3003" t="s">
        <v>61</v>
      </c>
      <c r="AJ3003" t="s">
        <v>69</v>
      </c>
      <c r="AQ3003" t="s">
        <v>69</v>
      </c>
      <c r="AY3003" t="s">
        <v>2223</v>
      </c>
      <c r="AZ3003">
        <v>2071</v>
      </c>
      <c r="BA3003" t="s">
        <v>2224</v>
      </c>
      <c r="BB3003" t="s">
        <v>2225</v>
      </c>
      <c r="BC3003">
        <v>1976</v>
      </c>
      <c r="BD3003" t="s">
        <v>2244</v>
      </c>
    </row>
    <row r="3004" spans="1:56" x14ac:dyDescent="0.35">
      <c r="A3004">
        <v>7758987</v>
      </c>
      <c r="B3004" t="s">
        <v>2219</v>
      </c>
      <c r="D3004" t="s">
        <v>57</v>
      </c>
      <c r="E3004" t="s">
        <v>86</v>
      </c>
      <c r="F3004" t="s">
        <v>58</v>
      </c>
      <c r="G3004" t="s">
        <v>59</v>
      </c>
      <c r="H3004" t="s">
        <v>60</v>
      </c>
      <c r="I3004" t="s">
        <v>188</v>
      </c>
      <c r="J3004" t="s">
        <v>289</v>
      </c>
      <c r="K3004" t="s">
        <v>184</v>
      </c>
      <c r="L3004" t="s">
        <v>62</v>
      </c>
      <c r="M3004" t="s">
        <v>63</v>
      </c>
      <c r="N3004" t="s">
        <v>64</v>
      </c>
      <c r="P3004" t="s">
        <v>201</v>
      </c>
      <c r="R3004">
        <v>0.37980582499999999</v>
      </c>
      <c r="T3004">
        <v>0.30707705000000002</v>
      </c>
      <c r="V3004">
        <v>0.46869654999999999</v>
      </c>
      <c r="W3004" t="s">
        <v>66</v>
      </c>
      <c r="X3004" t="s">
        <v>67</v>
      </c>
      <c r="Y3004" t="s">
        <v>67</v>
      </c>
      <c r="Z3004" t="s">
        <v>68</v>
      </c>
      <c r="AB3004">
        <v>4</v>
      </c>
      <c r="AC3004" t="s">
        <v>61</v>
      </c>
      <c r="AJ3004" t="s">
        <v>69</v>
      </c>
      <c r="AY3004" t="s">
        <v>2220</v>
      </c>
      <c r="AZ3004">
        <v>16342</v>
      </c>
      <c r="BA3004" t="s">
        <v>2221</v>
      </c>
      <c r="BB3004" t="s">
        <v>2222</v>
      </c>
      <c r="BC3004">
        <v>1996</v>
      </c>
      <c r="BD3004" t="s">
        <v>185</v>
      </c>
    </row>
    <row r="3005" spans="1:56" x14ac:dyDescent="0.35">
      <c r="A3005">
        <v>7758987</v>
      </c>
      <c r="B3005" t="s">
        <v>2219</v>
      </c>
      <c r="D3005" t="s">
        <v>57</v>
      </c>
      <c r="E3005" t="s">
        <v>86</v>
      </c>
      <c r="F3005" t="s">
        <v>58</v>
      </c>
      <c r="G3005" t="s">
        <v>59</v>
      </c>
      <c r="H3005" t="s">
        <v>60</v>
      </c>
      <c r="I3005" t="s">
        <v>188</v>
      </c>
      <c r="J3005" t="s">
        <v>289</v>
      </c>
      <c r="K3005" t="s">
        <v>184</v>
      </c>
      <c r="L3005" t="s">
        <v>74</v>
      </c>
      <c r="M3005" t="s">
        <v>63</v>
      </c>
      <c r="N3005" t="s">
        <v>64</v>
      </c>
      <c r="O3005">
        <v>6</v>
      </c>
      <c r="P3005" t="s">
        <v>201</v>
      </c>
      <c r="R3005">
        <v>3.5556289999999997E-2</v>
      </c>
      <c r="T3005">
        <v>3.0707704999999998E-2</v>
      </c>
      <c r="V3005">
        <v>4.0404875E-2</v>
      </c>
      <c r="W3005" t="s">
        <v>66</v>
      </c>
      <c r="X3005" t="s">
        <v>67</v>
      </c>
      <c r="Y3005" t="s">
        <v>67</v>
      </c>
      <c r="Z3005" t="s">
        <v>68</v>
      </c>
      <c r="AB3005">
        <v>4</v>
      </c>
      <c r="AC3005" t="s">
        <v>61</v>
      </c>
      <c r="AJ3005" t="s">
        <v>69</v>
      </c>
      <c r="AY3005" t="s">
        <v>2233</v>
      </c>
      <c r="AZ3005">
        <v>76238</v>
      </c>
      <c r="BA3005" t="s">
        <v>2234</v>
      </c>
      <c r="BB3005" t="s">
        <v>2235</v>
      </c>
      <c r="BC3005">
        <v>1996</v>
      </c>
      <c r="BD3005" t="s">
        <v>185</v>
      </c>
    </row>
    <row r="3006" spans="1:56" x14ac:dyDescent="0.35">
      <c r="A3006">
        <v>7758987</v>
      </c>
      <c r="B3006" t="s">
        <v>2219</v>
      </c>
      <c r="D3006" t="s">
        <v>57</v>
      </c>
      <c r="E3006" t="s">
        <v>86</v>
      </c>
      <c r="F3006" t="s">
        <v>58</v>
      </c>
      <c r="G3006" t="s">
        <v>59</v>
      </c>
      <c r="H3006" t="s">
        <v>60</v>
      </c>
      <c r="I3006" t="s">
        <v>188</v>
      </c>
      <c r="J3006" t="s">
        <v>289</v>
      </c>
      <c r="K3006" t="s">
        <v>184</v>
      </c>
      <c r="L3006" t="s">
        <v>74</v>
      </c>
      <c r="M3006" t="s">
        <v>63</v>
      </c>
      <c r="N3006" t="s">
        <v>64</v>
      </c>
      <c r="P3006" t="s">
        <v>201</v>
      </c>
      <c r="R3006">
        <v>0.77577359999999995</v>
      </c>
      <c r="W3006" t="s">
        <v>66</v>
      </c>
      <c r="X3006" t="s">
        <v>67</v>
      </c>
      <c r="Y3006" t="s">
        <v>67</v>
      </c>
      <c r="Z3006" t="s">
        <v>68</v>
      </c>
      <c r="AB3006">
        <v>4</v>
      </c>
      <c r="AC3006" t="s">
        <v>61</v>
      </c>
      <c r="AJ3006" t="s">
        <v>69</v>
      </c>
      <c r="AY3006" t="s">
        <v>2220</v>
      </c>
      <c r="AZ3006">
        <v>16342</v>
      </c>
      <c r="BA3006" t="s">
        <v>2221</v>
      </c>
      <c r="BB3006" t="s">
        <v>2222</v>
      </c>
      <c r="BC3006">
        <v>1996</v>
      </c>
      <c r="BD3006" t="s">
        <v>185</v>
      </c>
    </row>
    <row r="3007" spans="1:56" x14ac:dyDescent="0.35">
      <c r="A3007">
        <v>7758987</v>
      </c>
      <c r="B3007" t="s">
        <v>2219</v>
      </c>
      <c r="D3007" t="s">
        <v>57</v>
      </c>
      <c r="E3007" t="s">
        <v>86</v>
      </c>
      <c r="F3007" t="s">
        <v>58</v>
      </c>
      <c r="G3007" t="s">
        <v>59</v>
      </c>
      <c r="H3007" t="s">
        <v>60</v>
      </c>
      <c r="I3007" t="s">
        <v>188</v>
      </c>
      <c r="J3007" t="s">
        <v>289</v>
      </c>
      <c r="K3007" t="s">
        <v>184</v>
      </c>
      <c r="L3007" t="s">
        <v>62</v>
      </c>
      <c r="M3007" t="s">
        <v>63</v>
      </c>
      <c r="N3007" t="s">
        <v>64</v>
      </c>
      <c r="O3007">
        <v>6</v>
      </c>
      <c r="P3007" t="s">
        <v>201</v>
      </c>
      <c r="R3007">
        <v>0.51718240000000004</v>
      </c>
      <c r="T3007">
        <v>0.43637264999999997</v>
      </c>
      <c r="V3007">
        <v>0.59799214999999994</v>
      </c>
      <c r="W3007" t="s">
        <v>66</v>
      </c>
      <c r="X3007" t="s">
        <v>67</v>
      </c>
      <c r="Y3007" t="s">
        <v>67</v>
      </c>
      <c r="Z3007" t="s">
        <v>68</v>
      </c>
      <c r="AB3007">
        <v>4</v>
      </c>
      <c r="AC3007" t="s">
        <v>61</v>
      </c>
      <c r="AJ3007" t="s">
        <v>69</v>
      </c>
      <c r="AY3007" t="s">
        <v>2233</v>
      </c>
      <c r="AZ3007">
        <v>76238</v>
      </c>
      <c r="BA3007" t="s">
        <v>2234</v>
      </c>
      <c r="BB3007" t="s">
        <v>2235</v>
      </c>
      <c r="BC3007">
        <v>1996</v>
      </c>
      <c r="BD3007" t="s">
        <v>185</v>
      </c>
    </row>
    <row r="3008" spans="1:56" x14ac:dyDescent="0.35">
      <c r="A3008">
        <v>7758987</v>
      </c>
      <c r="B3008" t="s">
        <v>2219</v>
      </c>
      <c r="D3008" t="s">
        <v>85</v>
      </c>
      <c r="E3008">
        <v>25.5</v>
      </c>
      <c r="F3008" t="s">
        <v>58</v>
      </c>
      <c r="G3008" t="s">
        <v>59</v>
      </c>
      <c r="H3008" t="s">
        <v>60</v>
      </c>
      <c r="J3008" t="s">
        <v>86</v>
      </c>
      <c r="L3008" t="s">
        <v>62</v>
      </c>
      <c r="M3008" t="s">
        <v>63</v>
      </c>
      <c r="N3008" t="s">
        <v>64</v>
      </c>
      <c r="O3008">
        <v>7</v>
      </c>
      <c r="P3008" t="s">
        <v>201</v>
      </c>
      <c r="R3008">
        <v>0.63</v>
      </c>
      <c r="T3008">
        <v>0.3</v>
      </c>
      <c r="V3008">
        <v>0.9</v>
      </c>
      <c r="W3008" t="s">
        <v>66</v>
      </c>
      <c r="X3008" t="s">
        <v>67</v>
      </c>
      <c r="Y3008" t="s">
        <v>67</v>
      </c>
      <c r="Z3008" t="s">
        <v>68</v>
      </c>
      <c r="AB3008">
        <v>4</v>
      </c>
      <c r="AC3008" t="s">
        <v>61</v>
      </c>
      <c r="AJ3008" t="s">
        <v>69</v>
      </c>
      <c r="AY3008" t="s">
        <v>314</v>
      </c>
      <c r="AZ3008">
        <v>73668</v>
      </c>
      <c r="BA3008" t="s">
        <v>315</v>
      </c>
      <c r="BB3008" t="s">
        <v>316</v>
      </c>
      <c r="BC3008">
        <v>1995</v>
      </c>
      <c r="BD3008" t="s">
        <v>90</v>
      </c>
    </row>
    <row r="3009" spans="1:56" x14ac:dyDescent="0.35">
      <c r="A3009">
        <v>7758987</v>
      </c>
      <c r="B3009" t="s">
        <v>2219</v>
      </c>
      <c r="D3009" t="s">
        <v>57</v>
      </c>
      <c r="E3009" t="s">
        <v>86</v>
      </c>
      <c r="F3009" t="s">
        <v>58</v>
      </c>
      <c r="G3009" t="s">
        <v>59</v>
      </c>
      <c r="H3009" t="s">
        <v>60</v>
      </c>
      <c r="I3009" t="s">
        <v>177</v>
      </c>
      <c r="J3009" t="s">
        <v>505</v>
      </c>
      <c r="K3009" t="s">
        <v>61</v>
      </c>
      <c r="L3009" t="s">
        <v>62</v>
      </c>
      <c r="M3009" t="s">
        <v>63</v>
      </c>
      <c r="N3009" t="s">
        <v>64</v>
      </c>
      <c r="P3009" t="s">
        <v>201</v>
      </c>
      <c r="R3009">
        <v>1.5100000000000001E-2</v>
      </c>
      <c r="T3009">
        <v>1.21E-2</v>
      </c>
      <c r="V3009">
        <v>1.8800000000000001E-2</v>
      </c>
      <c r="W3009" t="s">
        <v>66</v>
      </c>
      <c r="X3009" t="s">
        <v>67</v>
      </c>
      <c r="Y3009" t="s">
        <v>67</v>
      </c>
      <c r="Z3009" t="s">
        <v>68</v>
      </c>
      <c r="AB3009">
        <v>4</v>
      </c>
      <c r="AC3009" t="s">
        <v>61</v>
      </c>
      <c r="AJ3009" t="s">
        <v>69</v>
      </c>
      <c r="AY3009" t="s">
        <v>2236</v>
      </c>
      <c r="AZ3009">
        <v>8034</v>
      </c>
      <c r="BA3009" t="s">
        <v>2237</v>
      </c>
      <c r="BB3009" t="s">
        <v>2238</v>
      </c>
      <c r="BC3009">
        <v>1993</v>
      </c>
      <c r="BD3009" t="s">
        <v>73</v>
      </c>
    </row>
    <row r="3010" spans="1:56" x14ac:dyDescent="0.35">
      <c r="A3010">
        <v>7758987</v>
      </c>
      <c r="B3010" t="s">
        <v>2219</v>
      </c>
      <c r="D3010" t="s">
        <v>85</v>
      </c>
      <c r="E3010" t="s">
        <v>86</v>
      </c>
      <c r="F3010" t="s">
        <v>58</v>
      </c>
      <c r="G3010" t="s">
        <v>59</v>
      </c>
      <c r="H3010" t="s">
        <v>60</v>
      </c>
      <c r="I3010" t="s">
        <v>188</v>
      </c>
      <c r="J3010" t="s">
        <v>289</v>
      </c>
      <c r="K3010" t="s">
        <v>184</v>
      </c>
      <c r="L3010" t="s">
        <v>190</v>
      </c>
      <c r="M3010" t="s">
        <v>63</v>
      </c>
      <c r="N3010" t="s">
        <v>64</v>
      </c>
      <c r="O3010">
        <v>6</v>
      </c>
      <c r="P3010" t="s">
        <v>1296</v>
      </c>
      <c r="R3010">
        <v>9.6600000000000005E-2</v>
      </c>
      <c r="T3010">
        <v>6.8599999999999994E-2</v>
      </c>
      <c r="V3010">
        <v>0.13469999999999999</v>
      </c>
      <c r="W3010" t="s">
        <v>66</v>
      </c>
      <c r="X3010" t="s">
        <v>67</v>
      </c>
      <c r="Y3010" t="s">
        <v>67</v>
      </c>
      <c r="Z3010" t="s">
        <v>68</v>
      </c>
      <c r="AB3010">
        <v>4</v>
      </c>
      <c r="AC3010" t="s">
        <v>61</v>
      </c>
      <c r="AJ3010" t="s">
        <v>69</v>
      </c>
      <c r="AY3010" t="s">
        <v>2245</v>
      </c>
      <c r="AZ3010">
        <v>80428</v>
      </c>
      <c r="BA3010" t="s">
        <v>2246</v>
      </c>
      <c r="BB3010" t="s">
        <v>2247</v>
      </c>
      <c r="BC3010">
        <v>2004</v>
      </c>
      <c r="BD3010" t="s">
        <v>185</v>
      </c>
    </row>
    <row r="3011" spans="1:56" x14ac:dyDescent="0.35">
      <c r="A3011">
        <v>7758987</v>
      </c>
      <c r="B3011" t="s">
        <v>2219</v>
      </c>
      <c r="D3011" t="s">
        <v>57</v>
      </c>
      <c r="E3011" t="s">
        <v>86</v>
      </c>
      <c r="F3011" t="s">
        <v>58</v>
      </c>
      <c r="G3011" t="s">
        <v>59</v>
      </c>
      <c r="H3011" t="s">
        <v>60</v>
      </c>
      <c r="I3011" t="s">
        <v>188</v>
      </c>
      <c r="J3011" t="s">
        <v>289</v>
      </c>
      <c r="K3011" t="s">
        <v>184</v>
      </c>
      <c r="L3011" t="s">
        <v>62</v>
      </c>
      <c r="M3011" t="s">
        <v>63</v>
      </c>
      <c r="N3011" t="s">
        <v>64</v>
      </c>
      <c r="P3011" t="s">
        <v>201</v>
      </c>
      <c r="R3011">
        <v>0.34748192500000002</v>
      </c>
      <c r="T3011">
        <v>0.25859120000000002</v>
      </c>
      <c r="V3011">
        <v>0.460615575</v>
      </c>
      <c r="W3011" t="s">
        <v>66</v>
      </c>
      <c r="X3011" t="s">
        <v>67</v>
      </c>
      <c r="Y3011" t="s">
        <v>67</v>
      </c>
      <c r="Z3011" t="s">
        <v>68</v>
      </c>
      <c r="AB3011">
        <v>4</v>
      </c>
      <c r="AC3011" t="s">
        <v>61</v>
      </c>
      <c r="AJ3011" t="s">
        <v>69</v>
      </c>
      <c r="AY3011" t="s">
        <v>2220</v>
      </c>
      <c r="AZ3011">
        <v>16342</v>
      </c>
      <c r="BA3011" t="s">
        <v>2221</v>
      </c>
      <c r="BB3011" t="s">
        <v>2222</v>
      </c>
      <c r="BC3011">
        <v>1996</v>
      </c>
      <c r="BD3011" t="s">
        <v>185</v>
      </c>
    </row>
    <row r="3012" spans="1:56" x14ac:dyDescent="0.35">
      <c r="A3012">
        <v>7758987</v>
      </c>
      <c r="B3012" t="s">
        <v>2219</v>
      </c>
      <c r="D3012" t="s">
        <v>57</v>
      </c>
      <c r="E3012" t="s">
        <v>86</v>
      </c>
      <c r="F3012" t="s">
        <v>58</v>
      </c>
      <c r="G3012" t="s">
        <v>59</v>
      </c>
      <c r="H3012" t="s">
        <v>60</v>
      </c>
      <c r="I3012" t="s">
        <v>188</v>
      </c>
      <c r="J3012" t="s">
        <v>289</v>
      </c>
      <c r="K3012" t="s">
        <v>184</v>
      </c>
      <c r="L3012" t="s">
        <v>62</v>
      </c>
      <c r="M3012" t="s">
        <v>63</v>
      </c>
      <c r="N3012" t="s">
        <v>64</v>
      </c>
      <c r="P3012" t="s">
        <v>201</v>
      </c>
      <c r="R3012">
        <v>0.50102044999999995</v>
      </c>
      <c r="T3012">
        <v>0.44445362500000002</v>
      </c>
      <c r="V3012">
        <v>0.57374922500000003</v>
      </c>
      <c r="W3012" t="s">
        <v>66</v>
      </c>
      <c r="X3012" t="s">
        <v>67</v>
      </c>
      <c r="Y3012" t="s">
        <v>67</v>
      </c>
      <c r="Z3012" t="s">
        <v>68</v>
      </c>
      <c r="AB3012">
        <v>4</v>
      </c>
      <c r="AC3012" t="s">
        <v>61</v>
      </c>
      <c r="AJ3012" t="s">
        <v>69</v>
      </c>
      <c r="AY3012" t="s">
        <v>2220</v>
      </c>
      <c r="AZ3012">
        <v>16342</v>
      </c>
      <c r="BA3012" t="s">
        <v>2221</v>
      </c>
      <c r="BB3012" t="s">
        <v>2222</v>
      </c>
      <c r="BC3012">
        <v>1996</v>
      </c>
      <c r="BD3012" t="s">
        <v>185</v>
      </c>
    </row>
    <row r="3013" spans="1:56" x14ac:dyDescent="0.35">
      <c r="A3013">
        <v>7758987</v>
      </c>
      <c r="B3013" t="s">
        <v>2219</v>
      </c>
      <c r="D3013" t="s">
        <v>57</v>
      </c>
      <c r="E3013" t="s">
        <v>86</v>
      </c>
      <c r="F3013" t="s">
        <v>58</v>
      </c>
      <c r="G3013" t="s">
        <v>59</v>
      </c>
      <c r="H3013" t="s">
        <v>60</v>
      </c>
      <c r="J3013" t="s">
        <v>86</v>
      </c>
      <c r="L3013" t="s">
        <v>62</v>
      </c>
      <c r="M3013" t="s">
        <v>63</v>
      </c>
      <c r="N3013" t="s">
        <v>64</v>
      </c>
      <c r="P3013" t="s">
        <v>1296</v>
      </c>
      <c r="R3013">
        <v>0.6</v>
      </c>
      <c r="W3013" t="s">
        <v>66</v>
      </c>
      <c r="X3013" t="s">
        <v>67</v>
      </c>
      <c r="Y3013" t="s">
        <v>67</v>
      </c>
      <c r="Z3013" t="s">
        <v>68</v>
      </c>
      <c r="AB3013">
        <v>4</v>
      </c>
      <c r="AC3013" t="s">
        <v>61</v>
      </c>
      <c r="AJ3013" t="s">
        <v>69</v>
      </c>
      <c r="AQ3013" t="s">
        <v>69</v>
      </c>
      <c r="AY3013" t="s">
        <v>2223</v>
      </c>
      <c r="AZ3013">
        <v>2071</v>
      </c>
      <c r="BA3013" t="s">
        <v>2224</v>
      </c>
      <c r="BB3013" t="s">
        <v>2225</v>
      </c>
      <c r="BC3013">
        <v>1976</v>
      </c>
      <c r="BD3013" t="s">
        <v>2248</v>
      </c>
    </row>
    <row r="3014" spans="1:56" x14ac:dyDescent="0.35">
      <c r="A3014">
        <v>7758987</v>
      </c>
      <c r="B3014" t="s">
        <v>2219</v>
      </c>
      <c r="D3014" t="s">
        <v>57</v>
      </c>
      <c r="E3014" t="s">
        <v>86</v>
      </c>
      <c r="F3014" t="s">
        <v>58</v>
      </c>
      <c r="G3014" t="s">
        <v>59</v>
      </c>
      <c r="H3014" t="s">
        <v>60</v>
      </c>
      <c r="I3014" t="s">
        <v>188</v>
      </c>
      <c r="J3014" t="s">
        <v>289</v>
      </c>
      <c r="K3014" t="s">
        <v>184</v>
      </c>
      <c r="L3014" t="s">
        <v>62</v>
      </c>
      <c r="M3014" t="s">
        <v>63</v>
      </c>
      <c r="N3014" t="s">
        <v>64</v>
      </c>
      <c r="P3014" t="s">
        <v>201</v>
      </c>
      <c r="R3014">
        <v>2.6100000000000002E-2</v>
      </c>
      <c r="T3014">
        <v>2.1399999999999999E-2</v>
      </c>
      <c r="V3014">
        <v>3.1800000000000002E-2</v>
      </c>
      <c r="W3014" t="s">
        <v>66</v>
      </c>
      <c r="X3014" t="s">
        <v>67</v>
      </c>
      <c r="Y3014" t="s">
        <v>67</v>
      </c>
      <c r="Z3014" t="s">
        <v>68</v>
      </c>
      <c r="AB3014">
        <v>4</v>
      </c>
      <c r="AC3014" t="s">
        <v>61</v>
      </c>
      <c r="AJ3014" t="s">
        <v>69</v>
      </c>
      <c r="AY3014" t="s">
        <v>2230</v>
      </c>
      <c r="AZ3014">
        <v>17105</v>
      </c>
      <c r="BA3014" t="s">
        <v>2231</v>
      </c>
      <c r="BB3014" t="s">
        <v>2232</v>
      </c>
      <c r="BC3014">
        <v>1996</v>
      </c>
      <c r="BD3014" t="s">
        <v>185</v>
      </c>
    </row>
    <row r="3015" spans="1:56" x14ac:dyDescent="0.35">
      <c r="A3015">
        <v>7758987</v>
      </c>
      <c r="B3015" t="s">
        <v>2219</v>
      </c>
      <c r="D3015" t="s">
        <v>57</v>
      </c>
      <c r="E3015" t="s">
        <v>86</v>
      </c>
      <c r="F3015" t="s">
        <v>58</v>
      </c>
      <c r="G3015" t="s">
        <v>59</v>
      </c>
      <c r="H3015" t="s">
        <v>60</v>
      </c>
      <c r="I3015" t="s">
        <v>188</v>
      </c>
      <c r="J3015" t="s">
        <v>289</v>
      </c>
      <c r="K3015" t="s">
        <v>184</v>
      </c>
      <c r="L3015" t="s">
        <v>62</v>
      </c>
      <c r="M3015" t="s">
        <v>63</v>
      </c>
      <c r="N3015" t="s">
        <v>64</v>
      </c>
      <c r="O3015">
        <v>6</v>
      </c>
      <c r="P3015" t="s">
        <v>201</v>
      </c>
      <c r="R3015">
        <v>5.6566825000000001E-2</v>
      </c>
      <c r="T3015">
        <v>4.5253460000000002E-2</v>
      </c>
      <c r="V3015">
        <v>6.7880190000000007E-2</v>
      </c>
      <c r="W3015" t="s">
        <v>66</v>
      </c>
      <c r="X3015" t="s">
        <v>67</v>
      </c>
      <c r="Y3015" t="s">
        <v>67</v>
      </c>
      <c r="Z3015" t="s">
        <v>68</v>
      </c>
      <c r="AB3015">
        <v>4</v>
      </c>
      <c r="AC3015" t="s">
        <v>61</v>
      </c>
      <c r="AJ3015" t="s">
        <v>69</v>
      </c>
      <c r="AY3015" t="s">
        <v>2233</v>
      </c>
      <c r="AZ3015">
        <v>76238</v>
      </c>
      <c r="BA3015" t="s">
        <v>2234</v>
      </c>
      <c r="BB3015" t="s">
        <v>2235</v>
      </c>
      <c r="BC3015">
        <v>1996</v>
      </c>
      <c r="BD3015" t="s">
        <v>185</v>
      </c>
    </row>
    <row r="3016" spans="1:56" x14ac:dyDescent="0.35">
      <c r="A3016">
        <v>7758987</v>
      </c>
      <c r="B3016" t="s">
        <v>2219</v>
      </c>
      <c r="D3016" t="s">
        <v>57</v>
      </c>
      <c r="E3016" t="s">
        <v>86</v>
      </c>
      <c r="F3016" t="s">
        <v>58</v>
      </c>
      <c r="G3016" t="s">
        <v>59</v>
      </c>
      <c r="H3016" t="s">
        <v>60</v>
      </c>
      <c r="I3016" t="s">
        <v>188</v>
      </c>
      <c r="J3016" t="s">
        <v>289</v>
      </c>
      <c r="K3016" t="s">
        <v>184</v>
      </c>
      <c r="L3016" t="s">
        <v>74</v>
      </c>
      <c r="M3016" t="s">
        <v>63</v>
      </c>
      <c r="N3016" t="s">
        <v>64</v>
      </c>
      <c r="P3016" t="s">
        <v>201</v>
      </c>
      <c r="R3016">
        <v>0.21657013</v>
      </c>
      <c r="T3016">
        <v>0.18747862000000001</v>
      </c>
      <c r="V3016">
        <v>0.24566163999999999</v>
      </c>
      <c r="W3016" t="s">
        <v>66</v>
      </c>
      <c r="X3016" t="s">
        <v>67</v>
      </c>
      <c r="Y3016" t="s">
        <v>67</v>
      </c>
      <c r="Z3016" t="s">
        <v>68</v>
      </c>
      <c r="AB3016">
        <v>4</v>
      </c>
      <c r="AC3016" t="s">
        <v>61</v>
      </c>
      <c r="AJ3016" t="s">
        <v>69</v>
      </c>
      <c r="AY3016" t="s">
        <v>2220</v>
      </c>
      <c r="AZ3016">
        <v>16342</v>
      </c>
      <c r="BA3016" t="s">
        <v>2221</v>
      </c>
      <c r="BB3016" t="s">
        <v>2222</v>
      </c>
      <c r="BC3016">
        <v>1996</v>
      </c>
      <c r="BD3016" t="s">
        <v>185</v>
      </c>
    </row>
    <row r="3017" spans="1:56" x14ac:dyDescent="0.35">
      <c r="A3017">
        <v>7758987</v>
      </c>
      <c r="B3017" t="s">
        <v>2219</v>
      </c>
      <c r="D3017" t="s">
        <v>57</v>
      </c>
      <c r="E3017" t="s">
        <v>86</v>
      </c>
      <c r="F3017" t="s">
        <v>58</v>
      </c>
      <c r="G3017" t="s">
        <v>59</v>
      </c>
      <c r="H3017" t="s">
        <v>60</v>
      </c>
      <c r="I3017" t="s">
        <v>188</v>
      </c>
      <c r="J3017" t="s">
        <v>289</v>
      </c>
      <c r="K3017" t="s">
        <v>184</v>
      </c>
      <c r="L3017" t="s">
        <v>62</v>
      </c>
      <c r="M3017" t="s">
        <v>63</v>
      </c>
      <c r="N3017" t="s">
        <v>64</v>
      </c>
      <c r="O3017">
        <v>6</v>
      </c>
      <c r="P3017" t="s">
        <v>201</v>
      </c>
      <c r="R3017">
        <v>3.7818963000000001</v>
      </c>
      <c r="T3017">
        <v>3.2647138999999998</v>
      </c>
      <c r="V3017">
        <v>4.3637265000000003</v>
      </c>
      <c r="W3017" t="s">
        <v>66</v>
      </c>
      <c r="X3017" t="s">
        <v>67</v>
      </c>
      <c r="Y3017" t="s">
        <v>67</v>
      </c>
      <c r="Z3017" t="s">
        <v>68</v>
      </c>
      <c r="AB3017">
        <v>4</v>
      </c>
      <c r="AC3017" t="s">
        <v>61</v>
      </c>
      <c r="AJ3017" t="s">
        <v>69</v>
      </c>
      <c r="AY3017" t="s">
        <v>2233</v>
      </c>
      <c r="AZ3017">
        <v>76238</v>
      </c>
      <c r="BA3017" t="s">
        <v>2234</v>
      </c>
      <c r="BB3017" t="s">
        <v>2235</v>
      </c>
      <c r="BC3017">
        <v>1996</v>
      </c>
      <c r="BD3017" t="s">
        <v>185</v>
      </c>
    </row>
    <row r="3018" spans="1:56" x14ac:dyDescent="0.35">
      <c r="A3018">
        <v>7758987</v>
      </c>
      <c r="B3018" t="s">
        <v>2219</v>
      </c>
      <c r="D3018" t="s">
        <v>85</v>
      </c>
      <c r="E3018" t="s">
        <v>86</v>
      </c>
      <c r="F3018" t="s">
        <v>58</v>
      </c>
      <c r="G3018" t="s">
        <v>59</v>
      </c>
      <c r="H3018" t="s">
        <v>60</v>
      </c>
      <c r="J3018" t="s">
        <v>86</v>
      </c>
      <c r="L3018" t="s">
        <v>62</v>
      </c>
      <c r="M3018" t="s">
        <v>63</v>
      </c>
      <c r="N3018" t="s">
        <v>64</v>
      </c>
      <c r="P3018" t="s">
        <v>201</v>
      </c>
      <c r="R3018">
        <v>2.1999999999999999E-2</v>
      </c>
      <c r="T3018">
        <v>1.4999999999999999E-2</v>
      </c>
      <c r="V3018">
        <v>2.7E-2</v>
      </c>
      <c r="W3018" t="s">
        <v>66</v>
      </c>
      <c r="X3018" t="s">
        <v>67</v>
      </c>
      <c r="Y3018" t="s">
        <v>67</v>
      </c>
      <c r="Z3018" t="s">
        <v>68</v>
      </c>
      <c r="AB3018">
        <v>4</v>
      </c>
      <c r="AC3018" t="s">
        <v>61</v>
      </c>
      <c r="AJ3018" t="s">
        <v>69</v>
      </c>
      <c r="AY3018" t="s">
        <v>168</v>
      </c>
      <c r="AZ3018">
        <v>2033</v>
      </c>
      <c r="BA3018" t="s">
        <v>1385</v>
      </c>
      <c r="BB3018" t="s">
        <v>1386</v>
      </c>
      <c r="BC3018">
        <v>1966</v>
      </c>
      <c r="BD3018" t="s">
        <v>90</v>
      </c>
    </row>
    <row r="3019" spans="1:56" x14ac:dyDescent="0.35">
      <c r="A3019">
        <v>7758987</v>
      </c>
      <c r="B3019" t="s">
        <v>2219</v>
      </c>
      <c r="D3019" t="s">
        <v>57</v>
      </c>
      <c r="E3019" t="s">
        <v>86</v>
      </c>
      <c r="F3019" t="s">
        <v>58</v>
      </c>
      <c r="G3019" t="s">
        <v>59</v>
      </c>
      <c r="H3019" t="s">
        <v>60</v>
      </c>
      <c r="I3019" t="s">
        <v>188</v>
      </c>
      <c r="J3019" t="s">
        <v>289</v>
      </c>
      <c r="K3019" t="s">
        <v>184</v>
      </c>
      <c r="L3019" t="s">
        <v>62</v>
      </c>
      <c r="M3019" t="s">
        <v>63</v>
      </c>
      <c r="N3019" t="s">
        <v>64</v>
      </c>
      <c r="P3019" t="s">
        <v>201</v>
      </c>
      <c r="R3019">
        <v>8.5000000000000006E-3</v>
      </c>
      <c r="T3019">
        <v>6.4000000000000003E-3</v>
      </c>
      <c r="V3019">
        <v>1.1299999999999999E-2</v>
      </c>
      <c r="W3019" t="s">
        <v>66</v>
      </c>
      <c r="X3019" t="s">
        <v>67</v>
      </c>
      <c r="Y3019" t="s">
        <v>67</v>
      </c>
      <c r="Z3019" t="s">
        <v>68</v>
      </c>
      <c r="AB3019">
        <v>4</v>
      </c>
      <c r="AC3019" t="s">
        <v>61</v>
      </c>
      <c r="AJ3019" t="s">
        <v>69</v>
      </c>
      <c r="AY3019" t="s">
        <v>2230</v>
      </c>
      <c r="AZ3019">
        <v>17105</v>
      </c>
      <c r="BA3019" t="s">
        <v>2231</v>
      </c>
      <c r="BB3019" t="s">
        <v>2232</v>
      </c>
      <c r="BC3019">
        <v>1996</v>
      </c>
      <c r="BD3019" t="s">
        <v>185</v>
      </c>
    </row>
    <row r="3020" spans="1:56" x14ac:dyDescent="0.35">
      <c r="A3020">
        <v>7758987</v>
      </c>
      <c r="B3020" t="s">
        <v>2219</v>
      </c>
      <c r="D3020" t="s">
        <v>85</v>
      </c>
      <c r="E3020" t="s">
        <v>86</v>
      </c>
      <c r="F3020" t="s">
        <v>58</v>
      </c>
      <c r="G3020" t="s">
        <v>59</v>
      </c>
      <c r="H3020" t="s">
        <v>60</v>
      </c>
      <c r="I3020" t="s">
        <v>188</v>
      </c>
      <c r="J3020" t="s">
        <v>289</v>
      </c>
      <c r="K3020" t="s">
        <v>184</v>
      </c>
      <c r="L3020" t="s">
        <v>190</v>
      </c>
      <c r="M3020" t="s">
        <v>63</v>
      </c>
      <c r="N3020" t="s">
        <v>64</v>
      </c>
      <c r="O3020">
        <v>6</v>
      </c>
      <c r="P3020" t="s">
        <v>1296</v>
      </c>
      <c r="R3020">
        <v>2.0339999999999998</v>
      </c>
      <c r="T3020">
        <v>1.663</v>
      </c>
      <c r="V3020">
        <v>2.4889999999999999</v>
      </c>
      <c r="W3020" t="s">
        <v>66</v>
      </c>
      <c r="X3020" t="s">
        <v>67</v>
      </c>
      <c r="Y3020" t="s">
        <v>67</v>
      </c>
      <c r="Z3020" t="s">
        <v>68</v>
      </c>
      <c r="AB3020">
        <v>4</v>
      </c>
      <c r="AC3020" t="s">
        <v>61</v>
      </c>
      <c r="AJ3020" t="s">
        <v>69</v>
      </c>
      <c r="AY3020" t="s">
        <v>2245</v>
      </c>
      <c r="AZ3020">
        <v>80428</v>
      </c>
      <c r="BA3020" t="s">
        <v>2246</v>
      </c>
      <c r="BB3020" t="s">
        <v>2247</v>
      </c>
      <c r="BC3020">
        <v>2004</v>
      </c>
      <c r="BD3020" t="s">
        <v>185</v>
      </c>
    </row>
    <row r="3021" spans="1:56" x14ac:dyDescent="0.35">
      <c r="A3021">
        <v>7758987</v>
      </c>
      <c r="B3021" t="s">
        <v>2219</v>
      </c>
      <c r="D3021" t="s">
        <v>57</v>
      </c>
      <c r="E3021" t="s">
        <v>86</v>
      </c>
      <c r="F3021" t="s">
        <v>58</v>
      </c>
      <c r="G3021" t="s">
        <v>59</v>
      </c>
      <c r="H3021" t="s">
        <v>60</v>
      </c>
      <c r="I3021" t="s">
        <v>188</v>
      </c>
      <c r="J3021" t="s">
        <v>289</v>
      </c>
      <c r="K3021" t="s">
        <v>184</v>
      </c>
      <c r="L3021" t="s">
        <v>62</v>
      </c>
      <c r="M3021" t="s">
        <v>63</v>
      </c>
      <c r="N3021" t="s">
        <v>64</v>
      </c>
      <c r="P3021" t="s">
        <v>201</v>
      </c>
      <c r="R3021">
        <v>1.06E-2</v>
      </c>
      <c r="W3021" t="s">
        <v>66</v>
      </c>
      <c r="X3021" t="s">
        <v>67</v>
      </c>
      <c r="Y3021" t="s">
        <v>67</v>
      </c>
      <c r="Z3021" t="s">
        <v>68</v>
      </c>
      <c r="AB3021">
        <v>4</v>
      </c>
      <c r="AC3021" t="s">
        <v>61</v>
      </c>
      <c r="AJ3021" t="s">
        <v>69</v>
      </c>
      <c r="AY3021" t="s">
        <v>2230</v>
      </c>
      <c r="AZ3021">
        <v>17105</v>
      </c>
      <c r="BA3021" t="s">
        <v>2231</v>
      </c>
      <c r="BB3021" t="s">
        <v>2232</v>
      </c>
      <c r="BC3021">
        <v>1996</v>
      </c>
      <c r="BD3021" t="s">
        <v>185</v>
      </c>
    </row>
    <row r="3022" spans="1:56" x14ac:dyDescent="0.35">
      <c r="A3022">
        <v>7758987</v>
      </c>
      <c r="B3022" t="s">
        <v>2219</v>
      </c>
      <c r="D3022" t="s">
        <v>57</v>
      </c>
      <c r="E3022" t="s">
        <v>86</v>
      </c>
      <c r="F3022" t="s">
        <v>58</v>
      </c>
      <c r="G3022" t="s">
        <v>59</v>
      </c>
      <c r="H3022" t="s">
        <v>60</v>
      </c>
      <c r="I3022" t="s">
        <v>188</v>
      </c>
      <c r="J3022" t="s">
        <v>289</v>
      </c>
      <c r="K3022" t="s">
        <v>184</v>
      </c>
      <c r="L3022" t="s">
        <v>62</v>
      </c>
      <c r="M3022" t="s">
        <v>63</v>
      </c>
      <c r="N3022" t="s">
        <v>64</v>
      </c>
      <c r="O3022">
        <v>6</v>
      </c>
      <c r="P3022" t="s">
        <v>201</v>
      </c>
      <c r="R3022">
        <v>0.38788679999999998</v>
      </c>
      <c r="T3022">
        <v>0.323239</v>
      </c>
      <c r="V3022">
        <v>0.46869654999999999</v>
      </c>
      <c r="W3022" t="s">
        <v>66</v>
      </c>
      <c r="X3022" t="s">
        <v>67</v>
      </c>
      <c r="Y3022" t="s">
        <v>67</v>
      </c>
      <c r="Z3022" t="s">
        <v>68</v>
      </c>
      <c r="AB3022">
        <v>4</v>
      </c>
      <c r="AC3022" t="s">
        <v>61</v>
      </c>
      <c r="AJ3022" t="s">
        <v>69</v>
      </c>
      <c r="AY3022" t="s">
        <v>2233</v>
      </c>
      <c r="AZ3022">
        <v>76238</v>
      </c>
      <c r="BA3022" t="s">
        <v>2234</v>
      </c>
      <c r="BB3022" t="s">
        <v>2235</v>
      </c>
      <c r="BC3022">
        <v>1996</v>
      </c>
      <c r="BD3022" t="s">
        <v>185</v>
      </c>
    </row>
    <row r="3023" spans="1:56" x14ac:dyDescent="0.35">
      <c r="A3023">
        <v>7758987</v>
      </c>
      <c r="B3023" t="s">
        <v>2219</v>
      </c>
      <c r="D3023" t="s">
        <v>57</v>
      </c>
      <c r="E3023" t="s">
        <v>86</v>
      </c>
      <c r="F3023" t="s">
        <v>58</v>
      </c>
      <c r="G3023" t="s">
        <v>59</v>
      </c>
      <c r="H3023" t="s">
        <v>60</v>
      </c>
      <c r="I3023" t="s">
        <v>188</v>
      </c>
      <c r="J3023" t="s">
        <v>289</v>
      </c>
      <c r="K3023" t="s">
        <v>184</v>
      </c>
      <c r="L3023" t="s">
        <v>62</v>
      </c>
      <c r="M3023" t="s">
        <v>63</v>
      </c>
      <c r="N3023" t="s">
        <v>64</v>
      </c>
      <c r="O3023">
        <v>6</v>
      </c>
      <c r="P3023" t="s">
        <v>201</v>
      </c>
      <c r="R3023">
        <v>7.1112579999999995E-2</v>
      </c>
      <c r="T3023">
        <v>5.8183020000000002E-2</v>
      </c>
      <c r="V3023">
        <v>8.8890725000000004E-2</v>
      </c>
      <c r="W3023" t="s">
        <v>66</v>
      </c>
      <c r="X3023" t="s">
        <v>67</v>
      </c>
      <c r="Y3023" t="s">
        <v>67</v>
      </c>
      <c r="Z3023" t="s">
        <v>68</v>
      </c>
      <c r="AB3023">
        <v>4</v>
      </c>
      <c r="AC3023" t="s">
        <v>61</v>
      </c>
      <c r="AJ3023" t="s">
        <v>69</v>
      </c>
      <c r="AY3023" t="s">
        <v>2233</v>
      </c>
      <c r="AZ3023">
        <v>76238</v>
      </c>
      <c r="BA3023" t="s">
        <v>2234</v>
      </c>
      <c r="BB3023" t="s">
        <v>2235</v>
      </c>
      <c r="BC3023">
        <v>1996</v>
      </c>
      <c r="BD3023" t="s">
        <v>185</v>
      </c>
    </row>
    <row r="3024" spans="1:56" x14ac:dyDescent="0.35">
      <c r="A3024">
        <v>7758987</v>
      </c>
      <c r="B3024" t="s">
        <v>2219</v>
      </c>
      <c r="D3024" t="s">
        <v>57</v>
      </c>
      <c r="E3024" t="s">
        <v>86</v>
      </c>
      <c r="F3024" t="s">
        <v>58</v>
      </c>
      <c r="G3024" t="s">
        <v>59</v>
      </c>
      <c r="H3024" t="s">
        <v>60</v>
      </c>
      <c r="J3024" t="s">
        <v>86</v>
      </c>
      <c r="K3024" t="s">
        <v>184</v>
      </c>
      <c r="L3024" t="s">
        <v>74</v>
      </c>
      <c r="M3024" t="s">
        <v>63</v>
      </c>
      <c r="N3024" t="s">
        <v>64</v>
      </c>
      <c r="P3024" t="s">
        <v>201</v>
      </c>
      <c r="S3024" t="s">
        <v>153</v>
      </c>
      <c r="T3024">
        <v>2.5000000000000001E-2</v>
      </c>
      <c r="U3024" t="s">
        <v>435</v>
      </c>
      <c r="V3024">
        <v>0.03</v>
      </c>
      <c r="W3024" t="s">
        <v>66</v>
      </c>
      <c r="X3024" t="s">
        <v>67</v>
      </c>
      <c r="Y3024" t="s">
        <v>67</v>
      </c>
      <c r="Z3024" t="s">
        <v>68</v>
      </c>
      <c r="AB3024">
        <v>4</v>
      </c>
      <c r="AC3024" t="s">
        <v>61</v>
      </c>
      <c r="AJ3024" t="s">
        <v>69</v>
      </c>
      <c r="AY3024" t="s">
        <v>2249</v>
      </c>
      <c r="AZ3024">
        <v>45189</v>
      </c>
      <c r="BA3024" t="s">
        <v>2250</v>
      </c>
      <c r="BB3024" t="s">
        <v>2251</v>
      </c>
      <c r="BC3024">
        <v>1996</v>
      </c>
      <c r="BD3024" t="s">
        <v>2252</v>
      </c>
    </row>
    <row r="3025" spans="1:56" x14ac:dyDescent="0.35">
      <c r="A3025">
        <v>7758987</v>
      </c>
      <c r="B3025" t="s">
        <v>2219</v>
      </c>
      <c r="D3025" t="s">
        <v>85</v>
      </c>
      <c r="E3025" t="s">
        <v>86</v>
      </c>
      <c r="F3025" t="s">
        <v>58</v>
      </c>
      <c r="G3025" t="s">
        <v>59</v>
      </c>
      <c r="H3025" t="s">
        <v>60</v>
      </c>
      <c r="J3025" t="s">
        <v>86</v>
      </c>
      <c r="L3025" t="s">
        <v>62</v>
      </c>
      <c r="M3025" t="s">
        <v>63</v>
      </c>
      <c r="N3025" t="s">
        <v>64</v>
      </c>
      <c r="P3025" t="s">
        <v>201</v>
      </c>
      <c r="R3025">
        <v>0.05</v>
      </c>
      <c r="W3025" t="s">
        <v>66</v>
      </c>
      <c r="X3025" t="s">
        <v>67</v>
      </c>
      <c r="Y3025" t="s">
        <v>67</v>
      </c>
      <c r="Z3025" t="s">
        <v>68</v>
      </c>
      <c r="AB3025">
        <v>4</v>
      </c>
      <c r="AC3025" t="s">
        <v>61</v>
      </c>
      <c r="AJ3025" t="s">
        <v>69</v>
      </c>
      <c r="AY3025" t="s">
        <v>275</v>
      </c>
      <c r="AZ3025">
        <v>2042</v>
      </c>
      <c r="BA3025" t="s">
        <v>1490</v>
      </c>
      <c r="BB3025" t="s">
        <v>1491</v>
      </c>
      <c r="BC3025">
        <v>1960</v>
      </c>
      <c r="BD3025" t="s">
        <v>90</v>
      </c>
    </row>
    <row r="3026" spans="1:56" x14ac:dyDescent="0.35">
      <c r="A3026">
        <v>7758987</v>
      </c>
      <c r="B3026" t="s">
        <v>2219</v>
      </c>
      <c r="D3026" t="s">
        <v>57</v>
      </c>
      <c r="E3026" t="s">
        <v>86</v>
      </c>
      <c r="F3026" t="s">
        <v>58</v>
      </c>
      <c r="G3026" t="s">
        <v>59</v>
      </c>
      <c r="H3026" t="s">
        <v>60</v>
      </c>
      <c r="J3026" t="s">
        <v>86</v>
      </c>
      <c r="L3026" t="s">
        <v>62</v>
      </c>
      <c r="M3026" t="s">
        <v>63</v>
      </c>
      <c r="N3026" t="s">
        <v>64</v>
      </c>
      <c r="P3026" t="s">
        <v>1296</v>
      </c>
      <c r="R3026">
        <v>0.83</v>
      </c>
      <c r="W3026" t="s">
        <v>66</v>
      </c>
      <c r="X3026" t="s">
        <v>67</v>
      </c>
      <c r="Y3026" t="s">
        <v>67</v>
      </c>
      <c r="Z3026" t="s">
        <v>68</v>
      </c>
      <c r="AB3026">
        <v>4</v>
      </c>
      <c r="AC3026" t="s">
        <v>61</v>
      </c>
      <c r="AJ3026" t="s">
        <v>69</v>
      </c>
      <c r="AQ3026" t="s">
        <v>69</v>
      </c>
      <c r="AY3026" t="s">
        <v>2223</v>
      </c>
      <c r="AZ3026">
        <v>2071</v>
      </c>
      <c r="BA3026" t="s">
        <v>2224</v>
      </c>
      <c r="BB3026" t="s">
        <v>2225</v>
      </c>
      <c r="BC3026">
        <v>1976</v>
      </c>
      <c r="BD3026" t="s">
        <v>2253</v>
      </c>
    </row>
    <row r="3027" spans="1:56" x14ac:dyDescent="0.35">
      <c r="A3027">
        <v>7758987</v>
      </c>
      <c r="B3027" t="s">
        <v>2219</v>
      </c>
      <c r="D3027" t="s">
        <v>57</v>
      </c>
      <c r="E3027" t="s">
        <v>86</v>
      </c>
      <c r="F3027" t="s">
        <v>58</v>
      </c>
      <c r="G3027" t="s">
        <v>59</v>
      </c>
      <c r="H3027" t="s">
        <v>60</v>
      </c>
      <c r="I3027" t="s">
        <v>188</v>
      </c>
      <c r="J3027" t="s">
        <v>289</v>
      </c>
      <c r="K3027" t="s">
        <v>184</v>
      </c>
      <c r="L3027" t="s">
        <v>62</v>
      </c>
      <c r="M3027" t="s">
        <v>63</v>
      </c>
      <c r="N3027" t="s">
        <v>64</v>
      </c>
      <c r="O3027">
        <v>6</v>
      </c>
      <c r="P3027" t="s">
        <v>201</v>
      </c>
      <c r="R3027">
        <v>2.3434827500000002</v>
      </c>
      <c r="T3027">
        <v>1.7131666999999999</v>
      </c>
      <c r="V3027">
        <v>3.2162280499999998</v>
      </c>
      <c r="W3027" t="s">
        <v>66</v>
      </c>
      <c r="X3027" t="s">
        <v>67</v>
      </c>
      <c r="Y3027" t="s">
        <v>67</v>
      </c>
      <c r="Z3027" t="s">
        <v>68</v>
      </c>
      <c r="AB3027">
        <v>4</v>
      </c>
      <c r="AC3027" t="s">
        <v>61</v>
      </c>
      <c r="AJ3027" t="s">
        <v>69</v>
      </c>
      <c r="AY3027" t="s">
        <v>2233</v>
      </c>
      <c r="AZ3027">
        <v>76238</v>
      </c>
      <c r="BA3027" t="s">
        <v>2234</v>
      </c>
      <c r="BB3027" t="s">
        <v>2235</v>
      </c>
      <c r="BC3027">
        <v>1996</v>
      </c>
      <c r="BD3027" t="s">
        <v>185</v>
      </c>
    </row>
    <row r="3028" spans="1:56" x14ac:dyDescent="0.35">
      <c r="A3028">
        <v>7758987</v>
      </c>
      <c r="B3028" t="s">
        <v>2219</v>
      </c>
      <c r="D3028" t="s">
        <v>57</v>
      </c>
      <c r="E3028" t="s">
        <v>86</v>
      </c>
      <c r="F3028" t="s">
        <v>58</v>
      </c>
      <c r="G3028" t="s">
        <v>59</v>
      </c>
      <c r="H3028" t="s">
        <v>60</v>
      </c>
      <c r="I3028" t="s">
        <v>188</v>
      </c>
      <c r="J3028" t="s">
        <v>289</v>
      </c>
      <c r="K3028" t="s">
        <v>184</v>
      </c>
      <c r="L3028" t="s">
        <v>74</v>
      </c>
      <c r="M3028" t="s">
        <v>63</v>
      </c>
      <c r="N3028" t="s">
        <v>64</v>
      </c>
      <c r="P3028" t="s">
        <v>201</v>
      </c>
      <c r="R3028">
        <v>0.37172485</v>
      </c>
      <c r="T3028">
        <v>0.323239</v>
      </c>
      <c r="V3028">
        <v>0.42829167499999998</v>
      </c>
      <c r="W3028" t="s">
        <v>66</v>
      </c>
      <c r="X3028" t="s">
        <v>67</v>
      </c>
      <c r="Y3028" t="s">
        <v>67</v>
      </c>
      <c r="Z3028" t="s">
        <v>68</v>
      </c>
      <c r="AB3028">
        <v>4</v>
      </c>
      <c r="AC3028" t="s">
        <v>61</v>
      </c>
      <c r="AJ3028" t="s">
        <v>69</v>
      </c>
      <c r="AY3028" t="s">
        <v>2220</v>
      </c>
      <c r="AZ3028">
        <v>16342</v>
      </c>
      <c r="BA3028" t="s">
        <v>2221</v>
      </c>
      <c r="BB3028" t="s">
        <v>2222</v>
      </c>
      <c r="BC3028">
        <v>1996</v>
      </c>
      <c r="BD3028" t="s">
        <v>185</v>
      </c>
    </row>
    <row r="3029" spans="1:56" x14ac:dyDescent="0.35">
      <c r="A3029">
        <v>7758987</v>
      </c>
      <c r="B3029" t="s">
        <v>2219</v>
      </c>
      <c r="D3029" t="s">
        <v>57</v>
      </c>
      <c r="E3029" t="s">
        <v>86</v>
      </c>
      <c r="F3029" t="s">
        <v>58</v>
      </c>
      <c r="G3029" t="s">
        <v>59</v>
      </c>
      <c r="H3029" t="s">
        <v>60</v>
      </c>
      <c r="I3029" t="s">
        <v>188</v>
      </c>
      <c r="J3029" t="s">
        <v>289</v>
      </c>
      <c r="K3029" t="s">
        <v>184</v>
      </c>
      <c r="L3029" t="s">
        <v>62</v>
      </c>
      <c r="M3029" t="s">
        <v>63</v>
      </c>
      <c r="N3029" t="s">
        <v>64</v>
      </c>
      <c r="O3029">
        <v>6</v>
      </c>
      <c r="P3029" t="s">
        <v>201</v>
      </c>
      <c r="R3029">
        <v>0.46869654999999999</v>
      </c>
      <c r="T3029">
        <v>0.40404875000000001</v>
      </c>
      <c r="V3029">
        <v>0.56566824999999998</v>
      </c>
      <c r="W3029" t="s">
        <v>66</v>
      </c>
      <c r="X3029" t="s">
        <v>67</v>
      </c>
      <c r="Y3029" t="s">
        <v>67</v>
      </c>
      <c r="Z3029" t="s">
        <v>68</v>
      </c>
      <c r="AB3029">
        <v>4</v>
      </c>
      <c r="AC3029" t="s">
        <v>61</v>
      </c>
      <c r="AJ3029" t="s">
        <v>69</v>
      </c>
      <c r="AY3029" t="s">
        <v>2233</v>
      </c>
      <c r="AZ3029">
        <v>76238</v>
      </c>
      <c r="BA3029" t="s">
        <v>2234</v>
      </c>
      <c r="BB3029" t="s">
        <v>2235</v>
      </c>
      <c r="BC3029">
        <v>1996</v>
      </c>
      <c r="BD3029" t="s">
        <v>185</v>
      </c>
    </row>
    <row r="3030" spans="1:56" x14ac:dyDescent="0.35">
      <c r="A3030">
        <v>7758987</v>
      </c>
      <c r="B3030" t="s">
        <v>2219</v>
      </c>
      <c r="D3030" t="s">
        <v>57</v>
      </c>
      <c r="E3030" t="s">
        <v>86</v>
      </c>
      <c r="F3030" t="s">
        <v>58</v>
      </c>
      <c r="G3030" t="s">
        <v>59</v>
      </c>
      <c r="H3030" t="s">
        <v>60</v>
      </c>
      <c r="I3030" t="s">
        <v>188</v>
      </c>
      <c r="J3030" t="s">
        <v>289</v>
      </c>
      <c r="K3030" t="s">
        <v>184</v>
      </c>
      <c r="L3030" t="s">
        <v>62</v>
      </c>
      <c r="M3030" t="s">
        <v>63</v>
      </c>
      <c r="N3030" t="s">
        <v>64</v>
      </c>
      <c r="P3030" t="s">
        <v>201</v>
      </c>
      <c r="R3030">
        <v>0.460615575</v>
      </c>
      <c r="T3030">
        <v>0.412129725</v>
      </c>
      <c r="V3030">
        <v>0.509101425</v>
      </c>
      <c r="W3030" t="s">
        <v>66</v>
      </c>
      <c r="X3030" t="s">
        <v>67</v>
      </c>
      <c r="Y3030" t="s">
        <v>67</v>
      </c>
      <c r="Z3030" t="s">
        <v>68</v>
      </c>
      <c r="AB3030">
        <v>4</v>
      </c>
      <c r="AC3030" t="s">
        <v>61</v>
      </c>
      <c r="AJ3030" t="s">
        <v>69</v>
      </c>
      <c r="AY3030" t="s">
        <v>2220</v>
      </c>
      <c r="AZ3030">
        <v>16342</v>
      </c>
      <c r="BA3030" t="s">
        <v>2221</v>
      </c>
      <c r="BB3030" t="s">
        <v>2222</v>
      </c>
      <c r="BC3030">
        <v>1996</v>
      </c>
      <c r="BD3030" t="s">
        <v>185</v>
      </c>
    </row>
    <row r="3031" spans="1:56" x14ac:dyDescent="0.35">
      <c r="A3031">
        <v>7758987</v>
      </c>
      <c r="B3031" t="s">
        <v>2219</v>
      </c>
      <c r="D3031" t="s">
        <v>57</v>
      </c>
      <c r="E3031" t="s">
        <v>86</v>
      </c>
      <c r="F3031" t="s">
        <v>58</v>
      </c>
      <c r="G3031" t="s">
        <v>59</v>
      </c>
      <c r="H3031" t="s">
        <v>60</v>
      </c>
      <c r="J3031" t="s">
        <v>86</v>
      </c>
      <c r="L3031" t="s">
        <v>74</v>
      </c>
      <c r="M3031" t="s">
        <v>63</v>
      </c>
      <c r="N3031" t="s">
        <v>64</v>
      </c>
      <c r="P3031" t="s">
        <v>1296</v>
      </c>
      <c r="R3031">
        <v>0.61</v>
      </c>
      <c r="W3031" t="s">
        <v>66</v>
      </c>
      <c r="X3031" t="s">
        <v>67</v>
      </c>
      <c r="Y3031" t="s">
        <v>67</v>
      </c>
      <c r="Z3031" t="s">
        <v>68</v>
      </c>
      <c r="AB3031">
        <v>4</v>
      </c>
      <c r="AC3031" t="s">
        <v>61</v>
      </c>
      <c r="AJ3031" t="s">
        <v>69</v>
      </c>
      <c r="AQ3031" t="s">
        <v>69</v>
      </c>
      <c r="AY3031" t="s">
        <v>2223</v>
      </c>
      <c r="AZ3031">
        <v>2071</v>
      </c>
      <c r="BA3031" t="s">
        <v>2224</v>
      </c>
      <c r="BB3031" t="s">
        <v>2225</v>
      </c>
      <c r="BC3031">
        <v>1976</v>
      </c>
      <c r="BD3031" t="s">
        <v>2254</v>
      </c>
    </row>
    <row r="3032" spans="1:56" x14ac:dyDescent="0.35">
      <c r="A3032">
        <v>7758987</v>
      </c>
      <c r="B3032" t="s">
        <v>2219</v>
      </c>
      <c r="D3032" t="s">
        <v>57</v>
      </c>
      <c r="E3032" t="s">
        <v>86</v>
      </c>
      <c r="F3032" t="s">
        <v>58</v>
      </c>
      <c r="G3032" t="s">
        <v>59</v>
      </c>
      <c r="H3032" t="s">
        <v>60</v>
      </c>
      <c r="I3032" t="s">
        <v>188</v>
      </c>
      <c r="J3032" t="s">
        <v>289</v>
      </c>
      <c r="K3032" t="s">
        <v>184</v>
      </c>
      <c r="L3032" t="s">
        <v>62</v>
      </c>
      <c r="M3032" t="s">
        <v>63</v>
      </c>
      <c r="N3032" t="s">
        <v>64</v>
      </c>
      <c r="O3032">
        <v>6</v>
      </c>
      <c r="P3032" t="s">
        <v>201</v>
      </c>
      <c r="R3032">
        <v>0.27475315</v>
      </c>
      <c r="T3032">
        <v>0.2262673</v>
      </c>
      <c r="V3032">
        <v>0.33293616999999998</v>
      </c>
      <c r="W3032" t="s">
        <v>66</v>
      </c>
      <c r="X3032" t="s">
        <v>67</v>
      </c>
      <c r="Y3032" t="s">
        <v>67</v>
      </c>
      <c r="Z3032" t="s">
        <v>68</v>
      </c>
      <c r="AB3032">
        <v>4</v>
      </c>
      <c r="AC3032" t="s">
        <v>61</v>
      </c>
      <c r="AJ3032" t="s">
        <v>69</v>
      </c>
      <c r="AY3032" t="s">
        <v>2233</v>
      </c>
      <c r="AZ3032">
        <v>76238</v>
      </c>
      <c r="BA3032" t="s">
        <v>2234</v>
      </c>
      <c r="BB3032" t="s">
        <v>2235</v>
      </c>
      <c r="BC3032">
        <v>1996</v>
      </c>
      <c r="BD3032" t="s">
        <v>185</v>
      </c>
    </row>
    <row r="3033" spans="1:56" x14ac:dyDescent="0.35">
      <c r="A3033">
        <v>7758987</v>
      </c>
      <c r="B3033" t="s">
        <v>2219</v>
      </c>
      <c r="D3033" t="s">
        <v>57</v>
      </c>
      <c r="E3033" t="s">
        <v>86</v>
      </c>
      <c r="F3033" t="s">
        <v>58</v>
      </c>
      <c r="G3033" t="s">
        <v>59</v>
      </c>
      <c r="H3033" t="s">
        <v>60</v>
      </c>
      <c r="I3033" t="s">
        <v>188</v>
      </c>
      <c r="J3033" t="s">
        <v>289</v>
      </c>
      <c r="K3033" t="s">
        <v>184</v>
      </c>
      <c r="L3033" t="s">
        <v>62</v>
      </c>
      <c r="M3033" t="s">
        <v>63</v>
      </c>
      <c r="N3033" t="s">
        <v>64</v>
      </c>
      <c r="O3033">
        <v>6</v>
      </c>
      <c r="P3033" t="s">
        <v>201</v>
      </c>
      <c r="R3033">
        <v>0.42021069999999999</v>
      </c>
      <c r="T3033">
        <v>0.38788679999999998</v>
      </c>
      <c r="V3033">
        <v>0.46869654999999999</v>
      </c>
      <c r="W3033" t="s">
        <v>66</v>
      </c>
      <c r="X3033" t="s">
        <v>67</v>
      </c>
      <c r="Y3033" t="s">
        <v>67</v>
      </c>
      <c r="Z3033" t="s">
        <v>68</v>
      </c>
      <c r="AB3033">
        <v>4</v>
      </c>
      <c r="AC3033" t="s">
        <v>61</v>
      </c>
      <c r="AJ3033" t="s">
        <v>69</v>
      </c>
      <c r="AY3033" t="s">
        <v>2233</v>
      </c>
      <c r="AZ3033">
        <v>76238</v>
      </c>
      <c r="BA3033" t="s">
        <v>2234</v>
      </c>
      <c r="BB3033" t="s">
        <v>2235</v>
      </c>
      <c r="BC3033">
        <v>1996</v>
      </c>
      <c r="BD3033" t="s">
        <v>185</v>
      </c>
    </row>
    <row r="3034" spans="1:56" x14ac:dyDescent="0.35">
      <c r="A3034">
        <v>7758987</v>
      </c>
      <c r="B3034" t="s">
        <v>2219</v>
      </c>
      <c r="D3034" t="s">
        <v>57</v>
      </c>
      <c r="E3034" t="s">
        <v>86</v>
      </c>
      <c r="F3034" t="s">
        <v>58</v>
      </c>
      <c r="G3034" t="s">
        <v>59</v>
      </c>
      <c r="H3034" t="s">
        <v>60</v>
      </c>
      <c r="J3034" t="s">
        <v>86</v>
      </c>
      <c r="L3034" t="s">
        <v>62</v>
      </c>
      <c r="M3034" t="s">
        <v>63</v>
      </c>
      <c r="N3034" t="s">
        <v>64</v>
      </c>
      <c r="P3034" t="s">
        <v>1296</v>
      </c>
      <c r="Q3034" t="s">
        <v>435</v>
      </c>
      <c r="R3034">
        <v>0.64</v>
      </c>
      <c r="W3034" t="s">
        <v>66</v>
      </c>
      <c r="X3034" t="s">
        <v>67</v>
      </c>
      <c r="Y3034" t="s">
        <v>67</v>
      </c>
      <c r="Z3034" t="s">
        <v>68</v>
      </c>
      <c r="AB3034">
        <v>4</v>
      </c>
      <c r="AC3034" t="s">
        <v>61</v>
      </c>
      <c r="AJ3034" t="s">
        <v>69</v>
      </c>
      <c r="AQ3034" t="s">
        <v>69</v>
      </c>
      <c r="AY3034" t="s">
        <v>2223</v>
      </c>
      <c r="AZ3034">
        <v>2071</v>
      </c>
      <c r="BA3034" t="s">
        <v>2224</v>
      </c>
      <c r="BB3034" t="s">
        <v>2225</v>
      </c>
      <c r="BC3034">
        <v>1976</v>
      </c>
      <c r="BD3034" t="s">
        <v>2255</v>
      </c>
    </row>
    <row r="3035" spans="1:56" x14ac:dyDescent="0.35">
      <c r="A3035">
        <v>7758987</v>
      </c>
      <c r="B3035" t="s">
        <v>2219</v>
      </c>
      <c r="D3035" t="s">
        <v>85</v>
      </c>
      <c r="E3035" t="s">
        <v>86</v>
      </c>
      <c r="F3035" t="s">
        <v>58</v>
      </c>
      <c r="G3035" t="s">
        <v>59</v>
      </c>
      <c r="H3035" t="s">
        <v>60</v>
      </c>
      <c r="I3035" t="s">
        <v>188</v>
      </c>
      <c r="J3035" t="s">
        <v>289</v>
      </c>
      <c r="K3035" t="s">
        <v>184</v>
      </c>
      <c r="L3035" t="s">
        <v>190</v>
      </c>
      <c r="M3035" t="s">
        <v>63</v>
      </c>
      <c r="N3035" t="s">
        <v>64</v>
      </c>
      <c r="O3035">
        <v>6</v>
      </c>
      <c r="P3035" t="s">
        <v>1296</v>
      </c>
      <c r="R3035">
        <v>1.9590000000000001</v>
      </c>
      <c r="T3035">
        <v>1.706</v>
      </c>
      <c r="V3035">
        <v>2.25</v>
      </c>
      <c r="W3035" t="s">
        <v>66</v>
      </c>
      <c r="X3035" t="s">
        <v>67</v>
      </c>
      <c r="Y3035" t="s">
        <v>67</v>
      </c>
      <c r="Z3035" t="s">
        <v>68</v>
      </c>
      <c r="AB3035">
        <v>4</v>
      </c>
      <c r="AC3035" t="s">
        <v>61</v>
      </c>
      <c r="AJ3035" t="s">
        <v>69</v>
      </c>
      <c r="AY3035" t="s">
        <v>2245</v>
      </c>
      <c r="AZ3035">
        <v>80428</v>
      </c>
      <c r="BA3035" t="s">
        <v>2246</v>
      </c>
      <c r="BB3035" t="s">
        <v>2247</v>
      </c>
      <c r="BC3035">
        <v>2004</v>
      </c>
      <c r="BD3035" t="s">
        <v>185</v>
      </c>
    </row>
    <row r="3036" spans="1:56" x14ac:dyDescent="0.35">
      <c r="A3036">
        <v>7758987</v>
      </c>
      <c r="B3036" t="s">
        <v>2219</v>
      </c>
      <c r="D3036" t="s">
        <v>57</v>
      </c>
      <c r="E3036" t="s">
        <v>86</v>
      </c>
      <c r="F3036" t="s">
        <v>58</v>
      </c>
      <c r="G3036" t="s">
        <v>59</v>
      </c>
      <c r="H3036" t="s">
        <v>60</v>
      </c>
      <c r="I3036" t="s">
        <v>129</v>
      </c>
      <c r="J3036" t="s">
        <v>86</v>
      </c>
      <c r="L3036" t="s">
        <v>74</v>
      </c>
      <c r="M3036" t="s">
        <v>63</v>
      </c>
      <c r="N3036" t="s">
        <v>64</v>
      </c>
      <c r="P3036" t="s">
        <v>201</v>
      </c>
      <c r="S3036" t="s">
        <v>153</v>
      </c>
      <c r="T3036">
        <v>0.05</v>
      </c>
      <c r="U3036" t="s">
        <v>435</v>
      </c>
      <c r="V3036">
        <v>0.1</v>
      </c>
      <c r="W3036" t="s">
        <v>66</v>
      </c>
      <c r="X3036" t="s">
        <v>67</v>
      </c>
      <c r="Y3036" t="s">
        <v>67</v>
      </c>
      <c r="Z3036" t="s">
        <v>68</v>
      </c>
      <c r="AB3036">
        <v>4</v>
      </c>
      <c r="AC3036" t="s">
        <v>61</v>
      </c>
      <c r="AJ3036" t="s">
        <v>69</v>
      </c>
      <c r="AY3036" t="s">
        <v>2256</v>
      </c>
      <c r="AZ3036">
        <v>17871</v>
      </c>
      <c r="BA3036" t="s">
        <v>2257</v>
      </c>
      <c r="BB3036" t="s">
        <v>2258</v>
      </c>
      <c r="BC3036">
        <v>1997</v>
      </c>
      <c r="BD3036" t="s">
        <v>90</v>
      </c>
    </row>
    <row r="3037" spans="1:56" x14ac:dyDescent="0.35">
      <c r="A3037">
        <v>7758987</v>
      </c>
      <c r="B3037" t="s">
        <v>2219</v>
      </c>
      <c r="D3037" t="s">
        <v>57</v>
      </c>
      <c r="E3037" t="s">
        <v>86</v>
      </c>
      <c r="F3037" t="s">
        <v>58</v>
      </c>
      <c r="G3037" t="s">
        <v>59</v>
      </c>
      <c r="H3037" t="s">
        <v>60</v>
      </c>
      <c r="I3037" t="s">
        <v>177</v>
      </c>
      <c r="J3037" t="s">
        <v>505</v>
      </c>
      <c r="K3037" t="s">
        <v>61</v>
      </c>
      <c r="L3037" t="s">
        <v>62</v>
      </c>
      <c r="M3037" t="s">
        <v>63</v>
      </c>
      <c r="N3037" t="s">
        <v>64</v>
      </c>
      <c r="P3037" t="s">
        <v>201</v>
      </c>
      <c r="R3037">
        <v>5.9799999999999999E-2</v>
      </c>
      <c r="T3037">
        <v>5.1700000000000003E-2</v>
      </c>
      <c r="V3037">
        <v>6.93E-2</v>
      </c>
      <c r="W3037" t="s">
        <v>66</v>
      </c>
      <c r="X3037" t="s">
        <v>67</v>
      </c>
      <c r="Y3037" t="s">
        <v>67</v>
      </c>
      <c r="Z3037" t="s">
        <v>68</v>
      </c>
      <c r="AB3037">
        <v>4</v>
      </c>
      <c r="AC3037" t="s">
        <v>61</v>
      </c>
      <c r="AJ3037" t="s">
        <v>69</v>
      </c>
      <c r="AY3037" t="s">
        <v>2236</v>
      </c>
      <c r="AZ3037">
        <v>8034</v>
      </c>
      <c r="BA3037" t="s">
        <v>2237</v>
      </c>
      <c r="BB3037" t="s">
        <v>2238</v>
      </c>
      <c r="BC3037">
        <v>1993</v>
      </c>
      <c r="BD3037" t="s">
        <v>73</v>
      </c>
    </row>
    <row r="3038" spans="1:56" x14ac:dyDescent="0.35">
      <c r="A3038">
        <v>7758987</v>
      </c>
      <c r="B3038" t="s">
        <v>2219</v>
      </c>
      <c r="D3038" t="s">
        <v>57</v>
      </c>
      <c r="E3038" t="s">
        <v>86</v>
      </c>
      <c r="F3038" t="s">
        <v>58</v>
      </c>
      <c r="G3038" t="s">
        <v>59</v>
      </c>
      <c r="H3038" t="s">
        <v>60</v>
      </c>
      <c r="I3038" t="s">
        <v>188</v>
      </c>
      <c r="J3038" t="s">
        <v>289</v>
      </c>
      <c r="K3038" t="s">
        <v>184</v>
      </c>
      <c r="L3038" t="s">
        <v>62</v>
      </c>
      <c r="M3038" t="s">
        <v>63</v>
      </c>
      <c r="N3038" t="s">
        <v>64</v>
      </c>
      <c r="P3038" t="s">
        <v>201</v>
      </c>
      <c r="R3038">
        <v>6.6E-3</v>
      </c>
      <c r="T3038">
        <v>5.3E-3</v>
      </c>
      <c r="V3038">
        <v>8.2000000000000007E-3</v>
      </c>
      <c r="W3038" t="s">
        <v>66</v>
      </c>
      <c r="X3038" t="s">
        <v>67</v>
      </c>
      <c r="Y3038" t="s">
        <v>67</v>
      </c>
      <c r="Z3038" t="s">
        <v>68</v>
      </c>
      <c r="AB3038">
        <v>4</v>
      </c>
      <c r="AC3038" t="s">
        <v>61</v>
      </c>
      <c r="AJ3038" t="s">
        <v>69</v>
      </c>
      <c r="AY3038" t="s">
        <v>2230</v>
      </c>
      <c r="AZ3038">
        <v>17105</v>
      </c>
      <c r="BA3038" t="s">
        <v>2231</v>
      </c>
      <c r="BB3038" t="s">
        <v>2232</v>
      </c>
      <c r="BC3038">
        <v>1996</v>
      </c>
      <c r="BD3038" t="s">
        <v>185</v>
      </c>
    </row>
    <row r="3039" spans="1:56" x14ac:dyDescent="0.35">
      <c r="A3039">
        <v>7758987</v>
      </c>
      <c r="B3039" t="s">
        <v>2219</v>
      </c>
      <c r="D3039" t="s">
        <v>57</v>
      </c>
      <c r="E3039" t="s">
        <v>86</v>
      </c>
      <c r="F3039" t="s">
        <v>58</v>
      </c>
      <c r="G3039" t="s">
        <v>59</v>
      </c>
      <c r="H3039" t="s">
        <v>60</v>
      </c>
      <c r="J3039" t="s">
        <v>86</v>
      </c>
      <c r="L3039" t="s">
        <v>74</v>
      </c>
      <c r="M3039" t="s">
        <v>63</v>
      </c>
      <c r="N3039" t="s">
        <v>64</v>
      </c>
      <c r="P3039" t="s">
        <v>201</v>
      </c>
      <c r="R3039">
        <v>1.129</v>
      </c>
      <c r="W3039" t="s">
        <v>66</v>
      </c>
      <c r="X3039" t="s">
        <v>67</v>
      </c>
      <c r="Y3039" t="s">
        <v>67</v>
      </c>
      <c r="Z3039" t="s">
        <v>68</v>
      </c>
      <c r="AB3039">
        <v>4</v>
      </c>
      <c r="AC3039" t="s">
        <v>61</v>
      </c>
      <c r="AJ3039" t="s">
        <v>69</v>
      </c>
      <c r="AY3039" t="s">
        <v>2227</v>
      </c>
      <c r="AZ3039">
        <v>5081</v>
      </c>
      <c r="BA3039" t="s">
        <v>2228</v>
      </c>
      <c r="BB3039" t="s">
        <v>2229</v>
      </c>
      <c r="BC3039">
        <v>1978</v>
      </c>
      <c r="BD3039" t="s">
        <v>90</v>
      </c>
    </row>
    <row r="3040" spans="1:56" x14ac:dyDescent="0.35">
      <c r="A3040">
        <v>7758987</v>
      </c>
      <c r="B3040" t="s">
        <v>2219</v>
      </c>
      <c r="D3040" t="s">
        <v>85</v>
      </c>
      <c r="E3040" t="s">
        <v>86</v>
      </c>
      <c r="F3040" t="s">
        <v>58</v>
      </c>
      <c r="G3040" t="s">
        <v>59</v>
      </c>
      <c r="H3040" t="s">
        <v>60</v>
      </c>
      <c r="J3040" t="s">
        <v>86</v>
      </c>
      <c r="L3040" t="s">
        <v>62</v>
      </c>
      <c r="M3040" t="s">
        <v>63</v>
      </c>
      <c r="N3040" t="s">
        <v>64</v>
      </c>
      <c r="P3040" t="s">
        <v>201</v>
      </c>
      <c r="R3040">
        <v>0.43</v>
      </c>
      <c r="W3040" t="s">
        <v>66</v>
      </c>
      <c r="X3040" t="s">
        <v>67</v>
      </c>
      <c r="Y3040" t="s">
        <v>67</v>
      </c>
      <c r="Z3040" t="s">
        <v>68</v>
      </c>
      <c r="AB3040">
        <v>4</v>
      </c>
      <c r="AC3040" t="s">
        <v>61</v>
      </c>
      <c r="AJ3040" t="s">
        <v>69</v>
      </c>
      <c r="AY3040" t="s">
        <v>2185</v>
      </c>
      <c r="AZ3040">
        <v>2006</v>
      </c>
      <c r="BA3040" t="s">
        <v>2259</v>
      </c>
      <c r="BB3040" t="s">
        <v>2260</v>
      </c>
      <c r="BC3040">
        <v>1968</v>
      </c>
      <c r="BD3040" t="s">
        <v>90</v>
      </c>
    </row>
    <row r="3041" spans="1:56" x14ac:dyDescent="0.35">
      <c r="A3041">
        <v>7758987</v>
      </c>
      <c r="B3041" t="s">
        <v>2219</v>
      </c>
      <c r="D3041" t="s">
        <v>57</v>
      </c>
      <c r="E3041" t="s">
        <v>86</v>
      </c>
      <c r="F3041" t="s">
        <v>58</v>
      </c>
      <c r="G3041" t="s">
        <v>59</v>
      </c>
      <c r="H3041" t="s">
        <v>60</v>
      </c>
      <c r="I3041" t="s">
        <v>188</v>
      </c>
      <c r="J3041" t="s">
        <v>289</v>
      </c>
      <c r="K3041" t="s">
        <v>184</v>
      </c>
      <c r="L3041" t="s">
        <v>74</v>
      </c>
      <c r="M3041" t="s">
        <v>63</v>
      </c>
      <c r="N3041" t="s">
        <v>64</v>
      </c>
      <c r="P3041" t="s">
        <v>201</v>
      </c>
      <c r="R3041">
        <v>0.2262673</v>
      </c>
      <c r="W3041" t="s">
        <v>66</v>
      </c>
      <c r="X3041" t="s">
        <v>67</v>
      </c>
      <c r="Y3041" t="s">
        <v>67</v>
      </c>
      <c r="Z3041" t="s">
        <v>68</v>
      </c>
      <c r="AB3041">
        <v>4</v>
      </c>
      <c r="AC3041" t="s">
        <v>61</v>
      </c>
      <c r="AJ3041" t="s">
        <v>69</v>
      </c>
      <c r="AY3041" t="s">
        <v>2220</v>
      </c>
      <c r="AZ3041">
        <v>16342</v>
      </c>
      <c r="BA3041" t="s">
        <v>2221</v>
      </c>
      <c r="BB3041" t="s">
        <v>2222</v>
      </c>
      <c r="BC3041">
        <v>1996</v>
      </c>
      <c r="BD3041" t="s">
        <v>185</v>
      </c>
    </row>
    <row r="3042" spans="1:56" x14ac:dyDescent="0.35">
      <c r="A3042">
        <v>7758987</v>
      </c>
      <c r="B3042" t="s">
        <v>2219</v>
      </c>
      <c r="D3042" t="s">
        <v>57</v>
      </c>
      <c r="E3042" t="s">
        <v>86</v>
      </c>
      <c r="F3042" t="s">
        <v>58</v>
      </c>
      <c r="G3042" t="s">
        <v>59</v>
      </c>
      <c r="H3042" t="s">
        <v>60</v>
      </c>
      <c r="I3042" t="s">
        <v>188</v>
      </c>
      <c r="J3042" t="s">
        <v>289</v>
      </c>
      <c r="K3042" t="s">
        <v>184</v>
      </c>
      <c r="L3042" t="s">
        <v>62</v>
      </c>
      <c r="M3042" t="s">
        <v>63</v>
      </c>
      <c r="N3042" t="s">
        <v>64</v>
      </c>
      <c r="O3042">
        <v>6</v>
      </c>
      <c r="P3042" t="s">
        <v>201</v>
      </c>
      <c r="R3042">
        <v>0.18101384000000001</v>
      </c>
      <c r="T3042">
        <v>0.134144185</v>
      </c>
      <c r="V3042">
        <v>0.244045445</v>
      </c>
      <c r="W3042" t="s">
        <v>66</v>
      </c>
      <c r="X3042" t="s">
        <v>67</v>
      </c>
      <c r="Y3042" t="s">
        <v>67</v>
      </c>
      <c r="Z3042" t="s">
        <v>68</v>
      </c>
      <c r="AB3042">
        <v>4</v>
      </c>
      <c r="AC3042" t="s">
        <v>61</v>
      </c>
      <c r="AJ3042" t="s">
        <v>69</v>
      </c>
      <c r="AY3042" t="s">
        <v>2233</v>
      </c>
      <c r="AZ3042">
        <v>76238</v>
      </c>
      <c r="BA3042" t="s">
        <v>2234</v>
      </c>
      <c r="BB3042" t="s">
        <v>2235</v>
      </c>
      <c r="BC3042">
        <v>1996</v>
      </c>
      <c r="BD3042" t="s">
        <v>185</v>
      </c>
    </row>
    <row r="3043" spans="1:56" x14ac:dyDescent="0.35">
      <c r="A3043">
        <v>7758987</v>
      </c>
      <c r="B3043" t="s">
        <v>2219</v>
      </c>
      <c r="D3043" t="s">
        <v>57</v>
      </c>
      <c r="E3043" t="s">
        <v>86</v>
      </c>
      <c r="F3043" t="s">
        <v>58</v>
      </c>
      <c r="G3043" t="s">
        <v>59</v>
      </c>
      <c r="H3043" t="s">
        <v>60</v>
      </c>
      <c r="I3043" t="s">
        <v>188</v>
      </c>
      <c r="J3043" t="s">
        <v>289</v>
      </c>
      <c r="K3043" t="s">
        <v>184</v>
      </c>
      <c r="L3043" t="s">
        <v>62</v>
      </c>
      <c r="M3043" t="s">
        <v>63</v>
      </c>
      <c r="N3043" t="s">
        <v>64</v>
      </c>
      <c r="O3043">
        <v>6</v>
      </c>
      <c r="P3043" t="s">
        <v>201</v>
      </c>
      <c r="R3043">
        <v>0.42021069999999999</v>
      </c>
      <c r="T3043">
        <v>0.35556290000000002</v>
      </c>
      <c r="V3043">
        <v>0.50102044999999995</v>
      </c>
      <c r="W3043" t="s">
        <v>66</v>
      </c>
      <c r="X3043" t="s">
        <v>67</v>
      </c>
      <c r="Y3043" t="s">
        <v>67</v>
      </c>
      <c r="Z3043" t="s">
        <v>68</v>
      </c>
      <c r="AB3043">
        <v>4</v>
      </c>
      <c r="AC3043" t="s">
        <v>61</v>
      </c>
      <c r="AJ3043" t="s">
        <v>69</v>
      </c>
      <c r="AY3043" t="s">
        <v>2233</v>
      </c>
      <c r="AZ3043">
        <v>76238</v>
      </c>
      <c r="BA3043" t="s">
        <v>2234</v>
      </c>
      <c r="BB3043" t="s">
        <v>2235</v>
      </c>
      <c r="BC3043">
        <v>1996</v>
      </c>
      <c r="BD3043" t="s">
        <v>185</v>
      </c>
    </row>
    <row r="3044" spans="1:56" x14ac:dyDescent="0.35">
      <c r="A3044">
        <v>7758987</v>
      </c>
      <c r="B3044" t="s">
        <v>2219</v>
      </c>
      <c r="D3044" t="s">
        <v>57</v>
      </c>
      <c r="E3044" t="s">
        <v>86</v>
      </c>
      <c r="F3044" t="s">
        <v>58</v>
      </c>
      <c r="G3044" t="s">
        <v>59</v>
      </c>
      <c r="H3044" t="s">
        <v>60</v>
      </c>
      <c r="I3044" t="s">
        <v>188</v>
      </c>
      <c r="J3044" t="s">
        <v>289</v>
      </c>
      <c r="K3044" t="s">
        <v>184</v>
      </c>
      <c r="L3044" t="s">
        <v>74</v>
      </c>
      <c r="M3044" t="s">
        <v>63</v>
      </c>
      <c r="N3044" t="s">
        <v>64</v>
      </c>
      <c r="P3044" t="s">
        <v>201</v>
      </c>
      <c r="R3044">
        <v>0.10990126</v>
      </c>
      <c r="W3044" t="s">
        <v>66</v>
      </c>
      <c r="X3044" t="s">
        <v>67</v>
      </c>
      <c r="Y3044" t="s">
        <v>67</v>
      </c>
      <c r="Z3044" t="s">
        <v>68</v>
      </c>
      <c r="AB3044">
        <v>4</v>
      </c>
      <c r="AC3044" t="s">
        <v>61</v>
      </c>
      <c r="AJ3044" t="s">
        <v>69</v>
      </c>
      <c r="AY3044" t="s">
        <v>2220</v>
      </c>
      <c r="AZ3044">
        <v>16342</v>
      </c>
      <c r="BA3044" t="s">
        <v>2221</v>
      </c>
      <c r="BB3044" t="s">
        <v>2222</v>
      </c>
      <c r="BC3044">
        <v>1996</v>
      </c>
      <c r="BD3044" t="s">
        <v>185</v>
      </c>
    </row>
    <row r="3045" spans="1:56" x14ac:dyDescent="0.35">
      <c r="A3045">
        <v>7758987</v>
      </c>
      <c r="B3045" t="s">
        <v>2219</v>
      </c>
      <c r="D3045" t="s">
        <v>85</v>
      </c>
      <c r="E3045" t="s">
        <v>86</v>
      </c>
      <c r="F3045" t="s">
        <v>58</v>
      </c>
      <c r="G3045" t="s">
        <v>59</v>
      </c>
      <c r="H3045" t="s">
        <v>60</v>
      </c>
      <c r="I3045" t="s">
        <v>188</v>
      </c>
      <c r="J3045" t="s">
        <v>289</v>
      </c>
      <c r="K3045" t="s">
        <v>184</v>
      </c>
      <c r="L3045" t="s">
        <v>190</v>
      </c>
      <c r="M3045" t="s">
        <v>63</v>
      </c>
      <c r="N3045" t="s">
        <v>64</v>
      </c>
      <c r="O3045">
        <v>6</v>
      </c>
      <c r="P3045" t="s">
        <v>1296</v>
      </c>
      <c r="R3045">
        <v>0.59770000000000001</v>
      </c>
      <c r="T3045">
        <v>0.53300000000000003</v>
      </c>
      <c r="V3045">
        <v>0.67020000000000002</v>
      </c>
      <c r="W3045" t="s">
        <v>66</v>
      </c>
      <c r="X3045" t="s">
        <v>67</v>
      </c>
      <c r="Y3045" t="s">
        <v>67</v>
      </c>
      <c r="Z3045" t="s">
        <v>68</v>
      </c>
      <c r="AB3045">
        <v>4</v>
      </c>
      <c r="AC3045" t="s">
        <v>61</v>
      </c>
      <c r="AJ3045" t="s">
        <v>69</v>
      </c>
      <c r="AY3045" t="s">
        <v>2245</v>
      </c>
      <c r="AZ3045">
        <v>80428</v>
      </c>
      <c r="BA3045" t="s">
        <v>2246</v>
      </c>
      <c r="BB3045" t="s">
        <v>2247</v>
      </c>
      <c r="BC3045">
        <v>2004</v>
      </c>
      <c r="BD3045" t="s">
        <v>185</v>
      </c>
    </row>
    <row r="3046" spans="1:56" x14ac:dyDescent="0.35">
      <c r="A3046">
        <v>7758987</v>
      </c>
      <c r="B3046" t="s">
        <v>2219</v>
      </c>
      <c r="D3046" t="s">
        <v>57</v>
      </c>
      <c r="E3046" t="s">
        <v>86</v>
      </c>
      <c r="F3046" t="s">
        <v>58</v>
      </c>
      <c r="G3046" t="s">
        <v>59</v>
      </c>
      <c r="H3046" t="s">
        <v>60</v>
      </c>
      <c r="I3046" t="s">
        <v>188</v>
      </c>
      <c r="J3046" t="s">
        <v>289</v>
      </c>
      <c r="K3046" t="s">
        <v>184</v>
      </c>
      <c r="L3046" t="s">
        <v>62</v>
      </c>
      <c r="M3046" t="s">
        <v>63</v>
      </c>
      <c r="N3046" t="s">
        <v>64</v>
      </c>
      <c r="P3046" t="s">
        <v>201</v>
      </c>
      <c r="R3046">
        <v>0.74344969999999999</v>
      </c>
      <c r="T3046">
        <v>0.56566824999999998</v>
      </c>
      <c r="V3046">
        <v>0.98587895000000003</v>
      </c>
      <c r="W3046" t="s">
        <v>66</v>
      </c>
      <c r="X3046" t="s">
        <v>67</v>
      </c>
      <c r="Y3046" t="s">
        <v>67</v>
      </c>
      <c r="Z3046" t="s">
        <v>68</v>
      </c>
      <c r="AB3046">
        <v>4</v>
      </c>
      <c r="AC3046" t="s">
        <v>61</v>
      </c>
      <c r="AJ3046" t="s">
        <v>69</v>
      </c>
      <c r="AY3046" t="s">
        <v>2220</v>
      </c>
      <c r="AZ3046">
        <v>16342</v>
      </c>
      <c r="BA3046" t="s">
        <v>2221</v>
      </c>
      <c r="BB3046" t="s">
        <v>2222</v>
      </c>
      <c r="BC3046">
        <v>1996</v>
      </c>
      <c r="BD3046" t="s">
        <v>185</v>
      </c>
    </row>
    <row r="3047" spans="1:56" x14ac:dyDescent="0.35">
      <c r="A3047">
        <v>7758987</v>
      </c>
      <c r="B3047" t="s">
        <v>2219</v>
      </c>
      <c r="D3047" t="s">
        <v>57</v>
      </c>
      <c r="E3047" t="s">
        <v>86</v>
      </c>
      <c r="F3047" t="s">
        <v>58</v>
      </c>
      <c r="G3047" t="s">
        <v>59</v>
      </c>
      <c r="H3047" t="s">
        <v>60</v>
      </c>
      <c r="I3047" t="s">
        <v>188</v>
      </c>
      <c r="J3047" t="s">
        <v>289</v>
      </c>
      <c r="K3047" t="s">
        <v>184</v>
      </c>
      <c r="L3047" t="s">
        <v>62</v>
      </c>
      <c r="M3047" t="s">
        <v>63</v>
      </c>
      <c r="N3047" t="s">
        <v>64</v>
      </c>
      <c r="O3047">
        <v>6</v>
      </c>
      <c r="P3047" t="s">
        <v>201</v>
      </c>
      <c r="R3047">
        <v>0.43637264999999997</v>
      </c>
      <c r="T3047">
        <v>0.35556290000000002</v>
      </c>
      <c r="V3047">
        <v>0.53334435000000002</v>
      </c>
      <c r="W3047" t="s">
        <v>66</v>
      </c>
      <c r="X3047" t="s">
        <v>67</v>
      </c>
      <c r="Y3047" t="s">
        <v>67</v>
      </c>
      <c r="Z3047" t="s">
        <v>68</v>
      </c>
      <c r="AB3047">
        <v>4</v>
      </c>
      <c r="AC3047" t="s">
        <v>61</v>
      </c>
      <c r="AJ3047" t="s">
        <v>69</v>
      </c>
      <c r="AY3047" t="s">
        <v>2233</v>
      </c>
      <c r="AZ3047">
        <v>76238</v>
      </c>
      <c r="BA3047" t="s">
        <v>2234</v>
      </c>
      <c r="BB3047" t="s">
        <v>2235</v>
      </c>
      <c r="BC3047">
        <v>1996</v>
      </c>
      <c r="BD3047" t="s">
        <v>185</v>
      </c>
    </row>
    <row r="3048" spans="1:56" x14ac:dyDescent="0.35">
      <c r="A3048">
        <v>7758987</v>
      </c>
      <c r="B3048" t="s">
        <v>2219</v>
      </c>
      <c r="D3048" t="s">
        <v>57</v>
      </c>
      <c r="E3048" t="s">
        <v>86</v>
      </c>
      <c r="F3048" t="s">
        <v>58</v>
      </c>
      <c r="G3048" t="s">
        <v>59</v>
      </c>
      <c r="H3048" t="s">
        <v>60</v>
      </c>
      <c r="I3048" t="s">
        <v>188</v>
      </c>
      <c r="J3048" t="s">
        <v>289</v>
      </c>
      <c r="K3048" t="s">
        <v>184</v>
      </c>
      <c r="L3048" t="s">
        <v>74</v>
      </c>
      <c r="M3048" t="s">
        <v>63</v>
      </c>
      <c r="N3048" t="s">
        <v>64</v>
      </c>
      <c r="P3048" t="s">
        <v>201</v>
      </c>
      <c r="R3048">
        <v>0.247277835</v>
      </c>
      <c r="W3048" t="s">
        <v>66</v>
      </c>
      <c r="X3048" t="s">
        <v>67</v>
      </c>
      <c r="Y3048" t="s">
        <v>67</v>
      </c>
      <c r="Z3048" t="s">
        <v>68</v>
      </c>
      <c r="AB3048">
        <v>4</v>
      </c>
      <c r="AC3048" t="s">
        <v>61</v>
      </c>
      <c r="AJ3048" t="s">
        <v>69</v>
      </c>
      <c r="AY3048" t="s">
        <v>2220</v>
      </c>
      <c r="AZ3048">
        <v>16342</v>
      </c>
      <c r="BA3048" t="s">
        <v>2221</v>
      </c>
      <c r="BB3048" t="s">
        <v>2222</v>
      </c>
      <c r="BC3048">
        <v>1996</v>
      </c>
      <c r="BD3048" t="s">
        <v>185</v>
      </c>
    </row>
    <row r="3049" spans="1:56" x14ac:dyDescent="0.35">
      <c r="A3049">
        <v>7758987</v>
      </c>
      <c r="B3049" t="s">
        <v>2219</v>
      </c>
      <c r="D3049" t="s">
        <v>57</v>
      </c>
      <c r="E3049" t="s">
        <v>86</v>
      </c>
      <c r="F3049" t="s">
        <v>58</v>
      </c>
      <c r="G3049" t="s">
        <v>59</v>
      </c>
      <c r="H3049" t="s">
        <v>60</v>
      </c>
      <c r="I3049" t="s">
        <v>129</v>
      </c>
      <c r="J3049" t="s">
        <v>86</v>
      </c>
      <c r="L3049" t="s">
        <v>74</v>
      </c>
      <c r="M3049" t="s">
        <v>63</v>
      </c>
      <c r="N3049" t="s">
        <v>64</v>
      </c>
      <c r="P3049" t="s">
        <v>201</v>
      </c>
      <c r="S3049" t="s">
        <v>153</v>
      </c>
      <c r="T3049">
        <v>0.1</v>
      </c>
      <c r="U3049" t="s">
        <v>435</v>
      </c>
      <c r="V3049">
        <v>0.2</v>
      </c>
      <c r="W3049" t="s">
        <v>66</v>
      </c>
      <c r="X3049" t="s">
        <v>67</v>
      </c>
      <c r="Y3049" t="s">
        <v>67</v>
      </c>
      <c r="Z3049" t="s">
        <v>68</v>
      </c>
      <c r="AB3049">
        <v>4</v>
      </c>
      <c r="AC3049" t="s">
        <v>61</v>
      </c>
      <c r="AJ3049" t="s">
        <v>69</v>
      </c>
      <c r="AY3049" t="s">
        <v>2256</v>
      </c>
      <c r="AZ3049">
        <v>17871</v>
      </c>
      <c r="BA3049" t="s">
        <v>2257</v>
      </c>
      <c r="BB3049" t="s">
        <v>2258</v>
      </c>
      <c r="BC3049">
        <v>1997</v>
      </c>
      <c r="BD3049" t="s">
        <v>90</v>
      </c>
    </row>
    <row r="3050" spans="1:56" x14ac:dyDescent="0.35">
      <c r="A3050">
        <v>7758987</v>
      </c>
      <c r="B3050" t="s">
        <v>2219</v>
      </c>
      <c r="D3050" t="s">
        <v>57</v>
      </c>
      <c r="E3050" t="s">
        <v>86</v>
      </c>
      <c r="F3050" t="s">
        <v>58</v>
      </c>
      <c r="G3050" t="s">
        <v>59</v>
      </c>
      <c r="H3050" t="s">
        <v>60</v>
      </c>
      <c r="J3050" t="s">
        <v>86</v>
      </c>
      <c r="L3050" t="s">
        <v>74</v>
      </c>
      <c r="M3050" t="s">
        <v>63</v>
      </c>
      <c r="N3050" t="s">
        <v>64</v>
      </c>
      <c r="P3050" t="s">
        <v>201</v>
      </c>
      <c r="R3050">
        <v>2.3359999999999999</v>
      </c>
      <c r="W3050" t="s">
        <v>66</v>
      </c>
      <c r="X3050" t="s">
        <v>67</v>
      </c>
      <c r="Y3050" t="s">
        <v>67</v>
      </c>
      <c r="Z3050" t="s">
        <v>68</v>
      </c>
      <c r="AB3050">
        <v>4</v>
      </c>
      <c r="AC3050" t="s">
        <v>61</v>
      </c>
      <c r="AJ3050" t="s">
        <v>69</v>
      </c>
      <c r="AY3050" t="s">
        <v>2227</v>
      </c>
      <c r="AZ3050">
        <v>5081</v>
      </c>
      <c r="BA3050" t="s">
        <v>2228</v>
      </c>
      <c r="BB3050" t="s">
        <v>2229</v>
      </c>
      <c r="BC3050">
        <v>1978</v>
      </c>
      <c r="BD3050" t="s">
        <v>90</v>
      </c>
    </row>
    <row r="3051" spans="1:56" x14ac:dyDescent="0.35">
      <c r="A3051">
        <v>7758987</v>
      </c>
      <c r="B3051" t="s">
        <v>2219</v>
      </c>
      <c r="D3051" t="s">
        <v>57</v>
      </c>
      <c r="E3051" t="s">
        <v>86</v>
      </c>
      <c r="F3051" t="s">
        <v>58</v>
      </c>
      <c r="G3051" t="s">
        <v>59</v>
      </c>
      <c r="H3051" t="s">
        <v>60</v>
      </c>
      <c r="I3051" t="s">
        <v>188</v>
      </c>
      <c r="J3051" t="s">
        <v>289</v>
      </c>
      <c r="K3051" t="s">
        <v>184</v>
      </c>
      <c r="L3051" t="s">
        <v>62</v>
      </c>
      <c r="M3051" t="s">
        <v>63</v>
      </c>
      <c r="N3051" t="s">
        <v>64</v>
      </c>
      <c r="P3051" t="s">
        <v>201</v>
      </c>
      <c r="R3051">
        <v>0.509101425</v>
      </c>
      <c r="T3051">
        <v>0.42021069999999999</v>
      </c>
      <c r="V3051">
        <v>0.61415410000000004</v>
      </c>
      <c r="W3051" t="s">
        <v>66</v>
      </c>
      <c r="X3051" t="s">
        <v>67</v>
      </c>
      <c r="Y3051" t="s">
        <v>67</v>
      </c>
      <c r="Z3051" t="s">
        <v>68</v>
      </c>
      <c r="AB3051">
        <v>4</v>
      </c>
      <c r="AC3051" t="s">
        <v>61</v>
      </c>
      <c r="AJ3051" t="s">
        <v>69</v>
      </c>
      <c r="AY3051" t="s">
        <v>2220</v>
      </c>
      <c r="AZ3051">
        <v>16342</v>
      </c>
      <c r="BA3051" t="s">
        <v>2221</v>
      </c>
      <c r="BB3051" t="s">
        <v>2222</v>
      </c>
      <c r="BC3051">
        <v>1996</v>
      </c>
      <c r="BD3051" t="s">
        <v>185</v>
      </c>
    </row>
    <row r="3052" spans="1:56" x14ac:dyDescent="0.35">
      <c r="A3052">
        <v>7758987</v>
      </c>
      <c r="B3052" t="s">
        <v>2219</v>
      </c>
      <c r="D3052" t="s">
        <v>85</v>
      </c>
      <c r="E3052" t="s">
        <v>86</v>
      </c>
      <c r="F3052" t="s">
        <v>58</v>
      </c>
      <c r="G3052" t="s">
        <v>59</v>
      </c>
      <c r="H3052" t="s">
        <v>60</v>
      </c>
      <c r="J3052">
        <v>6</v>
      </c>
      <c r="K3052" t="s">
        <v>320</v>
      </c>
      <c r="L3052" t="s">
        <v>74</v>
      </c>
      <c r="M3052" t="s">
        <v>63</v>
      </c>
      <c r="N3052" t="s">
        <v>64</v>
      </c>
      <c r="P3052" t="s">
        <v>201</v>
      </c>
      <c r="R3052">
        <v>0.46</v>
      </c>
      <c r="T3052">
        <v>0.39</v>
      </c>
      <c r="V3052">
        <v>0.54</v>
      </c>
      <c r="W3052" t="s">
        <v>66</v>
      </c>
      <c r="X3052" t="s">
        <v>67</v>
      </c>
      <c r="Y3052" t="s">
        <v>67</v>
      </c>
      <c r="Z3052" t="s">
        <v>68</v>
      </c>
      <c r="AB3052">
        <v>4</v>
      </c>
      <c r="AC3052" t="s">
        <v>61</v>
      </c>
      <c r="AJ3052" t="s">
        <v>69</v>
      </c>
      <c r="AY3052" t="s">
        <v>2223</v>
      </c>
      <c r="AZ3052">
        <v>2071</v>
      </c>
      <c r="BA3052" t="s">
        <v>2224</v>
      </c>
      <c r="BB3052" t="s">
        <v>2225</v>
      </c>
      <c r="BC3052">
        <v>1976</v>
      </c>
      <c r="BD3052" t="s">
        <v>324</v>
      </c>
    </row>
    <row r="3053" spans="1:56" x14ac:dyDescent="0.35">
      <c r="A3053">
        <v>7758987</v>
      </c>
      <c r="B3053" t="s">
        <v>2219</v>
      </c>
      <c r="D3053" t="s">
        <v>85</v>
      </c>
      <c r="E3053">
        <v>25.5</v>
      </c>
      <c r="F3053" t="s">
        <v>58</v>
      </c>
      <c r="G3053" t="s">
        <v>59</v>
      </c>
      <c r="H3053" t="s">
        <v>60</v>
      </c>
      <c r="J3053" t="s">
        <v>86</v>
      </c>
      <c r="L3053" t="s">
        <v>62</v>
      </c>
      <c r="M3053" t="s">
        <v>63</v>
      </c>
      <c r="N3053" t="s">
        <v>64</v>
      </c>
      <c r="O3053">
        <v>7</v>
      </c>
      <c r="P3053" t="s">
        <v>201</v>
      </c>
      <c r="R3053">
        <v>0.4</v>
      </c>
      <c r="T3053">
        <v>0.3</v>
      </c>
      <c r="V3053">
        <v>0.5</v>
      </c>
      <c r="W3053" t="s">
        <v>66</v>
      </c>
      <c r="X3053" t="s">
        <v>67</v>
      </c>
      <c r="Y3053" t="s">
        <v>67</v>
      </c>
      <c r="Z3053" t="s">
        <v>68</v>
      </c>
      <c r="AB3053">
        <v>4</v>
      </c>
      <c r="AC3053" t="s">
        <v>61</v>
      </c>
      <c r="AJ3053" t="s">
        <v>69</v>
      </c>
      <c r="AY3053" t="s">
        <v>314</v>
      </c>
      <c r="AZ3053">
        <v>73668</v>
      </c>
      <c r="BA3053" t="s">
        <v>315</v>
      </c>
      <c r="BB3053" t="s">
        <v>316</v>
      </c>
      <c r="BC3053">
        <v>1995</v>
      </c>
      <c r="BD3053" t="s">
        <v>90</v>
      </c>
    </row>
    <row r="3054" spans="1:56" x14ac:dyDescent="0.35">
      <c r="A3054">
        <v>7758987</v>
      </c>
      <c r="B3054" t="s">
        <v>2219</v>
      </c>
      <c r="D3054" t="s">
        <v>57</v>
      </c>
      <c r="E3054" t="s">
        <v>86</v>
      </c>
      <c r="F3054" t="s">
        <v>58</v>
      </c>
      <c r="G3054" t="s">
        <v>59</v>
      </c>
      <c r="H3054" t="s">
        <v>60</v>
      </c>
      <c r="I3054" t="s">
        <v>188</v>
      </c>
      <c r="J3054" t="s">
        <v>289</v>
      </c>
      <c r="K3054" t="s">
        <v>184</v>
      </c>
      <c r="L3054" t="s">
        <v>74</v>
      </c>
      <c r="M3054" t="s">
        <v>63</v>
      </c>
      <c r="N3054" t="s">
        <v>64</v>
      </c>
      <c r="P3054" t="s">
        <v>201</v>
      </c>
      <c r="R3054">
        <v>0.35556290000000002</v>
      </c>
      <c r="W3054" t="s">
        <v>66</v>
      </c>
      <c r="X3054" t="s">
        <v>67</v>
      </c>
      <c r="Y3054" t="s">
        <v>67</v>
      </c>
      <c r="Z3054" t="s">
        <v>68</v>
      </c>
      <c r="AB3054">
        <v>4</v>
      </c>
      <c r="AC3054" t="s">
        <v>61</v>
      </c>
      <c r="AJ3054" t="s">
        <v>69</v>
      </c>
      <c r="AY3054" t="s">
        <v>2220</v>
      </c>
      <c r="AZ3054">
        <v>16342</v>
      </c>
      <c r="BA3054" t="s">
        <v>2221</v>
      </c>
      <c r="BB3054" t="s">
        <v>2222</v>
      </c>
      <c r="BC3054">
        <v>1996</v>
      </c>
      <c r="BD3054" t="s">
        <v>185</v>
      </c>
    </row>
    <row r="3055" spans="1:56" x14ac:dyDescent="0.35">
      <c r="A3055">
        <v>7758987</v>
      </c>
      <c r="B3055" t="s">
        <v>2219</v>
      </c>
      <c r="D3055" t="s">
        <v>57</v>
      </c>
      <c r="E3055" t="s">
        <v>86</v>
      </c>
      <c r="F3055" t="s">
        <v>58</v>
      </c>
      <c r="G3055" t="s">
        <v>59</v>
      </c>
      <c r="H3055" t="s">
        <v>60</v>
      </c>
      <c r="I3055" t="s">
        <v>188</v>
      </c>
      <c r="J3055" t="s">
        <v>289</v>
      </c>
      <c r="K3055" t="s">
        <v>184</v>
      </c>
      <c r="L3055" t="s">
        <v>62</v>
      </c>
      <c r="M3055" t="s">
        <v>63</v>
      </c>
      <c r="N3055" t="s">
        <v>64</v>
      </c>
      <c r="P3055" t="s">
        <v>201</v>
      </c>
      <c r="R3055">
        <v>2.6800000000000001E-2</v>
      </c>
      <c r="T3055">
        <v>1.9900000000000001E-2</v>
      </c>
      <c r="V3055">
        <v>3.6200000000000003E-2</v>
      </c>
      <c r="W3055" t="s">
        <v>66</v>
      </c>
      <c r="X3055" t="s">
        <v>67</v>
      </c>
      <c r="Y3055" t="s">
        <v>67</v>
      </c>
      <c r="Z3055" t="s">
        <v>68</v>
      </c>
      <c r="AB3055">
        <v>4</v>
      </c>
      <c r="AC3055" t="s">
        <v>61</v>
      </c>
      <c r="AJ3055" t="s">
        <v>69</v>
      </c>
      <c r="AY3055" t="s">
        <v>2230</v>
      </c>
      <c r="AZ3055">
        <v>17105</v>
      </c>
      <c r="BA3055" t="s">
        <v>2231</v>
      </c>
      <c r="BB3055" t="s">
        <v>2232</v>
      </c>
      <c r="BC3055">
        <v>1996</v>
      </c>
      <c r="BD3055" t="s">
        <v>185</v>
      </c>
    </row>
    <row r="3056" spans="1:56" x14ac:dyDescent="0.35">
      <c r="A3056">
        <v>7758987</v>
      </c>
      <c r="B3056" t="s">
        <v>2219</v>
      </c>
      <c r="C3056" t="s">
        <v>386</v>
      </c>
      <c r="D3056" t="s">
        <v>85</v>
      </c>
      <c r="E3056" t="s">
        <v>86</v>
      </c>
      <c r="F3056" t="s">
        <v>58</v>
      </c>
      <c r="G3056" t="s">
        <v>59</v>
      </c>
      <c r="H3056" t="s">
        <v>60</v>
      </c>
      <c r="J3056" t="s">
        <v>86</v>
      </c>
      <c r="L3056" t="s">
        <v>62</v>
      </c>
      <c r="M3056" t="s">
        <v>63</v>
      </c>
      <c r="P3056" t="s">
        <v>201</v>
      </c>
      <c r="R3056">
        <v>0.31</v>
      </c>
      <c r="T3056">
        <v>0.21</v>
      </c>
      <c r="V3056">
        <v>0.41</v>
      </c>
      <c r="W3056" t="s">
        <v>66</v>
      </c>
      <c r="X3056" t="s">
        <v>67</v>
      </c>
      <c r="Y3056" t="s">
        <v>67</v>
      </c>
      <c r="Z3056" t="s">
        <v>68</v>
      </c>
      <c r="AB3056">
        <v>4</v>
      </c>
      <c r="AC3056" t="s">
        <v>61</v>
      </c>
      <c r="AJ3056" t="s">
        <v>69</v>
      </c>
      <c r="AY3056" t="s">
        <v>2131</v>
      </c>
      <c r="AZ3056">
        <v>10237</v>
      </c>
      <c r="BA3056" t="s">
        <v>2132</v>
      </c>
      <c r="BB3056" t="s">
        <v>2133</v>
      </c>
      <c r="BC3056">
        <v>1983</v>
      </c>
      <c r="BD3056" t="s">
        <v>90</v>
      </c>
    </row>
    <row r="3057" spans="1:56" x14ac:dyDescent="0.35">
      <c r="A3057">
        <v>7758987</v>
      </c>
      <c r="B3057" t="s">
        <v>2219</v>
      </c>
      <c r="D3057" t="s">
        <v>85</v>
      </c>
      <c r="E3057" t="s">
        <v>86</v>
      </c>
      <c r="F3057" t="s">
        <v>58</v>
      </c>
      <c r="G3057" t="s">
        <v>59</v>
      </c>
      <c r="H3057" t="s">
        <v>60</v>
      </c>
      <c r="I3057" t="s">
        <v>188</v>
      </c>
      <c r="J3057" t="s">
        <v>289</v>
      </c>
      <c r="K3057" t="s">
        <v>184</v>
      </c>
      <c r="L3057" t="s">
        <v>190</v>
      </c>
      <c r="M3057" t="s">
        <v>63</v>
      </c>
      <c r="N3057" t="s">
        <v>64</v>
      </c>
      <c r="O3057">
        <v>6</v>
      </c>
      <c r="P3057" t="s">
        <v>1296</v>
      </c>
      <c r="R3057">
        <v>0.72650000000000003</v>
      </c>
      <c r="T3057">
        <v>0.62549999999999994</v>
      </c>
      <c r="V3057">
        <v>0.84379999999999999</v>
      </c>
      <c r="W3057" t="s">
        <v>66</v>
      </c>
      <c r="X3057" t="s">
        <v>67</v>
      </c>
      <c r="Y3057" t="s">
        <v>67</v>
      </c>
      <c r="Z3057" t="s">
        <v>68</v>
      </c>
      <c r="AB3057">
        <v>4</v>
      </c>
      <c r="AC3057" t="s">
        <v>61</v>
      </c>
      <c r="AJ3057" t="s">
        <v>69</v>
      </c>
      <c r="AY3057" t="s">
        <v>2245</v>
      </c>
      <c r="AZ3057">
        <v>80428</v>
      </c>
      <c r="BA3057" t="s">
        <v>2246</v>
      </c>
      <c r="BB3057" t="s">
        <v>2247</v>
      </c>
      <c r="BC3057">
        <v>2004</v>
      </c>
      <c r="BD3057" t="s">
        <v>185</v>
      </c>
    </row>
    <row r="3058" spans="1:56" x14ac:dyDescent="0.35">
      <c r="A3058">
        <v>7758987</v>
      </c>
      <c r="B3058" t="s">
        <v>2219</v>
      </c>
      <c r="D3058" t="s">
        <v>57</v>
      </c>
      <c r="E3058" t="s">
        <v>86</v>
      </c>
      <c r="F3058" t="s">
        <v>58</v>
      </c>
      <c r="G3058" t="s">
        <v>59</v>
      </c>
      <c r="H3058" t="s">
        <v>60</v>
      </c>
      <c r="I3058" t="s">
        <v>188</v>
      </c>
      <c r="J3058">
        <v>1</v>
      </c>
      <c r="K3058" t="s">
        <v>61</v>
      </c>
      <c r="L3058" t="s">
        <v>62</v>
      </c>
      <c r="M3058" t="s">
        <v>63</v>
      </c>
      <c r="N3058" t="s">
        <v>64</v>
      </c>
      <c r="P3058" t="s">
        <v>1296</v>
      </c>
      <c r="R3058">
        <v>5.0999999999999997E-2</v>
      </c>
      <c r="W3058" t="s">
        <v>66</v>
      </c>
      <c r="X3058" t="s">
        <v>67</v>
      </c>
      <c r="Y3058" t="s">
        <v>67</v>
      </c>
      <c r="Z3058" t="s">
        <v>68</v>
      </c>
      <c r="AB3058">
        <v>4</v>
      </c>
      <c r="AC3058" t="s">
        <v>61</v>
      </c>
      <c r="AJ3058" t="s">
        <v>69</v>
      </c>
      <c r="AQ3058" t="s">
        <v>69</v>
      </c>
      <c r="AY3058" t="s">
        <v>2261</v>
      </c>
      <c r="AZ3058">
        <v>5203</v>
      </c>
      <c r="BA3058" t="s">
        <v>2262</v>
      </c>
      <c r="BB3058" t="s">
        <v>2263</v>
      </c>
      <c r="BC3058">
        <v>1985</v>
      </c>
      <c r="BD3058" t="s">
        <v>2264</v>
      </c>
    </row>
    <row r="3059" spans="1:56" x14ac:dyDescent="0.35">
      <c r="A3059">
        <v>7758987</v>
      </c>
      <c r="B3059" t="s">
        <v>2219</v>
      </c>
      <c r="D3059" t="s">
        <v>85</v>
      </c>
      <c r="E3059">
        <v>25.5</v>
      </c>
      <c r="F3059" t="s">
        <v>58</v>
      </c>
      <c r="G3059" t="s">
        <v>59</v>
      </c>
      <c r="H3059" t="s">
        <v>60</v>
      </c>
      <c r="J3059" t="s">
        <v>86</v>
      </c>
      <c r="L3059" t="s">
        <v>62</v>
      </c>
      <c r="M3059" t="s">
        <v>63</v>
      </c>
      <c r="N3059" t="s">
        <v>64</v>
      </c>
      <c r="O3059">
        <v>7</v>
      </c>
      <c r="P3059" t="s">
        <v>201</v>
      </c>
      <c r="R3059">
        <v>0.39</v>
      </c>
      <c r="T3059">
        <v>0.3</v>
      </c>
      <c r="V3059">
        <v>0.5</v>
      </c>
      <c r="W3059" t="s">
        <v>66</v>
      </c>
      <c r="X3059" t="s">
        <v>67</v>
      </c>
      <c r="Y3059" t="s">
        <v>67</v>
      </c>
      <c r="Z3059" t="s">
        <v>68</v>
      </c>
      <c r="AB3059">
        <v>4</v>
      </c>
      <c r="AC3059" t="s">
        <v>61</v>
      </c>
      <c r="AJ3059" t="s">
        <v>69</v>
      </c>
      <c r="AY3059" t="s">
        <v>314</v>
      </c>
      <c r="AZ3059">
        <v>73668</v>
      </c>
      <c r="BA3059" t="s">
        <v>315</v>
      </c>
      <c r="BB3059" t="s">
        <v>316</v>
      </c>
      <c r="BC3059">
        <v>1995</v>
      </c>
      <c r="BD3059" t="s">
        <v>90</v>
      </c>
    </row>
    <row r="3060" spans="1:56" x14ac:dyDescent="0.35">
      <c r="A3060">
        <v>7758987</v>
      </c>
      <c r="B3060" t="s">
        <v>2219</v>
      </c>
      <c r="D3060" t="s">
        <v>57</v>
      </c>
      <c r="E3060" t="s">
        <v>86</v>
      </c>
      <c r="F3060" t="s">
        <v>58</v>
      </c>
      <c r="G3060" t="s">
        <v>59</v>
      </c>
      <c r="H3060" t="s">
        <v>60</v>
      </c>
      <c r="I3060" t="s">
        <v>188</v>
      </c>
      <c r="J3060" t="s">
        <v>289</v>
      </c>
      <c r="K3060" t="s">
        <v>184</v>
      </c>
      <c r="L3060" t="s">
        <v>62</v>
      </c>
      <c r="M3060" t="s">
        <v>63</v>
      </c>
      <c r="N3060" t="s">
        <v>64</v>
      </c>
      <c r="P3060" t="s">
        <v>201</v>
      </c>
      <c r="R3060">
        <v>5.495063E-2</v>
      </c>
      <c r="T3060">
        <v>2.9091510000000001E-2</v>
      </c>
      <c r="V3060">
        <v>0.105052675</v>
      </c>
      <c r="W3060" t="s">
        <v>66</v>
      </c>
      <c r="X3060" t="s">
        <v>67</v>
      </c>
      <c r="Y3060" t="s">
        <v>67</v>
      </c>
      <c r="Z3060" t="s">
        <v>68</v>
      </c>
      <c r="AB3060">
        <v>4</v>
      </c>
      <c r="AC3060" t="s">
        <v>61</v>
      </c>
      <c r="AJ3060" t="s">
        <v>69</v>
      </c>
      <c r="AY3060" t="s">
        <v>2220</v>
      </c>
      <c r="AZ3060">
        <v>16342</v>
      </c>
      <c r="BA3060" t="s">
        <v>2221</v>
      </c>
      <c r="BB3060" t="s">
        <v>2222</v>
      </c>
      <c r="BC3060">
        <v>1996</v>
      </c>
      <c r="BD3060" t="s">
        <v>185</v>
      </c>
    </row>
    <row r="3061" spans="1:56" x14ac:dyDescent="0.35">
      <c r="A3061">
        <v>7758987</v>
      </c>
      <c r="B3061" t="s">
        <v>2219</v>
      </c>
      <c r="D3061" t="s">
        <v>57</v>
      </c>
      <c r="E3061" t="s">
        <v>86</v>
      </c>
      <c r="F3061" t="s">
        <v>58</v>
      </c>
      <c r="G3061" t="s">
        <v>59</v>
      </c>
      <c r="H3061" t="s">
        <v>60</v>
      </c>
      <c r="I3061" t="s">
        <v>177</v>
      </c>
      <c r="J3061" t="s">
        <v>505</v>
      </c>
      <c r="K3061" t="s">
        <v>61</v>
      </c>
      <c r="L3061" t="s">
        <v>62</v>
      </c>
      <c r="M3061" t="s">
        <v>63</v>
      </c>
      <c r="N3061" t="s">
        <v>64</v>
      </c>
      <c r="P3061" t="s">
        <v>201</v>
      </c>
      <c r="R3061">
        <v>1.11E-2</v>
      </c>
      <c r="T3061">
        <v>8.8999999999999999E-3</v>
      </c>
      <c r="V3061">
        <v>1.38E-2</v>
      </c>
      <c r="W3061" t="s">
        <v>66</v>
      </c>
      <c r="X3061" t="s">
        <v>67</v>
      </c>
      <c r="Y3061" t="s">
        <v>67</v>
      </c>
      <c r="Z3061" t="s">
        <v>68</v>
      </c>
      <c r="AB3061">
        <v>4</v>
      </c>
      <c r="AC3061" t="s">
        <v>61</v>
      </c>
      <c r="AJ3061" t="s">
        <v>69</v>
      </c>
      <c r="AY3061" t="s">
        <v>2236</v>
      </c>
      <c r="AZ3061">
        <v>8034</v>
      </c>
      <c r="BA3061" t="s">
        <v>2237</v>
      </c>
      <c r="BB3061" t="s">
        <v>2238</v>
      </c>
      <c r="BC3061">
        <v>1993</v>
      </c>
      <c r="BD3061" t="s">
        <v>73</v>
      </c>
    </row>
    <row r="3062" spans="1:56" x14ac:dyDescent="0.35">
      <c r="A3062">
        <v>7758987</v>
      </c>
      <c r="B3062" t="s">
        <v>2219</v>
      </c>
      <c r="D3062" t="s">
        <v>57</v>
      </c>
      <c r="E3062" t="s">
        <v>86</v>
      </c>
      <c r="F3062" t="s">
        <v>58</v>
      </c>
      <c r="G3062" t="s">
        <v>59</v>
      </c>
      <c r="H3062" t="s">
        <v>60</v>
      </c>
      <c r="I3062" t="s">
        <v>188</v>
      </c>
      <c r="J3062" t="s">
        <v>289</v>
      </c>
      <c r="K3062" t="s">
        <v>184</v>
      </c>
      <c r="L3062" t="s">
        <v>74</v>
      </c>
      <c r="M3062" t="s">
        <v>63</v>
      </c>
      <c r="N3062" t="s">
        <v>64</v>
      </c>
      <c r="P3062" t="s">
        <v>201</v>
      </c>
      <c r="R3062">
        <v>0.34748192500000002</v>
      </c>
      <c r="T3062">
        <v>0.31515802500000001</v>
      </c>
      <c r="V3062">
        <v>0.37980582499999999</v>
      </c>
      <c r="W3062" t="s">
        <v>66</v>
      </c>
      <c r="X3062" t="s">
        <v>67</v>
      </c>
      <c r="Y3062" t="s">
        <v>67</v>
      </c>
      <c r="Z3062" t="s">
        <v>68</v>
      </c>
      <c r="AB3062">
        <v>4</v>
      </c>
      <c r="AC3062" t="s">
        <v>61</v>
      </c>
      <c r="AJ3062" t="s">
        <v>69</v>
      </c>
      <c r="AY3062" t="s">
        <v>2220</v>
      </c>
      <c r="AZ3062">
        <v>16342</v>
      </c>
      <c r="BA3062" t="s">
        <v>2221</v>
      </c>
      <c r="BB3062" t="s">
        <v>2222</v>
      </c>
      <c r="BC3062">
        <v>1996</v>
      </c>
      <c r="BD3062" t="s">
        <v>185</v>
      </c>
    </row>
    <row r="3063" spans="1:56" x14ac:dyDescent="0.35">
      <c r="A3063">
        <v>7758987</v>
      </c>
      <c r="B3063" t="s">
        <v>2219</v>
      </c>
      <c r="D3063" t="s">
        <v>85</v>
      </c>
      <c r="E3063" t="s">
        <v>86</v>
      </c>
      <c r="F3063" t="s">
        <v>58</v>
      </c>
      <c r="G3063" t="s">
        <v>59</v>
      </c>
      <c r="H3063" t="s">
        <v>60</v>
      </c>
      <c r="I3063" t="s">
        <v>188</v>
      </c>
      <c r="J3063" t="s">
        <v>289</v>
      </c>
      <c r="K3063" t="s">
        <v>184</v>
      </c>
      <c r="L3063" t="s">
        <v>190</v>
      </c>
      <c r="M3063" t="s">
        <v>63</v>
      </c>
      <c r="N3063" t="s">
        <v>64</v>
      </c>
      <c r="O3063">
        <v>6</v>
      </c>
      <c r="P3063" t="s">
        <v>1296</v>
      </c>
      <c r="R3063">
        <v>0.36359999999999998</v>
      </c>
      <c r="T3063">
        <v>0.30470000000000003</v>
      </c>
      <c r="V3063">
        <v>0.43390000000000001</v>
      </c>
      <c r="W3063" t="s">
        <v>66</v>
      </c>
      <c r="X3063" t="s">
        <v>67</v>
      </c>
      <c r="Y3063" t="s">
        <v>67</v>
      </c>
      <c r="Z3063" t="s">
        <v>68</v>
      </c>
      <c r="AB3063">
        <v>4</v>
      </c>
      <c r="AC3063" t="s">
        <v>61</v>
      </c>
      <c r="AJ3063" t="s">
        <v>69</v>
      </c>
      <c r="AY3063" t="s">
        <v>2245</v>
      </c>
      <c r="AZ3063">
        <v>80428</v>
      </c>
      <c r="BA3063" t="s">
        <v>2246</v>
      </c>
      <c r="BB3063" t="s">
        <v>2247</v>
      </c>
      <c r="BC3063">
        <v>2004</v>
      </c>
      <c r="BD3063" t="s">
        <v>185</v>
      </c>
    </row>
    <row r="3064" spans="1:56" x14ac:dyDescent="0.35">
      <c r="A3064">
        <v>7758987</v>
      </c>
      <c r="B3064" t="s">
        <v>2219</v>
      </c>
      <c r="D3064" t="s">
        <v>57</v>
      </c>
      <c r="E3064" t="s">
        <v>86</v>
      </c>
      <c r="F3064" t="s">
        <v>58</v>
      </c>
      <c r="G3064" t="s">
        <v>59</v>
      </c>
      <c r="H3064" t="s">
        <v>60</v>
      </c>
      <c r="I3064" t="s">
        <v>188</v>
      </c>
      <c r="J3064" t="s">
        <v>289</v>
      </c>
      <c r="K3064" t="s">
        <v>184</v>
      </c>
      <c r="L3064" t="s">
        <v>62</v>
      </c>
      <c r="M3064" t="s">
        <v>63</v>
      </c>
      <c r="N3064" t="s">
        <v>64</v>
      </c>
      <c r="O3064">
        <v>6</v>
      </c>
      <c r="P3064" t="s">
        <v>201</v>
      </c>
      <c r="R3064">
        <v>0.646478</v>
      </c>
      <c r="T3064">
        <v>0.5495063</v>
      </c>
      <c r="V3064">
        <v>0.74344969999999999</v>
      </c>
      <c r="W3064" t="s">
        <v>66</v>
      </c>
      <c r="X3064" t="s">
        <v>67</v>
      </c>
      <c r="Y3064" t="s">
        <v>67</v>
      </c>
      <c r="Z3064" t="s">
        <v>68</v>
      </c>
      <c r="AB3064">
        <v>4</v>
      </c>
      <c r="AC3064" t="s">
        <v>61</v>
      </c>
      <c r="AJ3064" t="s">
        <v>69</v>
      </c>
      <c r="AY3064" t="s">
        <v>2233</v>
      </c>
      <c r="AZ3064">
        <v>76238</v>
      </c>
      <c r="BA3064" t="s">
        <v>2234</v>
      </c>
      <c r="BB3064" t="s">
        <v>2235</v>
      </c>
      <c r="BC3064">
        <v>1996</v>
      </c>
      <c r="BD3064" t="s">
        <v>185</v>
      </c>
    </row>
    <row r="3065" spans="1:56" x14ac:dyDescent="0.35">
      <c r="A3065">
        <v>7758987</v>
      </c>
      <c r="B3065" t="s">
        <v>2219</v>
      </c>
      <c r="D3065" t="s">
        <v>85</v>
      </c>
      <c r="E3065" t="s">
        <v>86</v>
      </c>
      <c r="F3065" t="s">
        <v>58</v>
      </c>
      <c r="G3065" t="s">
        <v>59</v>
      </c>
      <c r="H3065" t="s">
        <v>60</v>
      </c>
      <c r="I3065" t="s">
        <v>177</v>
      </c>
      <c r="J3065">
        <v>6</v>
      </c>
      <c r="K3065" t="s">
        <v>196</v>
      </c>
      <c r="L3065" t="s">
        <v>74</v>
      </c>
      <c r="M3065" t="s">
        <v>63</v>
      </c>
      <c r="N3065" t="s">
        <v>64</v>
      </c>
      <c r="P3065" t="s">
        <v>201</v>
      </c>
      <c r="R3065">
        <v>0.49</v>
      </c>
      <c r="T3065">
        <v>0.41</v>
      </c>
      <c r="V3065">
        <v>0.63</v>
      </c>
      <c r="W3065" t="s">
        <v>66</v>
      </c>
      <c r="X3065" t="s">
        <v>67</v>
      </c>
      <c r="Y3065" t="s">
        <v>67</v>
      </c>
      <c r="Z3065" t="s">
        <v>68</v>
      </c>
      <c r="AB3065">
        <v>4</v>
      </c>
      <c r="AC3065" t="s">
        <v>61</v>
      </c>
      <c r="AJ3065" t="s">
        <v>69</v>
      </c>
      <c r="AY3065" t="s">
        <v>2223</v>
      </c>
      <c r="AZ3065">
        <v>2071</v>
      </c>
      <c r="BA3065" t="s">
        <v>2224</v>
      </c>
      <c r="BB3065" t="s">
        <v>2225</v>
      </c>
      <c r="BC3065">
        <v>1976</v>
      </c>
      <c r="BD3065" t="s">
        <v>200</v>
      </c>
    </row>
    <row r="3066" spans="1:56" x14ac:dyDescent="0.35">
      <c r="A3066">
        <v>7758987</v>
      </c>
      <c r="B3066" t="s">
        <v>2219</v>
      </c>
      <c r="D3066" t="s">
        <v>57</v>
      </c>
      <c r="E3066" t="s">
        <v>86</v>
      </c>
      <c r="F3066" t="s">
        <v>58</v>
      </c>
      <c r="G3066" t="s">
        <v>59</v>
      </c>
      <c r="H3066" t="s">
        <v>60</v>
      </c>
      <c r="I3066" t="s">
        <v>188</v>
      </c>
      <c r="J3066" t="s">
        <v>289</v>
      </c>
      <c r="K3066" t="s">
        <v>184</v>
      </c>
      <c r="L3066" t="s">
        <v>62</v>
      </c>
      <c r="M3066" t="s">
        <v>63</v>
      </c>
      <c r="N3066" t="s">
        <v>64</v>
      </c>
      <c r="P3066" t="s">
        <v>201</v>
      </c>
      <c r="Q3066" t="s">
        <v>153</v>
      </c>
      <c r="R3066">
        <v>0.80809750000000002</v>
      </c>
      <c r="W3066" t="s">
        <v>66</v>
      </c>
      <c r="X3066" t="s">
        <v>67</v>
      </c>
      <c r="Y3066" t="s">
        <v>67</v>
      </c>
      <c r="Z3066" t="s">
        <v>68</v>
      </c>
      <c r="AB3066">
        <v>4</v>
      </c>
      <c r="AC3066" t="s">
        <v>61</v>
      </c>
      <c r="AJ3066" t="s">
        <v>69</v>
      </c>
      <c r="AY3066" t="s">
        <v>2220</v>
      </c>
      <c r="AZ3066">
        <v>16342</v>
      </c>
      <c r="BA3066" t="s">
        <v>2221</v>
      </c>
      <c r="BB3066" t="s">
        <v>2222</v>
      </c>
      <c r="BC3066">
        <v>1996</v>
      </c>
      <c r="BD3066" t="s">
        <v>185</v>
      </c>
    </row>
    <row r="3067" spans="1:56" x14ac:dyDescent="0.35">
      <c r="A3067">
        <v>7758987</v>
      </c>
      <c r="B3067" t="s">
        <v>2219</v>
      </c>
      <c r="D3067" t="s">
        <v>85</v>
      </c>
      <c r="E3067" t="s">
        <v>86</v>
      </c>
      <c r="F3067" t="s">
        <v>58</v>
      </c>
      <c r="G3067" t="s">
        <v>59</v>
      </c>
      <c r="H3067" t="s">
        <v>60</v>
      </c>
      <c r="J3067" t="s">
        <v>86</v>
      </c>
      <c r="K3067" t="s">
        <v>61</v>
      </c>
      <c r="L3067" t="s">
        <v>62</v>
      </c>
      <c r="M3067" t="s">
        <v>63</v>
      </c>
      <c r="N3067" t="s">
        <v>64</v>
      </c>
      <c r="P3067" t="s">
        <v>201</v>
      </c>
      <c r="R3067">
        <v>0.252</v>
      </c>
      <c r="T3067">
        <v>0.19800000000000001</v>
      </c>
      <c r="V3067">
        <v>0.30199999999999999</v>
      </c>
      <c r="W3067" t="s">
        <v>66</v>
      </c>
      <c r="X3067" t="s">
        <v>67</v>
      </c>
      <c r="Y3067" t="s">
        <v>67</v>
      </c>
      <c r="Z3067" t="s">
        <v>68</v>
      </c>
      <c r="AB3067">
        <v>4</v>
      </c>
      <c r="AC3067" t="s">
        <v>61</v>
      </c>
      <c r="AJ3067" t="s">
        <v>69</v>
      </c>
      <c r="AY3067" t="s">
        <v>2265</v>
      </c>
      <c r="AZ3067">
        <v>14988</v>
      </c>
      <c r="BA3067" t="s">
        <v>2266</v>
      </c>
      <c r="BB3067" t="s">
        <v>2267</v>
      </c>
      <c r="BC3067">
        <v>1995</v>
      </c>
      <c r="BD3067" t="s">
        <v>2268</v>
      </c>
    </row>
    <row r="3068" spans="1:56" x14ac:dyDescent="0.35">
      <c r="A3068">
        <v>7758987</v>
      </c>
      <c r="B3068" t="s">
        <v>2219</v>
      </c>
      <c r="D3068" t="s">
        <v>57</v>
      </c>
      <c r="E3068" t="s">
        <v>86</v>
      </c>
      <c r="F3068" t="s">
        <v>58</v>
      </c>
      <c r="G3068" t="s">
        <v>59</v>
      </c>
      <c r="H3068" t="s">
        <v>60</v>
      </c>
      <c r="J3068" t="s">
        <v>86</v>
      </c>
      <c r="L3068" t="s">
        <v>74</v>
      </c>
      <c r="M3068" t="s">
        <v>63</v>
      </c>
      <c r="N3068" t="s">
        <v>64</v>
      </c>
      <c r="P3068" t="s">
        <v>201</v>
      </c>
      <c r="R3068">
        <v>1.0009999999999999</v>
      </c>
      <c r="W3068" t="s">
        <v>66</v>
      </c>
      <c r="X3068" t="s">
        <v>67</v>
      </c>
      <c r="Y3068" t="s">
        <v>67</v>
      </c>
      <c r="Z3068" t="s">
        <v>68</v>
      </c>
      <c r="AB3068">
        <v>4</v>
      </c>
      <c r="AC3068" t="s">
        <v>61</v>
      </c>
      <c r="AJ3068" t="s">
        <v>69</v>
      </c>
      <c r="AY3068" t="s">
        <v>2227</v>
      </c>
      <c r="AZ3068">
        <v>5081</v>
      </c>
      <c r="BA3068" t="s">
        <v>2228</v>
      </c>
      <c r="BB3068" t="s">
        <v>2229</v>
      </c>
      <c r="BC3068">
        <v>1978</v>
      </c>
      <c r="BD3068" t="s">
        <v>90</v>
      </c>
    </row>
    <row r="3069" spans="1:56" x14ac:dyDescent="0.35">
      <c r="A3069">
        <v>7758987</v>
      </c>
      <c r="B3069" t="s">
        <v>2219</v>
      </c>
      <c r="D3069" t="s">
        <v>57</v>
      </c>
      <c r="E3069" t="s">
        <v>86</v>
      </c>
      <c r="F3069" t="s">
        <v>58</v>
      </c>
      <c r="G3069" t="s">
        <v>59</v>
      </c>
      <c r="H3069" t="s">
        <v>60</v>
      </c>
      <c r="I3069" t="s">
        <v>188</v>
      </c>
      <c r="J3069" t="s">
        <v>289</v>
      </c>
      <c r="K3069" t="s">
        <v>184</v>
      </c>
      <c r="L3069" t="s">
        <v>62</v>
      </c>
      <c r="M3069" t="s">
        <v>63</v>
      </c>
      <c r="N3069" t="s">
        <v>64</v>
      </c>
      <c r="O3069">
        <v>6</v>
      </c>
      <c r="P3069" t="s">
        <v>201</v>
      </c>
      <c r="Q3069" t="s">
        <v>153</v>
      </c>
      <c r="R3069">
        <v>1.3252799</v>
      </c>
      <c r="W3069" t="s">
        <v>66</v>
      </c>
      <c r="X3069" t="s">
        <v>67</v>
      </c>
      <c r="Y3069" t="s">
        <v>67</v>
      </c>
      <c r="Z3069" t="s">
        <v>68</v>
      </c>
      <c r="AB3069">
        <v>4</v>
      </c>
      <c r="AC3069" t="s">
        <v>61</v>
      </c>
      <c r="AJ3069" t="s">
        <v>69</v>
      </c>
      <c r="AY3069" t="s">
        <v>2233</v>
      </c>
      <c r="AZ3069">
        <v>76238</v>
      </c>
      <c r="BA3069" t="s">
        <v>2234</v>
      </c>
      <c r="BB3069" t="s">
        <v>2235</v>
      </c>
      <c r="BC3069">
        <v>1996</v>
      </c>
      <c r="BD3069" t="s">
        <v>185</v>
      </c>
    </row>
    <row r="3070" spans="1:56" x14ac:dyDescent="0.35">
      <c r="A3070">
        <v>7758987</v>
      </c>
      <c r="B3070" t="s">
        <v>2219</v>
      </c>
      <c r="D3070" t="s">
        <v>57</v>
      </c>
      <c r="E3070" t="s">
        <v>86</v>
      </c>
      <c r="F3070" t="s">
        <v>58</v>
      </c>
      <c r="G3070" t="s">
        <v>59</v>
      </c>
      <c r="H3070" t="s">
        <v>60</v>
      </c>
      <c r="I3070" t="s">
        <v>188</v>
      </c>
      <c r="J3070" t="s">
        <v>289</v>
      </c>
      <c r="K3070" t="s">
        <v>184</v>
      </c>
      <c r="L3070" t="s">
        <v>74</v>
      </c>
      <c r="M3070" t="s">
        <v>63</v>
      </c>
      <c r="N3070" t="s">
        <v>64</v>
      </c>
      <c r="P3070" t="s">
        <v>201</v>
      </c>
      <c r="R3070">
        <v>0.40404875000000001</v>
      </c>
      <c r="W3070" t="s">
        <v>66</v>
      </c>
      <c r="X3070" t="s">
        <v>67</v>
      </c>
      <c r="Y3070" t="s">
        <v>67</v>
      </c>
      <c r="Z3070" t="s">
        <v>68</v>
      </c>
      <c r="AB3070">
        <v>4</v>
      </c>
      <c r="AC3070" t="s">
        <v>61</v>
      </c>
      <c r="AJ3070" t="s">
        <v>69</v>
      </c>
      <c r="AY3070" t="s">
        <v>2220</v>
      </c>
      <c r="AZ3070">
        <v>16342</v>
      </c>
      <c r="BA3070" t="s">
        <v>2221</v>
      </c>
      <c r="BB3070" t="s">
        <v>2222</v>
      </c>
      <c r="BC3070">
        <v>1996</v>
      </c>
      <c r="BD3070" t="s">
        <v>185</v>
      </c>
    </row>
    <row r="3071" spans="1:56" x14ac:dyDescent="0.35">
      <c r="A3071">
        <v>7758987</v>
      </c>
      <c r="B3071" t="s">
        <v>2219</v>
      </c>
      <c r="D3071" t="s">
        <v>85</v>
      </c>
      <c r="E3071" t="s">
        <v>86</v>
      </c>
      <c r="F3071" t="s">
        <v>58</v>
      </c>
      <c r="G3071" t="s">
        <v>59</v>
      </c>
      <c r="H3071" t="s">
        <v>60</v>
      </c>
      <c r="I3071" t="s">
        <v>188</v>
      </c>
      <c r="J3071" t="s">
        <v>289</v>
      </c>
      <c r="K3071" t="s">
        <v>184</v>
      </c>
      <c r="L3071" t="s">
        <v>190</v>
      </c>
      <c r="M3071" t="s">
        <v>63</v>
      </c>
      <c r="N3071" t="s">
        <v>64</v>
      </c>
      <c r="O3071">
        <v>6</v>
      </c>
      <c r="P3071" t="s">
        <v>1296</v>
      </c>
      <c r="R3071">
        <v>0.46810000000000002</v>
      </c>
      <c r="T3071">
        <v>0.36480000000000001</v>
      </c>
      <c r="V3071">
        <v>0.60070000000000001</v>
      </c>
      <c r="W3071" t="s">
        <v>66</v>
      </c>
      <c r="X3071" t="s">
        <v>67</v>
      </c>
      <c r="Y3071" t="s">
        <v>67</v>
      </c>
      <c r="Z3071" t="s">
        <v>68</v>
      </c>
      <c r="AB3071">
        <v>4</v>
      </c>
      <c r="AC3071" t="s">
        <v>61</v>
      </c>
      <c r="AJ3071" t="s">
        <v>69</v>
      </c>
      <c r="AY3071" t="s">
        <v>2245</v>
      </c>
      <c r="AZ3071">
        <v>80428</v>
      </c>
      <c r="BA3071" t="s">
        <v>2246</v>
      </c>
      <c r="BB3071" t="s">
        <v>2247</v>
      </c>
      <c r="BC3071">
        <v>2004</v>
      </c>
      <c r="BD3071" t="s">
        <v>185</v>
      </c>
    </row>
    <row r="3072" spans="1:56" x14ac:dyDescent="0.35">
      <c r="A3072">
        <v>7758987</v>
      </c>
      <c r="B3072" t="s">
        <v>2219</v>
      </c>
      <c r="D3072" t="s">
        <v>57</v>
      </c>
      <c r="E3072" t="s">
        <v>86</v>
      </c>
      <c r="F3072" t="s">
        <v>58</v>
      </c>
      <c r="G3072" t="s">
        <v>59</v>
      </c>
      <c r="H3072" t="s">
        <v>60</v>
      </c>
      <c r="I3072" t="s">
        <v>188</v>
      </c>
      <c r="J3072" t="s">
        <v>289</v>
      </c>
      <c r="K3072" t="s">
        <v>184</v>
      </c>
      <c r="L3072" t="s">
        <v>62</v>
      </c>
      <c r="M3072" t="s">
        <v>63</v>
      </c>
      <c r="N3072" t="s">
        <v>64</v>
      </c>
      <c r="P3072" t="s">
        <v>201</v>
      </c>
      <c r="R3072">
        <v>6.3E-3</v>
      </c>
      <c r="T3072">
        <v>5.1999999999999998E-3</v>
      </c>
      <c r="V3072">
        <v>7.6E-3</v>
      </c>
      <c r="W3072" t="s">
        <v>66</v>
      </c>
      <c r="X3072" t="s">
        <v>67</v>
      </c>
      <c r="Y3072" t="s">
        <v>67</v>
      </c>
      <c r="Z3072" t="s">
        <v>68</v>
      </c>
      <c r="AB3072">
        <v>4</v>
      </c>
      <c r="AC3072" t="s">
        <v>61</v>
      </c>
      <c r="AJ3072" t="s">
        <v>69</v>
      </c>
      <c r="AY3072" t="s">
        <v>2230</v>
      </c>
      <c r="AZ3072">
        <v>17105</v>
      </c>
      <c r="BA3072" t="s">
        <v>2231</v>
      </c>
      <c r="BB3072" t="s">
        <v>2232</v>
      </c>
      <c r="BC3072">
        <v>1996</v>
      </c>
      <c r="BD3072" t="s">
        <v>185</v>
      </c>
    </row>
    <row r="3073" spans="1:56" x14ac:dyDescent="0.35">
      <c r="A3073">
        <v>7758987</v>
      </c>
      <c r="B3073" t="s">
        <v>2219</v>
      </c>
      <c r="D3073" t="s">
        <v>57</v>
      </c>
      <c r="E3073" t="s">
        <v>86</v>
      </c>
      <c r="F3073" t="s">
        <v>58</v>
      </c>
      <c r="G3073" t="s">
        <v>59</v>
      </c>
      <c r="H3073" t="s">
        <v>60</v>
      </c>
      <c r="I3073" t="s">
        <v>188</v>
      </c>
      <c r="J3073" t="s">
        <v>289</v>
      </c>
      <c r="K3073" t="s">
        <v>184</v>
      </c>
      <c r="L3073" t="s">
        <v>62</v>
      </c>
      <c r="M3073" t="s">
        <v>63</v>
      </c>
      <c r="N3073" t="s">
        <v>64</v>
      </c>
      <c r="O3073">
        <v>6</v>
      </c>
      <c r="P3073" t="s">
        <v>201</v>
      </c>
      <c r="R3073">
        <v>0.66263994999999998</v>
      </c>
      <c r="T3073">
        <v>0.53334435000000002</v>
      </c>
      <c r="V3073">
        <v>0.84042139999999999</v>
      </c>
      <c r="W3073" t="s">
        <v>66</v>
      </c>
      <c r="X3073" t="s">
        <v>67</v>
      </c>
      <c r="Y3073" t="s">
        <v>67</v>
      </c>
      <c r="Z3073" t="s">
        <v>68</v>
      </c>
      <c r="AB3073">
        <v>4</v>
      </c>
      <c r="AC3073" t="s">
        <v>61</v>
      </c>
      <c r="AJ3073" t="s">
        <v>69</v>
      </c>
      <c r="AY3073" t="s">
        <v>2233</v>
      </c>
      <c r="AZ3073">
        <v>76238</v>
      </c>
      <c r="BA3073" t="s">
        <v>2234</v>
      </c>
      <c r="BB3073" t="s">
        <v>2235</v>
      </c>
      <c r="BC3073">
        <v>1996</v>
      </c>
      <c r="BD3073" t="s">
        <v>185</v>
      </c>
    </row>
    <row r="3074" spans="1:56" x14ac:dyDescent="0.35">
      <c r="A3074">
        <v>7758987</v>
      </c>
      <c r="B3074" t="s">
        <v>2219</v>
      </c>
      <c r="D3074" t="s">
        <v>57</v>
      </c>
      <c r="E3074" t="s">
        <v>86</v>
      </c>
      <c r="F3074" t="s">
        <v>58</v>
      </c>
      <c r="G3074" t="s">
        <v>59</v>
      </c>
      <c r="H3074" t="s">
        <v>60</v>
      </c>
      <c r="J3074" t="s">
        <v>86</v>
      </c>
      <c r="L3074" t="s">
        <v>62</v>
      </c>
      <c r="M3074" t="s">
        <v>63</v>
      </c>
      <c r="N3074" t="s">
        <v>64</v>
      </c>
      <c r="P3074" t="s">
        <v>1296</v>
      </c>
      <c r="R3074">
        <v>0.95</v>
      </c>
      <c r="W3074" t="s">
        <v>66</v>
      </c>
      <c r="X3074" t="s">
        <v>67</v>
      </c>
      <c r="Y3074" t="s">
        <v>67</v>
      </c>
      <c r="Z3074" t="s">
        <v>68</v>
      </c>
      <c r="AB3074">
        <v>4</v>
      </c>
      <c r="AC3074" t="s">
        <v>61</v>
      </c>
      <c r="AJ3074" t="s">
        <v>69</v>
      </c>
      <c r="AQ3074" t="s">
        <v>69</v>
      </c>
      <c r="AY3074" t="s">
        <v>2223</v>
      </c>
      <c r="AZ3074">
        <v>2071</v>
      </c>
      <c r="BA3074" t="s">
        <v>2224</v>
      </c>
      <c r="BB3074" t="s">
        <v>2225</v>
      </c>
      <c r="BC3074">
        <v>1976</v>
      </c>
      <c r="BD3074" t="s">
        <v>2226</v>
      </c>
    </row>
    <row r="3075" spans="1:56" x14ac:dyDescent="0.35">
      <c r="A3075">
        <v>7758987</v>
      </c>
      <c r="B3075" t="s">
        <v>2219</v>
      </c>
      <c r="D3075" t="s">
        <v>57</v>
      </c>
      <c r="E3075" t="s">
        <v>86</v>
      </c>
      <c r="F3075" t="s">
        <v>58</v>
      </c>
      <c r="G3075" t="s">
        <v>59</v>
      </c>
      <c r="H3075" t="s">
        <v>60</v>
      </c>
      <c r="I3075" t="s">
        <v>188</v>
      </c>
      <c r="J3075" t="s">
        <v>289</v>
      </c>
      <c r="K3075" t="s">
        <v>184</v>
      </c>
      <c r="L3075" t="s">
        <v>62</v>
      </c>
      <c r="M3075" t="s">
        <v>63</v>
      </c>
      <c r="N3075" t="s">
        <v>64</v>
      </c>
      <c r="O3075">
        <v>6</v>
      </c>
      <c r="P3075" t="s">
        <v>201</v>
      </c>
      <c r="R3075">
        <v>0.45253460000000001</v>
      </c>
      <c r="T3075">
        <v>0.37172485</v>
      </c>
      <c r="V3075">
        <v>0.53334435000000002</v>
      </c>
      <c r="W3075" t="s">
        <v>66</v>
      </c>
      <c r="X3075" t="s">
        <v>67</v>
      </c>
      <c r="Y3075" t="s">
        <v>67</v>
      </c>
      <c r="Z3075" t="s">
        <v>68</v>
      </c>
      <c r="AB3075">
        <v>4</v>
      </c>
      <c r="AC3075" t="s">
        <v>61</v>
      </c>
      <c r="AJ3075" t="s">
        <v>69</v>
      </c>
      <c r="AY3075" t="s">
        <v>2233</v>
      </c>
      <c r="AZ3075">
        <v>76238</v>
      </c>
      <c r="BA3075" t="s">
        <v>2234</v>
      </c>
      <c r="BB3075" t="s">
        <v>2235</v>
      </c>
      <c r="BC3075">
        <v>1996</v>
      </c>
      <c r="BD3075" t="s">
        <v>185</v>
      </c>
    </row>
    <row r="3076" spans="1:56" x14ac:dyDescent="0.35">
      <c r="A3076">
        <v>7758987</v>
      </c>
      <c r="B3076" t="s">
        <v>2219</v>
      </c>
      <c r="D3076" t="s">
        <v>57</v>
      </c>
      <c r="E3076" t="s">
        <v>86</v>
      </c>
      <c r="F3076" t="s">
        <v>58</v>
      </c>
      <c r="G3076" t="s">
        <v>59</v>
      </c>
      <c r="H3076" t="s">
        <v>60</v>
      </c>
      <c r="I3076" t="s">
        <v>188</v>
      </c>
      <c r="J3076" t="s">
        <v>289</v>
      </c>
      <c r="K3076" t="s">
        <v>184</v>
      </c>
      <c r="L3076" t="s">
        <v>62</v>
      </c>
      <c r="M3076" t="s">
        <v>63</v>
      </c>
      <c r="N3076" t="s">
        <v>64</v>
      </c>
      <c r="O3076">
        <v>6</v>
      </c>
      <c r="P3076" t="s">
        <v>201</v>
      </c>
      <c r="R3076">
        <v>6.1415409999999997E-2</v>
      </c>
      <c r="T3076">
        <v>5.0102044999999998E-2</v>
      </c>
      <c r="V3076">
        <v>7.4344969999999996E-2</v>
      </c>
      <c r="W3076" t="s">
        <v>66</v>
      </c>
      <c r="X3076" t="s">
        <v>67</v>
      </c>
      <c r="Y3076" t="s">
        <v>67</v>
      </c>
      <c r="Z3076" t="s">
        <v>68</v>
      </c>
      <c r="AB3076">
        <v>4</v>
      </c>
      <c r="AC3076" t="s">
        <v>61</v>
      </c>
      <c r="AJ3076" t="s">
        <v>69</v>
      </c>
      <c r="AY3076" t="s">
        <v>2233</v>
      </c>
      <c r="AZ3076">
        <v>76238</v>
      </c>
      <c r="BA3076" t="s">
        <v>2234</v>
      </c>
      <c r="BB3076" t="s">
        <v>2235</v>
      </c>
      <c r="BC3076">
        <v>1996</v>
      </c>
      <c r="BD3076" t="s">
        <v>185</v>
      </c>
    </row>
    <row r="3077" spans="1:56" x14ac:dyDescent="0.35">
      <c r="A3077">
        <v>7758987</v>
      </c>
      <c r="B3077" t="s">
        <v>2219</v>
      </c>
      <c r="D3077" t="s">
        <v>57</v>
      </c>
      <c r="E3077" t="s">
        <v>86</v>
      </c>
      <c r="F3077" t="s">
        <v>58</v>
      </c>
      <c r="G3077" t="s">
        <v>59</v>
      </c>
      <c r="H3077" t="s">
        <v>60</v>
      </c>
      <c r="I3077" t="s">
        <v>188</v>
      </c>
      <c r="J3077" t="s">
        <v>289</v>
      </c>
      <c r="K3077" t="s">
        <v>184</v>
      </c>
      <c r="L3077" t="s">
        <v>62</v>
      </c>
      <c r="M3077" t="s">
        <v>63</v>
      </c>
      <c r="N3077" t="s">
        <v>64</v>
      </c>
      <c r="P3077" t="s">
        <v>201</v>
      </c>
      <c r="R3077">
        <v>0.15838711</v>
      </c>
      <c r="T3077">
        <v>0.10666887</v>
      </c>
      <c r="V3077">
        <v>0.23273208000000001</v>
      </c>
      <c r="W3077" t="s">
        <v>66</v>
      </c>
      <c r="X3077" t="s">
        <v>67</v>
      </c>
      <c r="Y3077" t="s">
        <v>67</v>
      </c>
      <c r="Z3077" t="s">
        <v>68</v>
      </c>
      <c r="AB3077">
        <v>4</v>
      </c>
      <c r="AC3077" t="s">
        <v>61</v>
      </c>
      <c r="AJ3077" t="s">
        <v>69</v>
      </c>
      <c r="AY3077" t="s">
        <v>2220</v>
      </c>
      <c r="AZ3077">
        <v>16342</v>
      </c>
      <c r="BA3077" t="s">
        <v>2221</v>
      </c>
      <c r="BB3077" t="s">
        <v>2222</v>
      </c>
      <c r="BC3077">
        <v>1996</v>
      </c>
      <c r="BD3077" t="s">
        <v>185</v>
      </c>
    </row>
    <row r="3078" spans="1:56" x14ac:dyDescent="0.35">
      <c r="A3078">
        <v>7758987</v>
      </c>
      <c r="B3078" t="s">
        <v>2219</v>
      </c>
      <c r="D3078" t="s">
        <v>57</v>
      </c>
      <c r="E3078" t="s">
        <v>86</v>
      </c>
      <c r="F3078" t="s">
        <v>58</v>
      </c>
      <c r="G3078" t="s">
        <v>59</v>
      </c>
      <c r="H3078" t="s">
        <v>60</v>
      </c>
      <c r="I3078" t="s">
        <v>188</v>
      </c>
      <c r="J3078" t="s">
        <v>289</v>
      </c>
      <c r="K3078" t="s">
        <v>184</v>
      </c>
      <c r="L3078" t="s">
        <v>62</v>
      </c>
      <c r="M3078" t="s">
        <v>63</v>
      </c>
      <c r="N3078" t="s">
        <v>64</v>
      </c>
      <c r="O3078">
        <v>6</v>
      </c>
      <c r="P3078" t="s">
        <v>201</v>
      </c>
      <c r="R3078">
        <v>5.1718239999999999E-2</v>
      </c>
      <c r="T3078">
        <v>4.0404875E-2</v>
      </c>
      <c r="V3078">
        <v>6.1415409999999997E-2</v>
      </c>
      <c r="W3078" t="s">
        <v>66</v>
      </c>
      <c r="X3078" t="s">
        <v>67</v>
      </c>
      <c r="Y3078" t="s">
        <v>67</v>
      </c>
      <c r="Z3078" t="s">
        <v>68</v>
      </c>
      <c r="AB3078">
        <v>4</v>
      </c>
      <c r="AC3078" t="s">
        <v>61</v>
      </c>
      <c r="AJ3078" t="s">
        <v>69</v>
      </c>
      <c r="AY3078" t="s">
        <v>2233</v>
      </c>
      <c r="AZ3078">
        <v>76238</v>
      </c>
      <c r="BA3078" t="s">
        <v>2234</v>
      </c>
      <c r="BB3078" t="s">
        <v>2235</v>
      </c>
      <c r="BC3078">
        <v>1996</v>
      </c>
      <c r="BD3078" t="s">
        <v>185</v>
      </c>
    </row>
    <row r="3079" spans="1:56" x14ac:dyDescent="0.35">
      <c r="A3079">
        <v>7758987</v>
      </c>
      <c r="B3079" t="s">
        <v>2219</v>
      </c>
      <c r="D3079" t="s">
        <v>57</v>
      </c>
      <c r="E3079" t="s">
        <v>86</v>
      </c>
      <c r="F3079" t="s">
        <v>58</v>
      </c>
      <c r="G3079" t="s">
        <v>59</v>
      </c>
      <c r="H3079" t="s">
        <v>60</v>
      </c>
      <c r="J3079" t="s">
        <v>289</v>
      </c>
      <c r="K3079" t="s">
        <v>184</v>
      </c>
      <c r="L3079" t="s">
        <v>62</v>
      </c>
      <c r="M3079" t="s">
        <v>63</v>
      </c>
      <c r="N3079" t="s">
        <v>64</v>
      </c>
      <c r="P3079" t="s">
        <v>201</v>
      </c>
      <c r="R3079">
        <v>8.2000000000000007E-3</v>
      </c>
      <c r="T3079">
        <v>6.3E-3</v>
      </c>
      <c r="V3079">
        <v>1.0800000000000001E-2</v>
      </c>
      <c r="W3079" t="s">
        <v>66</v>
      </c>
      <c r="X3079" t="s">
        <v>67</v>
      </c>
      <c r="Y3079" t="s">
        <v>67</v>
      </c>
      <c r="Z3079" t="s">
        <v>68</v>
      </c>
      <c r="AB3079">
        <v>4</v>
      </c>
      <c r="AC3079" t="s">
        <v>61</v>
      </c>
      <c r="AJ3079" t="s">
        <v>69</v>
      </c>
      <c r="AY3079" t="s">
        <v>2249</v>
      </c>
      <c r="AZ3079">
        <v>45189</v>
      </c>
      <c r="BA3079" t="s">
        <v>2250</v>
      </c>
      <c r="BB3079" t="s">
        <v>2251</v>
      </c>
      <c r="BC3079">
        <v>1996</v>
      </c>
      <c r="BD3079" t="s">
        <v>185</v>
      </c>
    </row>
    <row r="3080" spans="1:56" x14ac:dyDescent="0.35">
      <c r="A3080">
        <v>7758987</v>
      </c>
      <c r="B3080" t="s">
        <v>2219</v>
      </c>
      <c r="D3080" t="s">
        <v>57</v>
      </c>
      <c r="E3080" t="s">
        <v>86</v>
      </c>
      <c r="F3080" t="s">
        <v>58</v>
      </c>
      <c r="G3080" t="s">
        <v>59</v>
      </c>
      <c r="H3080" t="s">
        <v>60</v>
      </c>
      <c r="J3080" t="s">
        <v>86</v>
      </c>
      <c r="M3080" t="s">
        <v>63</v>
      </c>
      <c r="N3080" t="s">
        <v>64</v>
      </c>
      <c r="P3080" t="s">
        <v>201</v>
      </c>
      <c r="R3080">
        <v>0.311</v>
      </c>
      <c r="W3080" t="s">
        <v>66</v>
      </c>
      <c r="X3080" t="s">
        <v>67</v>
      </c>
      <c r="Y3080" t="s">
        <v>67</v>
      </c>
      <c r="Z3080" t="s">
        <v>68</v>
      </c>
      <c r="AB3080">
        <v>4</v>
      </c>
      <c r="AC3080" t="s">
        <v>61</v>
      </c>
      <c r="AJ3080" t="s">
        <v>69</v>
      </c>
      <c r="AY3080" t="s">
        <v>2269</v>
      </c>
      <c r="AZ3080">
        <v>14976</v>
      </c>
      <c r="BA3080" t="s">
        <v>2270</v>
      </c>
      <c r="BB3080" t="s">
        <v>2271</v>
      </c>
      <c r="BC3080">
        <v>1995</v>
      </c>
      <c r="BD3080" t="s">
        <v>90</v>
      </c>
    </row>
    <row r="3081" spans="1:56" x14ac:dyDescent="0.35">
      <c r="A3081">
        <v>7758987</v>
      </c>
      <c r="B3081" t="s">
        <v>2219</v>
      </c>
      <c r="D3081" t="s">
        <v>57</v>
      </c>
      <c r="E3081" t="s">
        <v>86</v>
      </c>
      <c r="F3081" t="s">
        <v>58</v>
      </c>
      <c r="G3081" t="s">
        <v>59</v>
      </c>
      <c r="H3081" t="s">
        <v>60</v>
      </c>
      <c r="I3081" t="s">
        <v>129</v>
      </c>
      <c r="J3081" t="s">
        <v>86</v>
      </c>
      <c r="L3081" t="s">
        <v>74</v>
      </c>
      <c r="M3081" t="s">
        <v>63</v>
      </c>
      <c r="N3081" t="s">
        <v>64</v>
      </c>
      <c r="P3081" t="s">
        <v>201</v>
      </c>
      <c r="S3081" t="s">
        <v>153</v>
      </c>
      <c r="T3081">
        <v>0.1</v>
      </c>
      <c r="U3081" t="s">
        <v>435</v>
      </c>
      <c r="V3081">
        <v>0.2</v>
      </c>
      <c r="W3081" t="s">
        <v>66</v>
      </c>
      <c r="X3081" t="s">
        <v>67</v>
      </c>
      <c r="Y3081" t="s">
        <v>67</v>
      </c>
      <c r="Z3081" t="s">
        <v>68</v>
      </c>
      <c r="AB3081">
        <v>4</v>
      </c>
      <c r="AC3081" t="s">
        <v>61</v>
      </c>
      <c r="AJ3081" t="s">
        <v>69</v>
      </c>
      <c r="AY3081" t="s">
        <v>2256</v>
      </c>
      <c r="AZ3081">
        <v>17871</v>
      </c>
      <c r="BA3081" t="s">
        <v>2257</v>
      </c>
      <c r="BB3081" t="s">
        <v>2258</v>
      </c>
      <c r="BC3081">
        <v>1997</v>
      </c>
      <c r="BD3081" t="s">
        <v>90</v>
      </c>
    </row>
    <row r="3082" spans="1:56" x14ac:dyDescent="0.35">
      <c r="A3082">
        <v>7758987</v>
      </c>
      <c r="B3082" t="s">
        <v>2219</v>
      </c>
      <c r="D3082" t="s">
        <v>57</v>
      </c>
      <c r="E3082" t="s">
        <v>86</v>
      </c>
      <c r="F3082" t="s">
        <v>58</v>
      </c>
      <c r="G3082" t="s">
        <v>59</v>
      </c>
      <c r="H3082" t="s">
        <v>60</v>
      </c>
      <c r="I3082" t="s">
        <v>188</v>
      </c>
      <c r="J3082" t="s">
        <v>289</v>
      </c>
      <c r="K3082" t="s">
        <v>184</v>
      </c>
      <c r="L3082" t="s">
        <v>74</v>
      </c>
      <c r="M3082" t="s">
        <v>63</v>
      </c>
      <c r="N3082" t="s">
        <v>64</v>
      </c>
      <c r="P3082" t="s">
        <v>201</v>
      </c>
      <c r="R3082">
        <v>0.75961164999999997</v>
      </c>
      <c r="T3082">
        <v>0.69496385000000005</v>
      </c>
      <c r="V3082">
        <v>0.85658334999999997</v>
      </c>
      <c r="W3082" t="s">
        <v>66</v>
      </c>
      <c r="X3082" t="s">
        <v>67</v>
      </c>
      <c r="Y3082" t="s">
        <v>67</v>
      </c>
      <c r="Z3082" t="s">
        <v>68</v>
      </c>
      <c r="AB3082">
        <v>4</v>
      </c>
      <c r="AC3082" t="s">
        <v>61</v>
      </c>
      <c r="AJ3082" t="s">
        <v>69</v>
      </c>
      <c r="AY3082" t="s">
        <v>2220</v>
      </c>
      <c r="AZ3082">
        <v>16342</v>
      </c>
      <c r="BA3082" t="s">
        <v>2221</v>
      </c>
      <c r="BB3082" t="s">
        <v>2222</v>
      </c>
      <c r="BC3082">
        <v>1996</v>
      </c>
      <c r="BD3082" t="s">
        <v>185</v>
      </c>
    </row>
    <row r="3083" spans="1:56" x14ac:dyDescent="0.35">
      <c r="A3083">
        <v>7758987</v>
      </c>
      <c r="B3083" t="s">
        <v>2219</v>
      </c>
      <c r="D3083" t="s">
        <v>57</v>
      </c>
      <c r="E3083" t="s">
        <v>86</v>
      </c>
      <c r="F3083" t="s">
        <v>58</v>
      </c>
      <c r="G3083" t="s">
        <v>59</v>
      </c>
      <c r="H3083" t="s">
        <v>60</v>
      </c>
      <c r="J3083" t="s">
        <v>86</v>
      </c>
      <c r="L3083" t="s">
        <v>74</v>
      </c>
      <c r="M3083" t="s">
        <v>63</v>
      </c>
      <c r="N3083" t="s">
        <v>64</v>
      </c>
      <c r="P3083" t="s">
        <v>201</v>
      </c>
      <c r="R3083">
        <v>0.55000000000000004</v>
      </c>
      <c r="W3083" t="s">
        <v>66</v>
      </c>
      <c r="X3083" t="s">
        <v>67</v>
      </c>
      <c r="Y3083" t="s">
        <v>67</v>
      </c>
      <c r="Z3083" t="s">
        <v>68</v>
      </c>
      <c r="AB3083">
        <v>4</v>
      </c>
      <c r="AC3083" t="s">
        <v>61</v>
      </c>
      <c r="AJ3083" t="s">
        <v>69</v>
      </c>
      <c r="AY3083" t="s">
        <v>2227</v>
      </c>
      <c r="AZ3083">
        <v>5081</v>
      </c>
      <c r="BA3083" t="s">
        <v>2228</v>
      </c>
      <c r="BB3083" t="s">
        <v>2229</v>
      </c>
      <c r="BC3083">
        <v>1978</v>
      </c>
      <c r="BD3083" t="s">
        <v>90</v>
      </c>
    </row>
    <row r="3084" spans="1:56" x14ac:dyDescent="0.35">
      <c r="A3084">
        <v>7758987</v>
      </c>
      <c r="B3084" t="s">
        <v>2219</v>
      </c>
      <c r="D3084" t="s">
        <v>57</v>
      </c>
      <c r="E3084" t="s">
        <v>86</v>
      </c>
      <c r="F3084" t="s">
        <v>58</v>
      </c>
      <c r="G3084" t="s">
        <v>59</v>
      </c>
      <c r="H3084" t="s">
        <v>60</v>
      </c>
      <c r="I3084" t="s">
        <v>188</v>
      </c>
      <c r="J3084" t="s">
        <v>289</v>
      </c>
      <c r="K3084" t="s">
        <v>184</v>
      </c>
      <c r="L3084" t="s">
        <v>62</v>
      </c>
      <c r="M3084" t="s">
        <v>63</v>
      </c>
      <c r="N3084" t="s">
        <v>64</v>
      </c>
      <c r="P3084" t="s">
        <v>201</v>
      </c>
      <c r="R3084">
        <v>2.5999999999999999E-2</v>
      </c>
      <c r="T3084">
        <v>2.1399999999999999E-2</v>
      </c>
      <c r="V3084">
        <v>3.1600000000000003E-2</v>
      </c>
      <c r="W3084" t="s">
        <v>66</v>
      </c>
      <c r="X3084" t="s">
        <v>67</v>
      </c>
      <c r="Y3084" t="s">
        <v>67</v>
      </c>
      <c r="Z3084" t="s">
        <v>68</v>
      </c>
      <c r="AB3084">
        <v>4</v>
      </c>
      <c r="AC3084" t="s">
        <v>61</v>
      </c>
      <c r="AJ3084" t="s">
        <v>69</v>
      </c>
      <c r="AY3084" t="s">
        <v>2230</v>
      </c>
      <c r="AZ3084">
        <v>17105</v>
      </c>
      <c r="BA3084" t="s">
        <v>2231</v>
      </c>
      <c r="BB3084" t="s">
        <v>2232</v>
      </c>
      <c r="BC3084">
        <v>1996</v>
      </c>
      <c r="BD3084" t="s">
        <v>185</v>
      </c>
    </row>
    <row r="3085" spans="1:56" x14ac:dyDescent="0.35">
      <c r="A3085">
        <v>7758987</v>
      </c>
      <c r="B3085" t="s">
        <v>2219</v>
      </c>
      <c r="D3085" t="s">
        <v>57</v>
      </c>
      <c r="E3085" t="s">
        <v>86</v>
      </c>
      <c r="F3085" t="s">
        <v>58</v>
      </c>
      <c r="G3085" t="s">
        <v>59</v>
      </c>
      <c r="H3085" t="s">
        <v>60</v>
      </c>
      <c r="I3085" t="s">
        <v>188</v>
      </c>
      <c r="J3085" t="s">
        <v>289</v>
      </c>
      <c r="K3085" t="s">
        <v>184</v>
      </c>
      <c r="L3085" t="s">
        <v>74</v>
      </c>
      <c r="M3085" t="s">
        <v>63</v>
      </c>
      <c r="N3085" t="s">
        <v>64</v>
      </c>
      <c r="P3085" t="s">
        <v>201</v>
      </c>
      <c r="R3085">
        <v>0.137376575</v>
      </c>
      <c r="W3085" t="s">
        <v>66</v>
      </c>
      <c r="X3085" t="s">
        <v>67</v>
      </c>
      <c r="Y3085" t="s">
        <v>67</v>
      </c>
      <c r="Z3085" t="s">
        <v>68</v>
      </c>
      <c r="AB3085">
        <v>4</v>
      </c>
      <c r="AC3085" t="s">
        <v>61</v>
      </c>
      <c r="AJ3085" t="s">
        <v>69</v>
      </c>
      <c r="AY3085" t="s">
        <v>2220</v>
      </c>
      <c r="AZ3085">
        <v>16342</v>
      </c>
      <c r="BA3085" t="s">
        <v>2221</v>
      </c>
      <c r="BB3085" t="s">
        <v>2222</v>
      </c>
      <c r="BC3085">
        <v>1996</v>
      </c>
      <c r="BD3085" t="s">
        <v>185</v>
      </c>
    </row>
    <row r="3086" spans="1:56" x14ac:dyDescent="0.35">
      <c r="A3086">
        <v>7758987</v>
      </c>
      <c r="B3086" t="s">
        <v>2219</v>
      </c>
      <c r="D3086" t="s">
        <v>57</v>
      </c>
      <c r="E3086" t="s">
        <v>86</v>
      </c>
      <c r="F3086" t="s">
        <v>58</v>
      </c>
      <c r="G3086" t="s">
        <v>59</v>
      </c>
      <c r="H3086" t="s">
        <v>60</v>
      </c>
      <c r="I3086" t="s">
        <v>177</v>
      </c>
      <c r="J3086" t="s">
        <v>505</v>
      </c>
      <c r="K3086" t="s">
        <v>61</v>
      </c>
      <c r="L3086" t="s">
        <v>62</v>
      </c>
      <c r="M3086" t="s">
        <v>63</v>
      </c>
      <c r="N3086" t="s">
        <v>64</v>
      </c>
      <c r="P3086" t="s">
        <v>201</v>
      </c>
      <c r="R3086">
        <v>0.10539999999999999</v>
      </c>
      <c r="T3086">
        <v>8.9200000000000002E-2</v>
      </c>
      <c r="V3086">
        <v>0.12470000000000001</v>
      </c>
      <c r="W3086" t="s">
        <v>66</v>
      </c>
      <c r="X3086" t="s">
        <v>67</v>
      </c>
      <c r="Y3086" t="s">
        <v>67</v>
      </c>
      <c r="Z3086" t="s">
        <v>68</v>
      </c>
      <c r="AB3086">
        <v>4</v>
      </c>
      <c r="AC3086" t="s">
        <v>61</v>
      </c>
      <c r="AJ3086" t="s">
        <v>69</v>
      </c>
      <c r="AY3086" t="s">
        <v>2236</v>
      </c>
      <c r="AZ3086">
        <v>8034</v>
      </c>
      <c r="BA3086" t="s">
        <v>2237</v>
      </c>
      <c r="BB3086" t="s">
        <v>2238</v>
      </c>
      <c r="BC3086">
        <v>1993</v>
      </c>
      <c r="BD3086" t="s">
        <v>73</v>
      </c>
    </row>
    <row r="3087" spans="1:56" x14ac:dyDescent="0.35">
      <c r="A3087">
        <v>7758987</v>
      </c>
      <c r="B3087" t="s">
        <v>2219</v>
      </c>
      <c r="D3087" t="s">
        <v>57</v>
      </c>
      <c r="E3087" t="s">
        <v>86</v>
      </c>
      <c r="F3087" t="s">
        <v>58</v>
      </c>
      <c r="G3087" t="s">
        <v>59</v>
      </c>
      <c r="H3087" t="s">
        <v>60</v>
      </c>
      <c r="I3087" t="s">
        <v>177</v>
      </c>
      <c r="J3087" t="s">
        <v>505</v>
      </c>
      <c r="K3087" t="s">
        <v>61</v>
      </c>
      <c r="L3087" t="s">
        <v>62</v>
      </c>
      <c r="M3087" t="s">
        <v>63</v>
      </c>
      <c r="N3087" t="s">
        <v>64</v>
      </c>
      <c r="P3087" t="s">
        <v>201</v>
      </c>
      <c r="R3087">
        <v>3.1600000000000003E-2</v>
      </c>
      <c r="T3087">
        <v>2.6599999999999999E-2</v>
      </c>
      <c r="V3087">
        <v>3.7499999999999999E-2</v>
      </c>
      <c r="W3087" t="s">
        <v>66</v>
      </c>
      <c r="X3087" t="s">
        <v>67</v>
      </c>
      <c r="Y3087" t="s">
        <v>67</v>
      </c>
      <c r="Z3087" t="s">
        <v>68</v>
      </c>
      <c r="AB3087">
        <v>4</v>
      </c>
      <c r="AC3087" t="s">
        <v>61</v>
      </c>
      <c r="AJ3087" t="s">
        <v>69</v>
      </c>
      <c r="AY3087" t="s">
        <v>2236</v>
      </c>
      <c r="AZ3087">
        <v>8034</v>
      </c>
      <c r="BA3087" t="s">
        <v>2237</v>
      </c>
      <c r="BB3087" t="s">
        <v>2238</v>
      </c>
      <c r="BC3087">
        <v>1993</v>
      </c>
      <c r="BD3087" t="s">
        <v>73</v>
      </c>
    </row>
    <row r="3088" spans="1:56" x14ac:dyDescent="0.35">
      <c r="A3088">
        <v>7758987</v>
      </c>
      <c r="B3088" t="s">
        <v>2219</v>
      </c>
      <c r="D3088" t="s">
        <v>85</v>
      </c>
      <c r="E3088" t="s">
        <v>86</v>
      </c>
      <c r="F3088" t="s">
        <v>58</v>
      </c>
      <c r="G3088" t="s">
        <v>59</v>
      </c>
      <c r="H3088" t="s">
        <v>60</v>
      </c>
      <c r="I3088" t="s">
        <v>188</v>
      </c>
      <c r="J3088" t="s">
        <v>289</v>
      </c>
      <c r="K3088" t="s">
        <v>184</v>
      </c>
      <c r="L3088" t="s">
        <v>190</v>
      </c>
      <c r="M3088" t="s">
        <v>63</v>
      </c>
      <c r="N3088" t="s">
        <v>64</v>
      </c>
      <c r="O3088">
        <v>6</v>
      </c>
      <c r="P3088" t="s">
        <v>1296</v>
      </c>
      <c r="R3088">
        <v>0.49480000000000002</v>
      </c>
      <c r="T3088">
        <v>0.41820000000000002</v>
      </c>
      <c r="V3088">
        <v>0.58540000000000003</v>
      </c>
      <c r="W3088" t="s">
        <v>66</v>
      </c>
      <c r="X3088" t="s">
        <v>67</v>
      </c>
      <c r="Y3088" t="s">
        <v>67</v>
      </c>
      <c r="Z3088" t="s">
        <v>68</v>
      </c>
      <c r="AB3088">
        <v>4</v>
      </c>
      <c r="AC3088" t="s">
        <v>61</v>
      </c>
      <c r="AJ3088" t="s">
        <v>69</v>
      </c>
      <c r="AY3088" t="s">
        <v>2245</v>
      </c>
      <c r="AZ3088">
        <v>80428</v>
      </c>
      <c r="BA3088" t="s">
        <v>2246</v>
      </c>
      <c r="BB3088" t="s">
        <v>2247</v>
      </c>
      <c r="BC3088">
        <v>2004</v>
      </c>
      <c r="BD3088" t="s">
        <v>185</v>
      </c>
    </row>
    <row r="3089" spans="1:56" x14ac:dyDescent="0.35">
      <c r="A3089">
        <v>7758987</v>
      </c>
      <c r="B3089" t="s">
        <v>2219</v>
      </c>
      <c r="D3089" t="s">
        <v>57</v>
      </c>
      <c r="E3089" t="s">
        <v>86</v>
      </c>
      <c r="F3089" t="s">
        <v>58</v>
      </c>
      <c r="G3089" t="s">
        <v>59</v>
      </c>
      <c r="H3089" t="s">
        <v>60</v>
      </c>
      <c r="I3089" t="s">
        <v>188</v>
      </c>
      <c r="J3089" t="s">
        <v>289</v>
      </c>
      <c r="K3089" t="s">
        <v>184</v>
      </c>
      <c r="L3089" t="s">
        <v>62</v>
      </c>
      <c r="M3089" t="s">
        <v>63</v>
      </c>
      <c r="N3089" t="s">
        <v>64</v>
      </c>
      <c r="O3089">
        <v>6</v>
      </c>
      <c r="P3089" t="s">
        <v>201</v>
      </c>
      <c r="R3089">
        <v>0.23596447000000001</v>
      </c>
      <c r="T3089">
        <v>0.198791985</v>
      </c>
      <c r="V3089">
        <v>0.28445031999999998</v>
      </c>
      <c r="W3089" t="s">
        <v>66</v>
      </c>
      <c r="X3089" t="s">
        <v>67</v>
      </c>
      <c r="Y3089" t="s">
        <v>67</v>
      </c>
      <c r="Z3089" t="s">
        <v>68</v>
      </c>
      <c r="AB3089">
        <v>4</v>
      </c>
      <c r="AC3089" t="s">
        <v>61</v>
      </c>
      <c r="AJ3089" t="s">
        <v>69</v>
      </c>
      <c r="AY3089" t="s">
        <v>2233</v>
      </c>
      <c r="AZ3089">
        <v>76238</v>
      </c>
      <c r="BA3089" t="s">
        <v>2234</v>
      </c>
      <c r="BB3089" t="s">
        <v>2235</v>
      </c>
      <c r="BC3089">
        <v>1996</v>
      </c>
      <c r="BD3089" t="s">
        <v>185</v>
      </c>
    </row>
    <row r="3090" spans="1:56" x14ac:dyDescent="0.35">
      <c r="A3090">
        <v>7758987</v>
      </c>
      <c r="B3090" t="s">
        <v>2219</v>
      </c>
      <c r="D3090" t="s">
        <v>57</v>
      </c>
      <c r="E3090" t="s">
        <v>86</v>
      </c>
      <c r="F3090" t="s">
        <v>58</v>
      </c>
      <c r="G3090" t="s">
        <v>59</v>
      </c>
      <c r="H3090" t="s">
        <v>60</v>
      </c>
      <c r="I3090" t="s">
        <v>188</v>
      </c>
      <c r="J3090" t="s">
        <v>289</v>
      </c>
      <c r="K3090" t="s">
        <v>184</v>
      </c>
      <c r="L3090" t="s">
        <v>74</v>
      </c>
      <c r="M3090" t="s">
        <v>63</v>
      </c>
      <c r="N3090" t="s">
        <v>64</v>
      </c>
      <c r="P3090" t="s">
        <v>201</v>
      </c>
      <c r="R3090">
        <v>0.16808428</v>
      </c>
      <c r="T3090">
        <v>0.15030613500000001</v>
      </c>
      <c r="V3090">
        <v>0.18747862000000001</v>
      </c>
      <c r="W3090" t="s">
        <v>66</v>
      </c>
      <c r="X3090" t="s">
        <v>67</v>
      </c>
      <c r="Y3090" t="s">
        <v>67</v>
      </c>
      <c r="Z3090" t="s">
        <v>68</v>
      </c>
      <c r="AB3090">
        <v>4</v>
      </c>
      <c r="AC3090" t="s">
        <v>61</v>
      </c>
      <c r="AJ3090" t="s">
        <v>69</v>
      </c>
      <c r="AY3090" t="s">
        <v>2220</v>
      </c>
      <c r="AZ3090">
        <v>16342</v>
      </c>
      <c r="BA3090" t="s">
        <v>2221</v>
      </c>
      <c r="BB3090" t="s">
        <v>2222</v>
      </c>
      <c r="BC3090">
        <v>1996</v>
      </c>
      <c r="BD3090" t="s">
        <v>185</v>
      </c>
    </row>
    <row r="3091" spans="1:56" x14ac:dyDescent="0.35">
      <c r="A3091">
        <v>7758987</v>
      </c>
      <c r="B3091" t="s">
        <v>2219</v>
      </c>
      <c r="D3091" t="s">
        <v>57</v>
      </c>
      <c r="E3091" t="s">
        <v>86</v>
      </c>
      <c r="F3091" t="s">
        <v>58</v>
      </c>
      <c r="G3091" t="s">
        <v>59</v>
      </c>
      <c r="H3091" t="s">
        <v>60</v>
      </c>
      <c r="I3091" t="s">
        <v>188</v>
      </c>
      <c r="J3091" t="s">
        <v>289</v>
      </c>
      <c r="K3091" t="s">
        <v>184</v>
      </c>
      <c r="L3091" t="s">
        <v>62</v>
      </c>
      <c r="M3091" t="s">
        <v>63</v>
      </c>
      <c r="N3091" t="s">
        <v>64</v>
      </c>
      <c r="O3091">
        <v>6</v>
      </c>
      <c r="P3091" t="s">
        <v>201</v>
      </c>
      <c r="R3091">
        <v>0.17293286499999999</v>
      </c>
      <c r="T3091">
        <v>0.14222515999999999</v>
      </c>
      <c r="V3091">
        <v>0.21172154500000001</v>
      </c>
      <c r="W3091" t="s">
        <v>66</v>
      </c>
      <c r="X3091" t="s">
        <v>67</v>
      </c>
      <c r="Y3091" t="s">
        <v>67</v>
      </c>
      <c r="Z3091" t="s">
        <v>68</v>
      </c>
      <c r="AB3091">
        <v>4</v>
      </c>
      <c r="AC3091" t="s">
        <v>61</v>
      </c>
      <c r="AJ3091" t="s">
        <v>69</v>
      </c>
      <c r="AY3091" t="s">
        <v>2233</v>
      </c>
      <c r="AZ3091">
        <v>76238</v>
      </c>
      <c r="BA3091" t="s">
        <v>2234</v>
      </c>
      <c r="BB3091" t="s">
        <v>2235</v>
      </c>
      <c r="BC3091">
        <v>1996</v>
      </c>
      <c r="BD3091" t="s">
        <v>185</v>
      </c>
    </row>
    <row r="3092" spans="1:56" x14ac:dyDescent="0.35">
      <c r="A3092">
        <v>7758987</v>
      </c>
      <c r="B3092" t="s">
        <v>2219</v>
      </c>
      <c r="D3092" t="s">
        <v>57</v>
      </c>
      <c r="E3092" t="s">
        <v>86</v>
      </c>
      <c r="F3092" t="s">
        <v>58</v>
      </c>
      <c r="G3092" t="s">
        <v>59</v>
      </c>
      <c r="H3092" t="s">
        <v>60</v>
      </c>
      <c r="I3092" t="s">
        <v>188</v>
      </c>
      <c r="J3092" t="s">
        <v>289</v>
      </c>
      <c r="K3092" t="s">
        <v>184</v>
      </c>
      <c r="L3092" t="s">
        <v>74</v>
      </c>
      <c r="M3092" t="s">
        <v>63</v>
      </c>
      <c r="N3092" t="s">
        <v>64</v>
      </c>
      <c r="P3092" t="s">
        <v>201</v>
      </c>
      <c r="R3092">
        <v>0.20687295999999999</v>
      </c>
      <c r="T3092">
        <v>0.16808428</v>
      </c>
      <c r="V3092">
        <v>0.25212642000000002</v>
      </c>
      <c r="W3092" t="s">
        <v>66</v>
      </c>
      <c r="X3092" t="s">
        <v>67</v>
      </c>
      <c r="Y3092" t="s">
        <v>67</v>
      </c>
      <c r="Z3092" t="s">
        <v>68</v>
      </c>
      <c r="AB3092">
        <v>4</v>
      </c>
      <c r="AC3092" t="s">
        <v>61</v>
      </c>
      <c r="AJ3092" t="s">
        <v>69</v>
      </c>
      <c r="AY3092" t="s">
        <v>2220</v>
      </c>
      <c r="AZ3092">
        <v>16342</v>
      </c>
      <c r="BA3092" t="s">
        <v>2221</v>
      </c>
      <c r="BB3092" t="s">
        <v>2222</v>
      </c>
      <c r="BC3092">
        <v>1996</v>
      </c>
      <c r="BD3092" t="s">
        <v>185</v>
      </c>
    </row>
    <row r="3093" spans="1:56" x14ac:dyDescent="0.35">
      <c r="A3093">
        <v>7758987</v>
      </c>
      <c r="B3093" t="s">
        <v>2219</v>
      </c>
      <c r="D3093" t="s">
        <v>57</v>
      </c>
      <c r="E3093" t="s">
        <v>86</v>
      </c>
      <c r="F3093" t="s">
        <v>58</v>
      </c>
      <c r="G3093" t="s">
        <v>59</v>
      </c>
      <c r="H3093" t="s">
        <v>60</v>
      </c>
      <c r="J3093" t="s">
        <v>86</v>
      </c>
      <c r="L3093" t="s">
        <v>62</v>
      </c>
      <c r="M3093" t="s">
        <v>63</v>
      </c>
      <c r="N3093" t="s">
        <v>64</v>
      </c>
      <c r="P3093" t="s">
        <v>1296</v>
      </c>
      <c r="R3093">
        <v>0.75</v>
      </c>
      <c r="W3093" t="s">
        <v>66</v>
      </c>
      <c r="X3093" t="s">
        <v>67</v>
      </c>
      <c r="Y3093" t="s">
        <v>67</v>
      </c>
      <c r="Z3093" t="s">
        <v>68</v>
      </c>
      <c r="AB3093">
        <v>4</v>
      </c>
      <c r="AC3093" t="s">
        <v>61</v>
      </c>
      <c r="AJ3093" t="s">
        <v>69</v>
      </c>
      <c r="AQ3093" t="s">
        <v>69</v>
      </c>
      <c r="AY3093" t="s">
        <v>2223</v>
      </c>
      <c r="AZ3093">
        <v>2071</v>
      </c>
      <c r="BA3093" t="s">
        <v>2224</v>
      </c>
      <c r="BB3093" t="s">
        <v>2225</v>
      </c>
      <c r="BC3093">
        <v>1976</v>
      </c>
      <c r="BD3093" t="s">
        <v>2034</v>
      </c>
    </row>
    <row r="3094" spans="1:56" x14ac:dyDescent="0.35">
      <c r="A3094">
        <v>7758987</v>
      </c>
      <c r="B3094" t="s">
        <v>2219</v>
      </c>
      <c r="D3094" t="s">
        <v>57</v>
      </c>
      <c r="E3094" t="s">
        <v>86</v>
      </c>
      <c r="F3094" t="s">
        <v>58</v>
      </c>
      <c r="G3094" t="s">
        <v>59</v>
      </c>
      <c r="H3094" t="s">
        <v>60</v>
      </c>
      <c r="I3094" t="s">
        <v>188</v>
      </c>
      <c r="J3094" t="s">
        <v>289</v>
      </c>
      <c r="K3094" t="s">
        <v>184</v>
      </c>
      <c r="L3094" t="s">
        <v>62</v>
      </c>
      <c r="M3094" t="s">
        <v>63</v>
      </c>
      <c r="N3094" t="s">
        <v>64</v>
      </c>
      <c r="O3094">
        <v>6</v>
      </c>
      <c r="P3094" t="s">
        <v>201</v>
      </c>
      <c r="R3094">
        <v>0.20040817999999999</v>
      </c>
      <c r="T3094">
        <v>0.16485189</v>
      </c>
      <c r="V3094">
        <v>0.24889402999999999</v>
      </c>
      <c r="W3094" t="s">
        <v>66</v>
      </c>
      <c r="X3094" t="s">
        <v>67</v>
      </c>
      <c r="Y3094" t="s">
        <v>67</v>
      </c>
      <c r="Z3094" t="s">
        <v>68</v>
      </c>
      <c r="AB3094">
        <v>4</v>
      </c>
      <c r="AC3094" t="s">
        <v>61</v>
      </c>
      <c r="AJ3094" t="s">
        <v>69</v>
      </c>
      <c r="AY3094" t="s">
        <v>2233</v>
      </c>
      <c r="AZ3094">
        <v>76238</v>
      </c>
      <c r="BA3094" t="s">
        <v>2234</v>
      </c>
      <c r="BB3094" t="s">
        <v>2235</v>
      </c>
      <c r="BC3094">
        <v>1996</v>
      </c>
      <c r="BD3094" t="s">
        <v>185</v>
      </c>
    </row>
    <row r="3095" spans="1:56" x14ac:dyDescent="0.35">
      <c r="A3095">
        <v>7758987</v>
      </c>
      <c r="B3095" t="s">
        <v>2219</v>
      </c>
      <c r="D3095" t="s">
        <v>57</v>
      </c>
      <c r="E3095" t="s">
        <v>86</v>
      </c>
      <c r="F3095" t="s">
        <v>58</v>
      </c>
      <c r="G3095" t="s">
        <v>59</v>
      </c>
      <c r="H3095" t="s">
        <v>60</v>
      </c>
      <c r="J3095" t="s">
        <v>86</v>
      </c>
      <c r="L3095" t="s">
        <v>62</v>
      </c>
      <c r="M3095" t="s">
        <v>63</v>
      </c>
      <c r="N3095" t="s">
        <v>64</v>
      </c>
      <c r="P3095" t="s">
        <v>1296</v>
      </c>
      <c r="R3095">
        <v>0.82</v>
      </c>
      <c r="W3095" t="s">
        <v>66</v>
      </c>
      <c r="X3095" t="s">
        <v>67</v>
      </c>
      <c r="Y3095" t="s">
        <v>67</v>
      </c>
      <c r="Z3095" t="s">
        <v>68</v>
      </c>
      <c r="AB3095">
        <v>4</v>
      </c>
      <c r="AC3095" t="s">
        <v>61</v>
      </c>
      <c r="AJ3095" t="s">
        <v>69</v>
      </c>
      <c r="AQ3095" t="s">
        <v>69</v>
      </c>
      <c r="AY3095" t="s">
        <v>2223</v>
      </c>
      <c r="AZ3095">
        <v>2071</v>
      </c>
      <c r="BA3095" t="s">
        <v>2224</v>
      </c>
      <c r="BB3095" t="s">
        <v>2225</v>
      </c>
      <c r="BC3095">
        <v>1976</v>
      </c>
      <c r="BD3095" t="s">
        <v>2272</v>
      </c>
    </row>
    <row r="3096" spans="1:56" x14ac:dyDescent="0.35">
      <c r="A3096">
        <v>7758987</v>
      </c>
      <c r="B3096" t="s">
        <v>2219</v>
      </c>
      <c r="D3096" t="s">
        <v>57</v>
      </c>
      <c r="E3096" t="s">
        <v>86</v>
      </c>
      <c r="F3096" t="s">
        <v>58</v>
      </c>
      <c r="G3096" t="s">
        <v>59</v>
      </c>
      <c r="H3096" t="s">
        <v>60</v>
      </c>
      <c r="I3096" t="s">
        <v>188</v>
      </c>
      <c r="J3096" t="s">
        <v>289</v>
      </c>
      <c r="K3096" t="s">
        <v>184</v>
      </c>
      <c r="L3096" t="s">
        <v>62</v>
      </c>
      <c r="M3096" t="s">
        <v>63</v>
      </c>
      <c r="N3096" t="s">
        <v>64</v>
      </c>
      <c r="O3096">
        <v>6</v>
      </c>
      <c r="P3096" t="s">
        <v>201</v>
      </c>
      <c r="R3096">
        <v>1.9879198499999999</v>
      </c>
      <c r="T3096">
        <v>1.6485189</v>
      </c>
      <c r="V3096">
        <v>2.4081305500000001</v>
      </c>
      <c r="W3096" t="s">
        <v>66</v>
      </c>
      <c r="X3096" t="s">
        <v>67</v>
      </c>
      <c r="Y3096" t="s">
        <v>67</v>
      </c>
      <c r="Z3096" t="s">
        <v>68</v>
      </c>
      <c r="AB3096">
        <v>4</v>
      </c>
      <c r="AC3096" t="s">
        <v>61</v>
      </c>
      <c r="AJ3096" t="s">
        <v>69</v>
      </c>
      <c r="AY3096" t="s">
        <v>2233</v>
      </c>
      <c r="AZ3096">
        <v>76238</v>
      </c>
      <c r="BA3096" t="s">
        <v>2234</v>
      </c>
      <c r="BB3096" t="s">
        <v>2235</v>
      </c>
      <c r="BC3096">
        <v>1996</v>
      </c>
      <c r="BD3096" t="s">
        <v>185</v>
      </c>
    </row>
    <row r="3097" spans="1:56" x14ac:dyDescent="0.35">
      <c r="A3097">
        <v>7758987</v>
      </c>
      <c r="B3097" t="s">
        <v>2219</v>
      </c>
      <c r="D3097" t="s">
        <v>57</v>
      </c>
      <c r="E3097" t="s">
        <v>86</v>
      </c>
      <c r="F3097" t="s">
        <v>58</v>
      </c>
      <c r="G3097" t="s">
        <v>59</v>
      </c>
      <c r="H3097" t="s">
        <v>60</v>
      </c>
      <c r="I3097" t="s">
        <v>188</v>
      </c>
      <c r="J3097" t="s">
        <v>289</v>
      </c>
      <c r="K3097" t="s">
        <v>184</v>
      </c>
      <c r="L3097" t="s">
        <v>62</v>
      </c>
      <c r="M3097" t="s">
        <v>63</v>
      </c>
      <c r="N3097" t="s">
        <v>64</v>
      </c>
      <c r="O3097">
        <v>6</v>
      </c>
      <c r="P3097" t="s">
        <v>201</v>
      </c>
      <c r="R3097">
        <v>0.48485850000000003</v>
      </c>
      <c r="T3097">
        <v>0.30707705000000002</v>
      </c>
      <c r="V3097">
        <v>0.72728775000000001</v>
      </c>
      <c r="W3097" t="s">
        <v>66</v>
      </c>
      <c r="X3097" t="s">
        <v>67</v>
      </c>
      <c r="Y3097" t="s">
        <v>67</v>
      </c>
      <c r="Z3097" t="s">
        <v>68</v>
      </c>
      <c r="AB3097">
        <v>4</v>
      </c>
      <c r="AC3097" t="s">
        <v>61</v>
      </c>
      <c r="AJ3097" t="s">
        <v>69</v>
      </c>
      <c r="AY3097" t="s">
        <v>2233</v>
      </c>
      <c r="AZ3097">
        <v>76238</v>
      </c>
      <c r="BA3097" t="s">
        <v>2234</v>
      </c>
      <c r="BB3097" t="s">
        <v>2235</v>
      </c>
      <c r="BC3097">
        <v>1996</v>
      </c>
      <c r="BD3097" t="s">
        <v>185</v>
      </c>
    </row>
    <row r="3098" spans="1:56" x14ac:dyDescent="0.35">
      <c r="A3098">
        <v>7758987</v>
      </c>
      <c r="B3098" t="s">
        <v>2219</v>
      </c>
      <c r="D3098" t="s">
        <v>85</v>
      </c>
      <c r="E3098">
        <v>25.5</v>
      </c>
      <c r="F3098" t="s">
        <v>58</v>
      </c>
      <c r="G3098" t="s">
        <v>59</v>
      </c>
      <c r="H3098" t="s">
        <v>60</v>
      </c>
      <c r="J3098" t="s">
        <v>86</v>
      </c>
      <c r="L3098" t="s">
        <v>62</v>
      </c>
      <c r="M3098" t="s">
        <v>63</v>
      </c>
      <c r="N3098" t="s">
        <v>64</v>
      </c>
      <c r="O3098">
        <v>7</v>
      </c>
      <c r="P3098" t="s">
        <v>201</v>
      </c>
      <c r="R3098">
        <v>0.28999999999999998</v>
      </c>
      <c r="T3098">
        <v>0.1</v>
      </c>
      <c r="V3098">
        <v>0.6</v>
      </c>
      <c r="W3098" t="s">
        <v>66</v>
      </c>
      <c r="X3098" t="s">
        <v>67</v>
      </c>
      <c r="Y3098" t="s">
        <v>67</v>
      </c>
      <c r="Z3098" t="s">
        <v>68</v>
      </c>
      <c r="AB3098">
        <v>4</v>
      </c>
      <c r="AC3098" t="s">
        <v>61</v>
      </c>
      <c r="AJ3098" t="s">
        <v>69</v>
      </c>
      <c r="AY3098" t="s">
        <v>314</v>
      </c>
      <c r="AZ3098">
        <v>73668</v>
      </c>
      <c r="BA3098" t="s">
        <v>315</v>
      </c>
      <c r="BB3098" t="s">
        <v>316</v>
      </c>
      <c r="BC3098">
        <v>1995</v>
      </c>
      <c r="BD3098" t="s">
        <v>90</v>
      </c>
    </row>
    <row r="3099" spans="1:56" x14ac:dyDescent="0.35">
      <c r="A3099">
        <v>7758987</v>
      </c>
      <c r="B3099" t="s">
        <v>2219</v>
      </c>
      <c r="D3099" t="s">
        <v>57</v>
      </c>
      <c r="E3099" t="s">
        <v>86</v>
      </c>
      <c r="F3099" t="s">
        <v>58</v>
      </c>
      <c r="G3099" t="s">
        <v>59</v>
      </c>
      <c r="H3099" t="s">
        <v>60</v>
      </c>
      <c r="I3099" t="s">
        <v>188</v>
      </c>
      <c r="J3099" t="s">
        <v>289</v>
      </c>
      <c r="K3099" t="s">
        <v>184</v>
      </c>
      <c r="L3099" t="s">
        <v>74</v>
      </c>
      <c r="M3099" t="s">
        <v>63</v>
      </c>
      <c r="N3099" t="s">
        <v>64</v>
      </c>
      <c r="P3099" t="s">
        <v>201</v>
      </c>
      <c r="R3099">
        <v>0.10666887</v>
      </c>
      <c r="T3099">
        <v>8.7274530000000003E-2</v>
      </c>
      <c r="V3099">
        <v>0.13252799000000001</v>
      </c>
      <c r="W3099" t="s">
        <v>66</v>
      </c>
      <c r="X3099" t="s">
        <v>67</v>
      </c>
      <c r="Y3099" t="s">
        <v>67</v>
      </c>
      <c r="Z3099" t="s">
        <v>68</v>
      </c>
      <c r="AB3099">
        <v>4</v>
      </c>
      <c r="AC3099" t="s">
        <v>61</v>
      </c>
      <c r="AJ3099" t="s">
        <v>69</v>
      </c>
      <c r="AY3099" t="s">
        <v>2220</v>
      </c>
      <c r="AZ3099">
        <v>16342</v>
      </c>
      <c r="BA3099" t="s">
        <v>2221</v>
      </c>
      <c r="BB3099" t="s">
        <v>2222</v>
      </c>
      <c r="BC3099">
        <v>1996</v>
      </c>
      <c r="BD3099" t="s">
        <v>185</v>
      </c>
    </row>
    <row r="3100" spans="1:56" x14ac:dyDescent="0.35">
      <c r="A3100">
        <v>7758987</v>
      </c>
      <c r="B3100" t="s">
        <v>2219</v>
      </c>
      <c r="D3100" t="s">
        <v>57</v>
      </c>
      <c r="E3100" t="s">
        <v>86</v>
      </c>
      <c r="F3100" t="s">
        <v>58</v>
      </c>
      <c r="G3100" t="s">
        <v>59</v>
      </c>
      <c r="H3100" t="s">
        <v>60</v>
      </c>
      <c r="I3100" t="s">
        <v>177</v>
      </c>
      <c r="J3100" t="s">
        <v>505</v>
      </c>
      <c r="K3100" t="s">
        <v>61</v>
      </c>
      <c r="L3100" t="s">
        <v>62</v>
      </c>
      <c r="M3100" t="s">
        <v>63</v>
      </c>
      <c r="N3100" t="s">
        <v>64</v>
      </c>
      <c r="P3100" t="s">
        <v>201</v>
      </c>
      <c r="R3100">
        <v>8.2000000000000007E-3</v>
      </c>
      <c r="T3100">
        <v>6.3E-3</v>
      </c>
      <c r="V3100">
        <v>1.0800000000000001E-2</v>
      </c>
      <c r="W3100" t="s">
        <v>66</v>
      </c>
      <c r="X3100" t="s">
        <v>67</v>
      </c>
      <c r="Y3100" t="s">
        <v>67</v>
      </c>
      <c r="Z3100" t="s">
        <v>68</v>
      </c>
      <c r="AB3100">
        <v>4</v>
      </c>
      <c r="AC3100" t="s">
        <v>61</v>
      </c>
      <c r="AJ3100" t="s">
        <v>69</v>
      </c>
      <c r="AY3100" t="s">
        <v>2236</v>
      </c>
      <c r="AZ3100">
        <v>8034</v>
      </c>
      <c r="BA3100" t="s">
        <v>2237</v>
      </c>
      <c r="BB3100" t="s">
        <v>2238</v>
      </c>
      <c r="BC3100">
        <v>1993</v>
      </c>
      <c r="BD3100" t="s">
        <v>73</v>
      </c>
    </row>
    <row r="3101" spans="1:56" x14ac:dyDescent="0.35">
      <c r="A3101">
        <v>7758987</v>
      </c>
      <c r="B3101" t="s">
        <v>2219</v>
      </c>
      <c r="D3101" t="s">
        <v>57</v>
      </c>
      <c r="E3101" t="s">
        <v>86</v>
      </c>
      <c r="F3101" t="s">
        <v>58</v>
      </c>
      <c r="G3101" t="s">
        <v>59</v>
      </c>
      <c r="H3101" t="s">
        <v>60</v>
      </c>
      <c r="I3101" t="s">
        <v>188</v>
      </c>
      <c r="J3101" t="s">
        <v>289</v>
      </c>
      <c r="K3101" t="s">
        <v>184</v>
      </c>
      <c r="L3101" t="s">
        <v>74</v>
      </c>
      <c r="M3101" t="s">
        <v>63</v>
      </c>
      <c r="N3101" t="s">
        <v>64</v>
      </c>
      <c r="P3101" t="s">
        <v>201</v>
      </c>
      <c r="R3101">
        <v>0.34748192500000002</v>
      </c>
      <c r="T3101">
        <v>0.31515802500000001</v>
      </c>
      <c r="V3101">
        <v>0.37980582499999999</v>
      </c>
      <c r="W3101" t="s">
        <v>66</v>
      </c>
      <c r="X3101" t="s">
        <v>67</v>
      </c>
      <c r="Y3101" t="s">
        <v>67</v>
      </c>
      <c r="Z3101" t="s">
        <v>68</v>
      </c>
      <c r="AB3101">
        <v>4</v>
      </c>
      <c r="AC3101" t="s">
        <v>61</v>
      </c>
      <c r="AJ3101" t="s">
        <v>69</v>
      </c>
      <c r="AY3101" t="s">
        <v>2220</v>
      </c>
      <c r="AZ3101">
        <v>16342</v>
      </c>
      <c r="BA3101" t="s">
        <v>2221</v>
      </c>
      <c r="BB3101" t="s">
        <v>2222</v>
      </c>
      <c r="BC3101">
        <v>1996</v>
      </c>
      <c r="BD3101" t="s">
        <v>185</v>
      </c>
    </row>
    <row r="3102" spans="1:56" x14ac:dyDescent="0.35">
      <c r="A3102">
        <v>7758987</v>
      </c>
      <c r="B3102" t="s">
        <v>2219</v>
      </c>
      <c r="D3102" t="s">
        <v>57</v>
      </c>
      <c r="E3102" t="s">
        <v>86</v>
      </c>
      <c r="F3102" t="s">
        <v>58</v>
      </c>
      <c r="G3102" t="s">
        <v>59</v>
      </c>
      <c r="H3102" t="s">
        <v>60</v>
      </c>
      <c r="I3102" t="s">
        <v>188</v>
      </c>
      <c r="J3102" t="s">
        <v>289</v>
      </c>
      <c r="K3102" t="s">
        <v>184</v>
      </c>
      <c r="L3102" t="s">
        <v>62</v>
      </c>
      <c r="M3102" t="s">
        <v>63</v>
      </c>
      <c r="N3102" t="s">
        <v>64</v>
      </c>
      <c r="O3102">
        <v>6</v>
      </c>
      <c r="P3102" t="s">
        <v>201</v>
      </c>
      <c r="R3102">
        <v>1.0020408999999999</v>
      </c>
      <c r="T3102">
        <v>0.87274529999999995</v>
      </c>
      <c r="V3102">
        <v>1.1474984500000001</v>
      </c>
      <c r="W3102" t="s">
        <v>66</v>
      </c>
      <c r="X3102" t="s">
        <v>67</v>
      </c>
      <c r="Y3102" t="s">
        <v>67</v>
      </c>
      <c r="Z3102" t="s">
        <v>68</v>
      </c>
      <c r="AB3102">
        <v>4</v>
      </c>
      <c r="AC3102" t="s">
        <v>61</v>
      </c>
      <c r="AJ3102" t="s">
        <v>69</v>
      </c>
      <c r="AY3102" t="s">
        <v>2233</v>
      </c>
      <c r="AZ3102">
        <v>76238</v>
      </c>
      <c r="BA3102" t="s">
        <v>2234</v>
      </c>
      <c r="BB3102" t="s">
        <v>2235</v>
      </c>
      <c r="BC3102">
        <v>1996</v>
      </c>
      <c r="BD3102" t="s">
        <v>185</v>
      </c>
    </row>
    <row r="3103" spans="1:56" x14ac:dyDescent="0.35">
      <c r="A3103">
        <v>7758987</v>
      </c>
      <c r="B3103" t="s">
        <v>2219</v>
      </c>
      <c r="D3103" t="s">
        <v>85</v>
      </c>
      <c r="E3103" t="s">
        <v>86</v>
      </c>
      <c r="F3103" t="s">
        <v>58</v>
      </c>
      <c r="G3103" t="s">
        <v>59</v>
      </c>
      <c r="H3103" t="s">
        <v>60</v>
      </c>
      <c r="J3103" t="s">
        <v>86</v>
      </c>
      <c r="L3103" t="s">
        <v>62</v>
      </c>
      <c r="M3103" t="s">
        <v>63</v>
      </c>
      <c r="N3103" t="s">
        <v>64</v>
      </c>
      <c r="P3103" t="s">
        <v>201</v>
      </c>
      <c r="R3103">
        <v>4.9000000000000004</v>
      </c>
      <c r="W3103" t="s">
        <v>66</v>
      </c>
      <c r="X3103" t="s">
        <v>67</v>
      </c>
      <c r="Y3103" t="s">
        <v>67</v>
      </c>
      <c r="Z3103" t="s">
        <v>68</v>
      </c>
      <c r="AB3103">
        <v>4</v>
      </c>
      <c r="AC3103" t="s">
        <v>61</v>
      </c>
      <c r="AJ3103" t="s">
        <v>69</v>
      </c>
      <c r="AY3103" t="s">
        <v>2223</v>
      </c>
      <c r="AZ3103">
        <v>2071</v>
      </c>
      <c r="BA3103" t="s">
        <v>2224</v>
      </c>
      <c r="BB3103" t="s">
        <v>2225</v>
      </c>
      <c r="BC3103">
        <v>1976</v>
      </c>
      <c r="BD3103" t="s">
        <v>90</v>
      </c>
    </row>
    <row r="3104" spans="1:56" x14ac:dyDescent="0.35">
      <c r="A3104">
        <v>7758987</v>
      </c>
      <c r="B3104" t="s">
        <v>2219</v>
      </c>
      <c r="D3104" t="s">
        <v>57</v>
      </c>
      <c r="E3104" t="s">
        <v>86</v>
      </c>
      <c r="F3104" t="s">
        <v>58</v>
      </c>
      <c r="G3104" t="s">
        <v>59</v>
      </c>
      <c r="H3104" t="s">
        <v>60</v>
      </c>
      <c r="I3104" t="s">
        <v>188</v>
      </c>
      <c r="J3104" t="s">
        <v>289</v>
      </c>
      <c r="K3104" t="s">
        <v>184</v>
      </c>
      <c r="L3104" t="s">
        <v>74</v>
      </c>
      <c r="M3104" t="s">
        <v>63</v>
      </c>
      <c r="N3104" t="s">
        <v>64</v>
      </c>
      <c r="P3104" t="s">
        <v>201</v>
      </c>
      <c r="R3104">
        <v>0.14222515999999999</v>
      </c>
      <c r="W3104" t="s">
        <v>66</v>
      </c>
      <c r="X3104" t="s">
        <v>67</v>
      </c>
      <c r="Y3104" t="s">
        <v>67</v>
      </c>
      <c r="Z3104" t="s">
        <v>68</v>
      </c>
      <c r="AB3104">
        <v>4</v>
      </c>
      <c r="AC3104" t="s">
        <v>61</v>
      </c>
      <c r="AJ3104" t="s">
        <v>69</v>
      </c>
      <c r="AY3104" t="s">
        <v>2220</v>
      </c>
      <c r="AZ3104">
        <v>16342</v>
      </c>
      <c r="BA3104" t="s">
        <v>2221</v>
      </c>
      <c r="BB3104" t="s">
        <v>2222</v>
      </c>
      <c r="BC3104">
        <v>1996</v>
      </c>
      <c r="BD3104" t="s">
        <v>185</v>
      </c>
    </row>
    <row r="3105" spans="1:56" x14ac:dyDescent="0.35">
      <c r="A3105">
        <v>7758987</v>
      </c>
      <c r="B3105" t="s">
        <v>2219</v>
      </c>
      <c r="D3105" t="s">
        <v>57</v>
      </c>
      <c r="E3105" t="s">
        <v>86</v>
      </c>
      <c r="F3105" t="s">
        <v>58</v>
      </c>
      <c r="G3105" t="s">
        <v>59</v>
      </c>
      <c r="H3105" t="s">
        <v>60</v>
      </c>
      <c r="I3105" t="s">
        <v>188</v>
      </c>
      <c r="J3105" t="s">
        <v>289</v>
      </c>
      <c r="K3105" t="s">
        <v>184</v>
      </c>
      <c r="L3105" t="s">
        <v>62</v>
      </c>
      <c r="M3105" t="s">
        <v>63</v>
      </c>
      <c r="N3105" t="s">
        <v>64</v>
      </c>
      <c r="O3105">
        <v>6</v>
      </c>
      <c r="P3105" t="s">
        <v>201</v>
      </c>
      <c r="R3105">
        <v>0.21333774</v>
      </c>
      <c r="T3105">
        <v>0.17616525499999999</v>
      </c>
      <c r="V3105">
        <v>0.26182358999999999</v>
      </c>
      <c r="W3105" t="s">
        <v>66</v>
      </c>
      <c r="X3105" t="s">
        <v>67</v>
      </c>
      <c r="Y3105" t="s">
        <v>67</v>
      </c>
      <c r="Z3105" t="s">
        <v>68</v>
      </c>
      <c r="AB3105">
        <v>4</v>
      </c>
      <c r="AC3105" t="s">
        <v>61</v>
      </c>
      <c r="AJ3105" t="s">
        <v>69</v>
      </c>
      <c r="AY3105" t="s">
        <v>2233</v>
      </c>
      <c r="AZ3105">
        <v>76238</v>
      </c>
      <c r="BA3105" t="s">
        <v>2234</v>
      </c>
      <c r="BB3105" t="s">
        <v>2235</v>
      </c>
      <c r="BC3105">
        <v>1996</v>
      </c>
      <c r="BD3105" t="s">
        <v>185</v>
      </c>
    </row>
    <row r="3106" spans="1:56" x14ac:dyDescent="0.35">
      <c r="A3106">
        <v>7758987</v>
      </c>
      <c r="B3106" t="s">
        <v>2219</v>
      </c>
      <c r="D3106" t="s">
        <v>57</v>
      </c>
      <c r="E3106" t="s">
        <v>86</v>
      </c>
      <c r="F3106" t="s">
        <v>58</v>
      </c>
      <c r="G3106" t="s">
        <v>59</v>
      </c>
      <c r="H3106" t="s">
        <v>60</v>
      </c>
      <c r="J3106" t="s">
        <v>86</v>
      </c>
      <c r="L3106" t="s">
        <v>62</v>
      </c>
      <c r="M3106" t="s">
        <v>63</v>
      </c>
      <c r="N3106" t="s">
        <v>64</v>
      </c>
      <c r="P3106" t="s">
        <v>1296</v>
      </c>
      <c r="Q3106" t="s">
        <v>153</v>
      </c>
      <c r="R3106">
        <v>0.61</v>
      </c>
      <c r="W3106" t="s">
        <v>66</v>
      </c>
      <c r="X3106" t="s">
        <v>67</v>
      </c>
      <c r="Y3106" t="s">
        <v>67</v>
      </c>
      <c r="Z3106" t="s">
        <v>68</v>
      </c>
      <c r="AB3106">
        <v>4</v>
      </c>
      <c r="AC3106" t="s">
        <v>61</v>
      </c>
      <c r="AJ3106" t="s">
        <v>69</v>
      </c>
      <c r="AQ3106" t="s">
        <v>69</v>
      </c>
      <c r="AY3106" t="s">
        <v>2223</v>
      </c>
      <c r="AZ3106">
        <v>2071</v>
      </c>
      <c r="BA3106" t="s">
        <v>2224</v>
      </c>
      <c r="BB3106" t="s">
        <v>2225</v>
      </c>
      <c r="BC3106">
        <v>1976</v>
      </c>
      <c r="BD3106" t="s">
        <v>2273</v>
      </c>
    </row>
    <row r="3107" spans="1:56" x14ac:dyDescent="0.35">
      <c r="A3107">
        <v>7758987</v>
      </c>
      <c r="B3107" t="s">
        <v>2219</v>
      </c>
      <c r="D3107" t="s">
        <v>57</v>
      </c>
      <c r="E3107" t="s">
        <v>86</v>
      </c>
      <c r="F3107" t="s">
        <v>58</v>
      </c>
      <c r="G3107" t="s">
        <v>59</v>
      </c>
      <c r="H3107" t="s">
        <v>60</v>
      </c>
      <c r="I3107" t="s">
        <v>188</v>
      </c>
      <c r="J3107" t="s">
        <v>289</v>
      </c>
      <c r="K3107" t="s">
        <v>184</v>
      </c>
      <c r="L3107" t="s">
        <v>74</v>
      </c>
      <c r="M3107" t="s">
        <v>63</v>
      </c>
      <c r="N3107" t="s">
        <v>64</v>
      </c>
      <c r="P3107" t="s">
        <v>201</v>
      </c>
      <c r="R3107">
        <v>0.20687295999999999</v>
      </c>
      <c r="W3107" t="s">
        <v>66</v>
      </c>
      <c r="X3107" t="s">
        <v>67</v>
      </c>
      <c r="Y3107" t="s">
        <v>67</v>
      </c>
      <c r="Z3107" t="s">
        <v>68</v>
      </c>
      <c r="AB3107">
        <v>4</v>
      </c>
      <c r="AC3107" t="s">
        <v>61</v>
      </c>
      <c r="AJ3107" t="s">
        <v>69</v>
      </c>
      <c r="AY3107" t="s">
        <v>2220</v>
      </c>
      <c r="AZ3107">
        <v>16342</v>
      </c>
      <c r="BA3107" t="s">
        <v>2221</v>
      </c>
      <c r="BB3107" t="s">
        <v>2222</v>
      </c>
      <c r="BC3107">
        <v>1996</v>
      </c>
      <c r="BD3107" t="s">
        <v>185</v>
      </c>
    </row>
    <row r="3108" spans="1:56" x14ac:dyDescent="0.35">
      <c r="A3108">
        <v>7758987</v>
      </c>
      <c r="B3108" t="s">
        <v>2219</v>
      </c>
      <c r="D3108" t="s">
        <v>57</v>
      </c>
      <c r="E3108" t="s">
        <v>86</v>
      </c>
      <c r="F3108" t="s">
        <v>58</v>
      </c>
      <c r="G3108" t="s">
        <v>59</v>
      </c>
      <c r="H3108" t="s">
        <v>60</v>
      </c>
      <c r="J3108" t="s">
        <v>86</v>
      </c>
      <c r="L3108" t="s">
        <v>62</v>
      </c>
      <c r="M3108" t="s">
        <v>63</v>
      </c>
      <c r="N3108" t="s">
        <v>64</v>
      </c>
      <c r="P3108" t="s">
        <v>1296</v>
      </c>
      <c r="Q3108" t="s">
        <v>153</v>
      </c>
      <c r="R3108">
        <v>0.81</v>
      </c>
      <c r="W3108" t="s">
        <v>66</v>
      </c>
      <c r="X3108" t="s">
        <v>67</v>
      </c>
      <c r="Y3108" t="s">
        <v>67</v>
      </c>
      <c r="Z3108" t="s">
        <v>68</v>
      </c>
      <c r="AB3108">
        <v>4</v>
      </c>
      <c r="AC3108" t="s">
        <v>61</v>
      </c>
      <c r="AJ3108" t="s">
        <v>69</v>
      </c>
      <c r="AQ3108" t="s">
        <v>69</v>
      </c>
      <c r="AY3108" t="s">
        <v>2223</v>
      </c>
      <c r="AZ3108">
        <v>2071</v>
      </c>
      <c r="BA3108" t="s">
        <v>2224</v>
      </c>
      <c r="BB3108" t="s">
        <v>2225</v>
      </c>
      <c r="BC3108">
        <v>1976</v>
      </c>
      <c r="BD3108" t="s">
        <v>2274</v>
      </c>
    </row>
    <row r="3109" spans="1:56" x14ac:dyDescent="0.35">
      <c r="A3109">
        <v>7758987</v>
      </c>
      <c r="B3109" t="s">
        <v>2219</v>
      </c>
      <c r="D3109" t="s">
        <v>85</v>
      </c>
      <c r="E3109" t="s">
        <v>86</v>
      </c>
      <c r="F3109" t="s">
        <v>58</v>
      </c>
      <c r="G3109" t="s">
        <v>59</v>
      </c>
      <c r="H3109" t="s">
        <v>60</v>
      </c>
      <c r="J3109" t="s">
        <v>86</v>
      </c>
      <c r="L3109" t="s">
        <v>62</v>
      </c>
      <c r="M3109" t="s">
        <v>63</v>
      </c>
      <c r="N3109" t="s">
        <v>64</v>
      </c>
      <c r="P3109" t="s">
        <v>201</v>
      </c>
      <c r="R3109">
        <v>1.4</v>
      </c>
      <c r="W3109" t="s">
        <v>66</v>
      </c>
      <c r="X3109" t="s">
        <v>67</v>
      </c>
      <c r="Y3109" t="s">
        <v>67</v>
      </c>
      <c r="Z3109" t="s">
        <v>68</v>
      </c>
      <c r="AB3109">
        <v>4</v>
      </c>
      <c r="AC3109" t="s">
        <v>61</v>
      </c>
      <c r="AJ3109" t="s">
        <v>69</v>
      </c>
      <c r="AY3109" t="s">
        <v>275</v>
      </c>
      <c r="AZ3109">
        <v>2042</v>
      </c>
      <c r="BA3109" t="s">
        <v>1490</v>
      </c>
      <c r="BB3109" t="s">
        <v>1491</v>
      </c>
      <c r="BC3109">
        <v>1960</v>
      </c>
      <c r="BD3109" t="s">
        <v>90</v>
      </c>
    </row>
    <row r="3110" spans="1:56" x14ac:dyDescent="0.35">
      <c r="A3110">
        <v>7758987</v>
      </c>
      <c r="B3110" t="s">
        <v>2219</v>
      </c>
      <c r="D3110" t="s">
        <v>57</v>
      </c>
      <c r="E3110" t="s">
        <v>86</v>
      </c>
      <c r="F3110" t="s">
        <v>58</v>
      </c>
      <c r="G3110" t="s">
        <v>59</v>
      </c>
      <c r="H3110" t="s">
        <v>60</v>
      </c>
      <c r="I3110" t="s">
        <v>188</v>
      </c>
      <c r="J3110" t="s">
        <v>289</v>
      </c>
      <c r="K3110" t="s">
        <v>184</v>
      </c>
      <c r="L3110" t="s">
        <v>62</v>
      </c>
      <c r="M3110" t="s">
        <v>63</v>
      </c>
      <c r="N3110" t="s">
        <v>64</v>
      </c>
      <c r="P3110" t="s">
        <v>201</v>
      </c>
      <c r="R3110">
        <v>0.21333774</v>
      </c>
      <c r="T3110">
        <v>0.12929560000000001</v>
      </c>
      <c r="V3110">
        <v>0.34909812000000001</v>
      </c>
      <c r="W3110" t="s">
        <v>66</v>
      </c>
      <c r="X3110" t="s">
        <v>67</v>
      </c>
      <c r="Y3110" t="s">
        <v>67</v>
      </c>
      <c r="Z3110" t="s">
        <v>68</v>
      </c>
      <c r="AB3110">
        <v>4</v>
      </c>
      <c r="AC3110" t="s">
        <v>61</v>
      </c>
      <c r="AJ3110" t="s">
        <v>69</v>
      </c>
      <c r="AY3110" t="s">
        <v>2220</v>
      </c>
      <c r="AZ3110">
        <v>16342</v>
      </c>
      <c r="BA3110" t="s">
        <v>2221</v>
      </c>
      <c r="BB3110" t="s">
        <v>2222</v>
      </c>
      <c r="BC3110">
        <v>1996</v>
      </c>
      <c r="BD3110" t="s">
        <v>185</v>
      </c>
    </row>
    <row r="3111" spans="1:56" x14ac:dyDescent="0.35">
      <c r="A3111">
        <v>7758987</v>
      </c>
      <c r="B3111" t="s">
        <v>2219</v>
      </c>
      <c r="D3111" t="s">
        <v>57</v>
      </c>
      <c r="E3111" t="s">
        <v>86</v>
      </c>
      <c r="F3111" t="s">
        <v>58</v>
      </c>
      <c r="G3111" t="s">
        <v>59</v>
      </c>
      <c r="H3111" t="s">
        <v>60</v>
      </c>
      <c r="I3111" t="s">
        <v>188</v>
      </c>
      <c r="J3111" t="s">
        <v>289</v>
      </c>
      <c r="K3111" t="s">
        <v>184</v>
      </c>
      <c r="L3111" t="s">
        <v>62</v>
      </c>
      <c r="M3111" t="s">
        <v>63</v>
      </c>
      <c r="N3111" t="s">
        <v>64</v>
      </c>
      <c r="O3111">
        <v>6</v>
      </c>
      <c r="P3111" t="s">
        <v>201</v>
      </c>
      <c r="R3111">
        <v>0.23434827499999999</v>
      </c>
      <c r="T3111">
        <v>0.18101384000000001</v>
      </c>
      <c r="V3111">
        <v>0.30061227000000001</v>
      </c>
      <c r="W3111" t="s">
        <v>66</v>
      </c>
      <c r="X3111" t="s">
        <v>67</v>
      </c>
      <c r="Y3111" t="s">
        <v>67</v>
      </c>
      <c r="Z3111" t="s">
        <v>68</v>
      </c>
      <c r="AB3111">
        <v>4</v>
      </c>
      <c r="AC3111" t="s">
        <v>61</v>
      </c>
      <c r="AJ3111" t="s">
        <v>69</v>
      </c>
      <c r="AY3111" t="s">
        <v>2233</v>
      </c>
      <c r="AZ3111">
        <v>76238</v>
      </c>
      <c r="BA3111" t="s">
        <v>2234</v>
      </c>
      <c r="BB3111" t="s">
        <v>2235</v>
      </c>
      <c r="BC3111">
        <v>1996</v>
      </c>
      <c r="BD3111" t="s">
        <v>185</v>
      </c>
    </row>
    <row r="3112" spans="1:56" x14ac:dyDescent="0.35">
      <c r="A3112">
        <v>7758987</v>
      </c>
      <c r="B3112" t="s">
        <v>2219</v>
      </c>
      <c r="D3112" t="s">
        <v>85</v>
      </c>
      <c r="E3112">
        <v>25.5</v>
      </c>
      <c r="F3112" t="s">
        <v>58</v>
      </c>
      <c r="G3112" t="s">
        <v>59</v>
      </c>
      <c r="H3112" t="s">
        <v>60</v>
      </c>
      <c r="J3112" t="s">
        <v>86</v>
      </c>
      <c r="L3112" t="s">
        <v>62</v>
      </c>
      <c r="M3112" t="s">
        <v>63</v>
      </c>
      <c r="N3112" t="s">
        <v>64</v>
      </c>
      <c r="P3112" t="s">
        <v>201</v>
      </c>
      <c r="R3112">
        <v>0.47</v>
      </c>
      <c r="T3112">
        <v>0.28999999999999998</v>
      </c>
      <c r="V3112">
        <v>0.81</v>
      </c>
      <c r="W3112" t="s">
        <v>66</v>
      </c>
      <c r="X3112" t="s">
        <v>67</v>
      </c>
      <c r="Y3112" t="s">
        <v>67</v>
      </c>
      <c r="Z3112" t="s">
        <v>68</v>
      </c>
      <c r="AB3112">
        <v>4</v>
      </c>
      <c r="AC3112" t="s">
        <v>61</v>
      </c>
      <c r="AJ3112" t="s">
        <v>69</v>
      </c>
      <c r="AY3112" t="s">
        <v>328</v>
      </c>
      <c r="AZ3112">
        <v>65396</v>
      </c>
      <c r="BA3112" t="s">
        <v>329</v>
      </c>
      <c r="BB3112" t="s">
        <v>330</v>
      </c>
      <c r="BC3112">
        <v>2001</v>
      </c>
      <c r="BD3112" t="s">
        <v>90</v>
      </c>
    </row>
    <row r="3113" spans="1:56" x14ac:dyDescent="0.35">
      <c r="A3113">
        <v>7758987</v>
      </c>
      <c r="B3113" t="s">
        <v>2219</v>
      </c>
      <c r="D3113" t="s">
        <v>57</v>
      </c>
      <c r="E3113" t="s">
        <v>86</v>
      </c>
      <c r="F3113" t="s">
        <v>58</v>
      </c>
      <c r="G3113" t="s">
        <v>59</v>
      </c>
      <c r="H3113" t="s">
        <v>60</v>
      </c>
      <c r="J3113" t="s">
        <v>86</v>
      </c>
      <c r="L3113" t="s">
        <v>62</v>
      </c>
      <c r="M3113" t="s">
        <v>63</v>
      </c>
      <c r="N3113" t="s">
        <v>64</v>
      </c>
      <c r="P3113" t="s">
        <v>1296</v>
      </c>
      <c r="R3113">
        <v>1.06</v>
      </c>
      <c r="W3113" t="s">
        <v>66</v>
      </c>
      <c r="X3113" t="s">
        <v>67</v>
      </c>
      <c r="Y3113" t="s">
        <v>67</v>
      </c>
      <c r="Z3113" t="s">
        <v>68</v>
      </c>
      <c r="AB3113">
        <v>4</v>
      </c>
      <c r="AC3113" t="s">
        <v>61</v>
      </c>
      <c r="AJ3113" t="s">
        <v>69</v>
      </c>
      <c r="AQ3113" t="s">
        <v>69</v>
      </c>
      <c r="AY3113" t="s">
        <v>2223</v>
      </c>
      <c r="AZ3113">
        <v>2071</v>
      </c>
      <c r="BA3113" t="s">
        <v>2224</v>
      </c>
      <c r="BB3113" t="s">
        <v>2225</v>
      </c>
      <c r="BC3113">
        <v>1976</v>
      </c>
      <c r="BD3113" t="s">
        <v>2275</v>
      </c>
    </row>
    <row r="3114" spans="1:56" x14ac:dyDescent="0.35">
      <c r="A3114">
        <v>7758987</v>
      </c>
      <c r="B3114" t="s">
        <v>2219</v>
      </c>
      <c r="D3114" t="s">
        <v>85</v>
      </c>
      <c r="E3114" t="s">
        <v>86</v>
      </c>
      <c r="F3114" t="s">
        <v>58</v>
      </c>
      <c r="G3114" t="s">
        <v>59</v>
      </c>
      <c r="H3114" t="s">
        <v>60</v>
      </c>
      <c r="J3114" t="s">
        <v>86</v>
      </c>
      <c r="K3114" t="s">
        <v>61</v>
      </c>
      <c r="L3114" t="s">
        <v>2239</v>
      </c>
      <c r="M3114" t="s">
        <v>63</v>
      </c>
      <c r="N3114" t="s">
        <v>64</v>
      </c>
      <c r="O3114">
        <v>6</v>
      </c>
      <c r="P3114" t="s">
        <v>201</v>
      </c>
      <c r="R3114">
        <v>0.32200000000000001</v>
      </c>
      <c r="W3114" t="s">
        <v>66</v>
      </c>
      <c r="X3114" t="s">
        <v>67</v>
      </c>
      <c r="Y3114" t="s">
        <v>67</v>
      </c>
      <c r="Z3114" t="s">
        <v>68</v>
      </c>
      <c r="AB3114">
        <v>4</v>
      </c>
      <c r="AC3114" t="s">
        <v>61</v>
      </c>
      <c r="AJ3114" t="s">
        <v>69</v>
      </c>
      <c r="AY3114" t="s">
        <v>2240</v>
      </c>
      <c r="AZ3114">
        <v>152780</v>
      </c>
      <c r="BA3114" t="s">
        <v>2241</v>
      </c>
      <c r="BB3114" t="s">
        <v>2242</v>
      </c>
      <c r="BC3114">
        <v>1985</v>
      </c>
      <c r="BD3114" t="s">
        <v>2276</v>
      </c>
    </row>
    <row r="3115" spans="1:56" x14ac:dyDescent="0.35">
      <c r="A3115">
        <v>7758987</v>
      </c>
      <c r="B3115" t="s">
        <v>2219</v>
      </c>
      <c r="D3115" t="s">
        <v>57</v>
      </c>
      <c r="E3115" t="s">
        <v>86</v>
      </c>
      <c r="F3115" t="s">
        <v>58</v>
      </c>
      <c r="G3115" t="s">
        <v>59</v>
      </c>
      <c r="H3115" t="s">
        <v>60</v>
      </c>
      <c r="I3115" t="s">
        <v>177</v>
      </c>
      <c r="J3115" t="s">
        <v>505</v>
      </c>
      <c r="K3115" t="s">
        <v>61</v>
      </c>
      <c r="L3115" t="s">
        <v>62</v>
      </c>
      <c r="M3115" t="s">
        <v>63</v>
      </c>
      <c r="N3115" t="s">
        <v>64</v>
      </c>
      <c r="P3115" t="s">
        <v>201</v>
      </c>
      <c r="R3115">
        <v>4.7999999999999996E-3</v>
      </c>
      <c r="T3115">
        <v>3.3999999999999998E-3</v>
      </c>
      <c r="V3115">
        <v>6.7999999999999996E-3</v>
      </c>
      <c r="W3115" t="s">
        <v>66</v>
      </c>
      <c r="X3115" t="s">
        <v>67</v>
      </c>
      <c r="Y3115" t="s">
        <v>67</v>
      </c>
      <c r="Z3115" t="s">
        <v>68</v>
      </c>
      <c r="AB3115">
        <v>4</v>
      </c>
      <c r="AC3115" t="s">
        <v>61</v>
      </c>
      <c r="AJ3115" t="s">
        <v>69</v>
      </c>
      <c r="AY3115" t="s">
        <v>2236</v>
      </c>
      <c r="AZ3115">
        <v>8034</v>
      </c>
      <c r="BA3115" t="s">
        <v>2237</v>
      </c>
      <c r="BB3115" t="s">
        <v>2238</v>
      </c>
      <c r="BC3115">
        <v>1993</v>
      </c>
      <c r="BD3115" t="s">
        <v>73</v>
      </c>
    </row>
    <row r="3116" spans="1:56" x14ac:dyDescent="0.35">
      <c r="A3116">
        <v>7758987</v>
      </c>
      <c r="B3116" t="s">
        <v>2219</v>
      </c>
      <c r="D3116" t="s">
        <v>57</v>
      </c>
      <c r="E3116" t="s">
        <v>86</v>
      </c>
      <c r="F3116" t="s">
        <v>58</v>
      </c>
      <c r="G3116" t="s">
        <v>59</v>
      </c>
      <c r="H3116" t="s">
        <v>60</v>
      </c>
      <c r="I3116" t="s">
        <v>188</v>
      </c>
      <c r="J3116" t="s">
        <v>289</v>
      </c>
      <c r="K3116" t="s">
        <v>184</v>
      </c>
      <c r="L3116" t="s">
        <v>74</v>
      </c>
      <c r="M3116" t="s">
        <v>63</v>
      </c>
      <c r="N3116" t="s">
        <v>64</v>
      </c>
      <c r="P3116" t="s">
        <v>201</v>
      </c>
      <c r="R3116">
        <v>0.16323569499999999</v>
      </c>
      <c r="W3116" t="s">
        <v>66</v>
      </c>
      <c r="X3116" t="s">
        <v>67</v>
      </c>
      <c r="Y3116" t="s">
        <v>67</v>
      </c>
      <c r="Z3116" t="s">
        <v>68</v>
      </c>
      <c r="AB3116">
        <v>4</v>
      </c>
      <c r="AC3116" t="s">
        <v>61</v>
      </c>
      <c r="AJ3116" t="s">
        <v>69</v>
      </c>
      <c r="AY3116" t="s">
        <v>2220</v>
      </c>
      <c r="AZ3116">
        <v>16342</v>
      </c>
      <c r="BA3116" t="s">
        <v>2221</v>
      </c>
      <c r="BB3116" t="s">
        <v>2222</v>
      </c>
      <c r="BC3116">
        <v>1996</v>
      </c>
      <c r="BD3116" t="s">
        <v>185</v>
      </c>
    </row>
    <row r="3117" spans="1:56" x14ac:dyDescent="0.35">
      <c r="A3117">
        <v>7758987</v>
      </c>
      <c r="B3117" t="s">
        <v>2219</v>
      </c>
      <c r="D3117" t="s">
        <v>57</v>
      </c>
      <c r="E3117" t="s">
        <v>86</v>
      </c>
      <c r="F3117" t="s">
        <v>58</v>
      </c>
      <c r="G3117" t="s">
        <v>59</v>
      </c>
      <c r="H3117" t="s">
        <v>60</v>
      </c>
      <c r="I3117" t="s">
        <v>188</v>
      </c>
      <c r="J3117" t="s">
        <v>289</v>
      </c>
      <c r="K3117" t="s">
        <v>184</v>
      </c>
      <c r="L3117" t="s">
        <v>74</v>
      </c>
      <c r="M3117" t="s">
        <v>63</v>
      </c>
      <c r="N3117" t="s">
        <v>64</v>
      </c>
      <c r="P3117" t="s">
        <v>201</v>
      </c>
      <c r="R3117">
        <v>5.1718239999999999E-2</v>
      </c>
      <c r="W3117" t="s">
        <v>66</v>
      </c>
      <c r="X3117" t="s">
        <v>67</v>
      </c>
      <c r="Y3117" t="s">
        <v>67</v>
      </c>
      <c r="Z3117" t="s">
        <v>68</v>
      </c>
      <c r="AB3117">
        <v>4</v>
      </c>
      <c r="AC3117" t="s">
        <v>61</v>
      </c>
      <c r="AJ3117" t="s">
        <v>69</v>
      </c>
      <c r="AY3117" t="s">
        <v>2220</v>
      </c>
      <c r="AZ3117">
        <v>16342</v>
      </c>
      <c r="BA3117" t="s">
        <v>2221</v>
      </c>
      <c r="BB3117" t="s">
        <v>2222</v>
      </c>
      <c r="BC3117">
        <v>1996</v>
      </c>
      <c r="BD3117" t="s">
        <v>185</v>
      </c>
    </row>
    <row r="3118" spans="1:56" x14ac:dyDescent="0.35">
      <c r="A3118">
        <v>7758987</v>
      </c>
      <c r="B3118" t="s">
        <v>2219</v>
      </c>
      <c r="D3118" t="s">
        <v>57</v>
      </c>
      <c r="E3118" t="s">
        <v>86</v>
      </c>
      <c r="F3118" t="s">
        <v>58</v>
      </c>
      <c r="G3118" t="s">
        <v>59</v>
      </c>
      <c r="H3118" t="s">
        <v>60</v>
      </c>
      <c r="I3118" t="s">
        <v>188</v>
      </c>
      <c r="J3118" t="s">
        <v>289</v>
      </c>
      <c r="K3118" t="s">
        <v>184</v>
      </c>
      <c r="L3118" t="s">
        <v>62</v>
      </c>
      <c r="M3118" t="s">
        <v>63</v>
      </c>
      <c r="N3118" t="s">
        <v>64</v>
      </c>
      <c r="O3118">
        <v>6</v>
      </c>
      <c r="P3118" t="s">
        <v>201</v>
      </c>
      <c r="R3118">
        <v>0.38788679999999998</v>
      </c>
      <c r="T3118">
        <v>0.323239</v>
      </c>
      <c r="V3118">
        <v>0.46869654999999999</v>
      </c>
      <c r="W3118" t="s">
        <v>66</v>
      </c>
      <c r="X3118" t="s">
        <v>67</v>
      </c>
      <c r="Y3118" t="s">
        <v>67</v>
      </c>
      <c r="Z3118" t="s">
        <v>68</v>
      </c>
      <c r="AB3118">
        <v>4</v>
      </c>
      <c r="AC3118" t="s">
        <v>61</v>
      </c>
      <c r="AJ3118" t="s">
        <v>69</v>
      </c>
      <c r="AY3118" t="s">
        <v>2233</v>
      </c>
      <c r="AZ3118">
        <v>76238</v>
      </c>
      <c r="BA3118" t="s">
        <v>2234</v>
      </c>
      <c r="BB3118" t="s">
        <v>2235</v>
      </c>
      <c r="BC3118">
        <v>1996</v>
      </c>
      <c r="BD3118" t="s">
        <v>185</v>
      </c>
    </row>
    <row r="3119" spans="1:56" x14ac:dyDescent="0.35">
      <c r="A3119">
        <v>7758987</v>
      </c>
      <c r="B3119" t="s">
        <v>2219</v>
      </c>
      <c r="D3119" t="s">
        <v>57</v>
      </c>
      <c r="E3119" t="s">
        <v>86</v>
      </c>
      <c r="F3119" t="s">
        <v>58</v>
      </c>
      <c r="G3119" t="s">
        <v>59</v>
      </c>
      <c r="H3119" t="s">
        <v>60</v>
      </c>
      <c r="I3119" t="s">
        <v>188</v>
      </c>
      <c r="J3119" t="s">
        <v>289</v>
      </c>
      <c r="K3119" t="s">
        <v>184</v>
      </c>
      <c r="L3119" t="s">
        <v>74</v>
      </c>
      <c r="M3119" t="s">
        <v>63</v>
      </c>
      <c r="N3119" t="s">
        <v>64</v>
      </c>
      <c r="P3119" t="s">
        <v>201</v>
      </c>
      <c r="R3119">
        <v>0.2262673</v>
      </c>
      <c r="T3119">
        <v>0.19717578999999999</v>
      </c>
      <c r="V3119">
        <v>0.25535880999999999</v>
      </c>
      <c r="W3119" t="s">
        <v>66</v>
      </c>
      <c r="X3119" t="s">
        <v>67</v>
      </c>
      <c r="Y3119" t="s">
        <v>67</v>
      </c>
      <c r="Z3119" t="s">
        <v>68</v>
      </c>
      <c r="AB3119">
        <v>4</v>
      </c>
      <c r="AC3119" t="s">
        <v>61</v>
      </c>
      <c r="AJ3119" t="s">
        <v>69</v>
      </c>
      <c r="AY3119" t="s">
        <v>2220</v>
      </c>
      <c r="AZ3119">
        <v>16342</v>
      </c>
      <c r="BA3119" t="s">
        <v>2221</v>
      </c>
      <c r="BB3119" t="s">
        <v>2222</v>
      </c>
      <c r="BC3119">
        <v>1996</v>
      </c>
      <c r="BD3119" t="s">
        <v>185</v>
      </c>
    </row>
    <row r="3120" spans="1:56" x14ac:dyDescent="0.35">
      <c r="A3120">
        <v>7758987</v>
      </c>
      <c r="B3120" t="s">
        <v>2219</v>
      </c>
      <c r="D3120" t="s">
        <v>57</v>
      </c>
      <c r="E3120" t="s">
        <v>86</v>
      </c>
      <c r="F3120" t="s">
        <v>58</v>
      </c>
      <c r="G3120" t="s">
        <v>59</v>
      </c>
      <c r="H3120" t="s">
        <v>60</v>
      </c>
      <c r="I3120" t="s">
        <v>188</v>
      </c>
      <c r="J3120" t="s">
        <v>289</v>
      </c>
      <c r="K3120" t="s">
        <v>184</v>
      </c>
      <c r="L3120" t="s">
        <v>62</v>
      </c>
      <c r="M3120" t="s">
        <v>63</v>
      </c>
      <c r="N3120" t="s">
        <v>64</v>
      </c>
      <c r="P3120" t="s">
        <v>201</v>
      </c>
      <c r="R3120">
        <v>0.47677752499999998</v>
      </c>
      <c r="T3120">
        <v>0.323239</v>
      </c>
      <c r="V3120">
        <v>0.70304482499999998</v>
      </c>
      <c r="W3120" t="s">
        <v>66</v>
      </c>
      <c r="X3120" t="s">
        <v>67</v>
      </c>
      <c r="Y3120" t="s">
        <v>67</v>
      </c>
      <c r="Z3120" t="s">
        <v>68</v>
      </c>
      <c r="AB3120">
        <v>4</v>
      </c>
      <c r="AC3120" t="s">
        <v>61</v>
      </c>
      <c r="AJ3120" t="s">
        <v>69</v>
      </c>
      <c r="AY3120" t="s">
        <v>2220</v>
      </c>
      <c r="AZ3120">
        <v>16342</v>
      </c>
      <c r="BA3120" t="s">
        <v>2221</v>
      </c>
      <c r="BB3120" t="s">
        <v>2222</v>
      </c>
      <c r="BC3120">
        <v>1996</v>
      </c>
      <c r="BD3120" t="s">
        <v>185</v>
      </c>
    </row>
    <row r="3121" spans="1:56" x14ac:dyDescent="0.35">
      <c r="A3121">
        <v>7758987</v>
      </c>
      <c r="B3121" t="s">
        <v>2219</v>
      </c>
      <c r="D3121" t="s">
        <v>57</v>
      </c>
      <c r="E3121" t="s">
        <v>86</v>
      </c>
      <c r="F3121" t="s">
        <v>58</v>
      </c>
      <c r="G3121" t="s">
        <v>59</v>
      </c>
      <c r="H3121" t="s">
        <v>60</v>
      </c>
      <c r="I3121" t="s">
        <v>188</v>
      </c>
      <c r="J3121" t="s">
        <v>289</v>
      </c>
      <c r="K3121" t="s">
        <v>184</v>
      </c>
      <c r="L3121" t="s">
        <v>62</v>
      </c>
      <c r="M3121" t="s">
        <v>63</v>
      </c>
      <c r="N3121" t="s">
        <v>64</v>
      </c>
      <c r="P3121" t="s">
        <v>201</v>
      </c>
      <c r="R3121">
        <v>0.23919686000000001</v>
      </c>
      <c r="T3121">
        <v>0.17454906000000001</v>
      </c>
      <c r="V3121">
        <v>0.33293616999999998</v>
      </c>
      <c r="W3121" t="s">
        <v>66</v>
      </c>
      <c r="X3121" t="s">
        <v>67</v>
      </c>
      <c r="Y3121" t="s">
        <v>67</v>
      </c>
      <c r="Z3121" t="s">
        <v>68</v>
      </c>
      <c r="AB3121">
        <v>4</v>
      </c>
      <c r="AC3121" t="s">
        <v>61</v>
      </c>
      <c r="AJ3121" t="s">
        <v>69</v>
      </c>
      <c r="AY3121" t="s">
        <v>2220</v>
      </c>
      <c r="AZ3121">
        <v>16342</v>
      </c>
      <c r="BA3121" t="s">
        <v>2221</v>
      </c>
      <c r="BB3121" t="s">
        <v>2222</v>
      </c>
      <c r="BC3121">
        <v>1996</v>
      </c>
      <c r="BD3121" t="s">
        <v>185</v>
      </c>
    </row>
    <row r="3122" spans="1:56" x14ac:dyDescent="0.35">
      <c r="A3122">
        <v>7758987</v>
      </c>
      <c r="B3122" t="s">
        <v>2219</v>
      </c>
      <c r="D3122" t="s">
        <v>57</v>
      </c>
      <c r="E3122" t="s">
        <v>86</v>
      </c>
      <c r="F3122" t="s">
        <v>58</v>
      </c>
      <c r="G3122" t="s">
        <v>59</v>
      </c>
      <c r="H3122" t="s">
        <v>60</v>
      </c>
      <c r="I3122" t="s">
        <v>188</v>
      </c>
      <c r="J3122" t="s">
        <v>289</v>
      </c>
      <c r="K3122" t="s">
        <v>184</v>
      </c>
      <c r="L3122" t="s">
        <v>74</v>
      </c>
      <c r="M3122" t="s">
        <v>63</v>
      </c>
      <c r="N3122" t="s">
        <v>64</v>
      </c>
      <c r="P3122" t="s">
        <v>201</v>
      </c>
      <c r="R3122">
        <v>1.0828506499999999</v>
      </c>
      <c r="T3122">
        <v>0.93739309999999998</v>
      </c>
      <c r="V3122">
        <v>1.2444701499999999</v>
      </c>
      <c r="W3122" t="s">
        <v>66</v>
      </c>
      <c r="X3122" t="s">
        <v>67</v>
      </c>
      <c r="Y3122" t="s">
        <v>67</v>
      </c>
      <c r="Z3122" t="s">
        <v>68</v>
      </c>
      <c r="AB3122">
        <v>4</v>
      </c>
      <c r="AC3122" t="s">
        <v>61</v>
      </c>
      <c r="AJ3122" t="s">
        <v>69</v>
      </c>
      <c r="AY3122" t="s">
        <v>2220</v>
      </c>
      <c r="AZ3122">
        <v>16342</v>
      </c>
      <c r="BA3122" t="s">
        <v>2221</v>
      </c>
      <c r="BB3122" t="s">
        <v>2222</v>
      </c>
      <c r="BC3122">
        <v>1996</v>
      </c>
      <c r="BD3122" t="s">
        <v>185</v>
      </c>
    </row>
    <row r="3123" spans="1:56" x14ac:dyDescent="0.35">
      <c r="A3123">
        <v>7758987</v>
      </c>
      <c r="B3123" t="s">
        <v>2219</v>
      </c>
      <c r="D3123" t="s">
        <v>57</v>
      </c>
      <c r="E3123" t="s">
        <v>86</v>
      </c>
      <c r="F3123" t="s">
        <v>58</v>
      </c>
      <c r="G3123" t="s">
        <v>59</v>
      </c>
      <c r="H3123" t="s">
        <v>60</v>
      </c>
      <c r="I3123" t="s">
        <v>188</v>
      </c>
      <c r="J3123" t="s">
        <v>289</v>
      </c>
      <c r="K3123" t="s">
        <v>184</v>
      </c>
      <c r="L3123" t="s">
        <v>62</v>
      </c>
      <c r="M3123" t="s">
        <v>63</v>
      </c>
      <c r="N3123" t="s">
        <v>64</v>
      </c>
      <c r="P3123" t="s">
        <v>201</v>
      </c>
      <c r="R3123">
        <v>0.17454906000000001</v>
      </c>
      <c r="T3123">
        <v>0.12929560000000001</v>
      </c>
      <c r="V3123">
        <v>0.23596447000000001</v>
      </c>
      <c r="W3123" t="s">
        <v>66</v>
      </c>
      <c r="X3123" t="s">
        <v>67</v>
      </c>
      <c r="Y3123" t="s">
        <v>67</v>
      </c>
      <c r="Z3123" t="s">
        <v>68</v>
      </c>
      <c r="AB3123">
        <v>4</v>
      </c>
      <c r="AC3123" t="s">
        <v>61</v>
      </c>
      <c r="AJ3123" t="s">
        <v>69</v>
      </c>
      <c r="AY3123" t="s">
        <v>2220</v>
      </c>
      <c r="AZ3123">
        <v>16342</v>
      </c>
      <c r="BA3123" t="s">
        <v>2221</v>
      </c>
      <c r="BB3123" t="s">
        <v>2222</v>
      </c>
      <c r="BC3123">
        <v>1996</v>
      </c>
      <c r="BD3123" t="s">
        <v>185</v>
      </c>
    </row>
    <row r="3124" spans="1:56" x14ac:dyDescent="0.35">
      <c r="A3124">
        <v>7758987</v>
      </c>
      <c r="B3124" t="s">
        <v>2219</v>
      </c>
      <c r="D3124" t="s">
        <v>57</v>
      </c>
      <c r="E3124" t="s">
        <v>86</v>
      </c>
      <c r="F3124" t="s">
        <v>58</v>
      </c>
      <c r="G3124" t="s">
        <v>59</v>
      </c>
      <c r="H3124" t="s">
        <v>60</v>
      </c>
      <c r="J3124" t="s">
        <v>86</v>
      </c>
      <c r="L3124" t="s">
        <v>62</v>
      </c>
      <c r="M3124" t="s">
        <v>63</v>
      </c>
      <c r="N3124" t="s">
        <v>64</v>
      </c>
      <c r="P3124" t="s">
        <v>1296</v>
      </c>
      <c r="R3124">
        <v>0.57999999999999996</v>
      </c>
      <c r="W3124" t="s">
        <v>66</v>
      </c>
      <c r="X3124" t="s">
        <v>67</v>
      </c>
      <c r="Y3124" t="s">
        <v>67</v>
      </c>
      <c r="Z3124" t="s">
        <v>68</v>
      </c>
      <c r="AB3124">
        <v>4</v>
      </c>
      <c r="AC3124" t="s">
        <v>61</v>
      </c>
      <c r="AJ3124" t="s">
        <v>69</v>
      </c>
      <c r="AQ3124" t="s">
        <v>69</v>
      </c>
      <c r="AY3124" t="s">
        <v>2223</v>
      </c>
      <c r="AZ3124">
        <v>2071</v>
      </c>
      <c r="BA3124" t="s">
        <v>2224</v>
      </c>
      <c r="BB3124" t="s">
        <v>2225</v>
      </c>
      <c r="BC3124">
        <v>1976</v>
      </c>
      <c r="BD3124" t="s">
        <v>2277</v>
      </c>
    </row>
    <row r="3125" spans="1:56" x14ac:dyDescent="0.35">
      <c r="A3125">
        <v>7758987</v>
      </c>
      <c r="B3125" t="s">
        <v>2219</v>
      </c>
      <c r="D3125" t="s">
        <v>57</v>
      </c>
      <c r="E3125" t="s">
        <v>86</v>
      </c>
      <c r="F3125" t="s">
        <v>58</v>
      </c>
      <c r="G3125" t="s">
        <v>59</v>
      </c>
      <c r="H3125" t="s">
        <v>60</v>
      </c>
      <c r="J3125" t="s">
        <v>86</v>
      </c>
      <c r="L3125" t="s">
        <v>62</v>
      </c>
      <c r="M3125" t="s">
        <v>63</v>
      </c>
      <c r="N3125" t="s">
        <v>64</v>
      </c>
      <c r="P3125" t="s">
        <v>1296</v>
      </c>
      <c r="R3125">
        <v>0.78</v>
      </c>
      <c r="W3125" t="s">
        <v>66</v>
      </c>
      <c r="X3125" t="s">
        <v>67</v>
      </c>
      <c r="Y3125" t="s">
        <v>67</v>
      </c>
      <c r="Z3125" t="s">
        <v>68</v>
      </c>
      <c r="AB3125">
        <v>4</v>
      </c>
      <c r="AC3125" t="s">
        <v>61</v>
      </c>
      <c r="AJ3125" t="s">
        <v>69</v>
      </c>
      <c r="AQ3125" t="s">
        <v>69</v>
      </c>
      <c r="AY3125" t="s">
        <v>2223</v>
      </c>
      <c r="AZ3125">
        <v>2071</v>
      </c>
      <c r="BA3125" t="s">
        <v>2224</v>
      </c>
      <c r="BB3125" t="s">
        <v>2225</v>
      </c>
      <c r="BC3125">
        <v>1976</v>
      </c>
      <c r="BD3125" t="s">
        <v>2041</v>
      </c>
    </row>
    <row r="3126" spans="1:56" x14ac:dyDescent="0.35">
      <c r="A3126">
        <v>7758987</v>
      </c>
      <c r="B3126" t="s">
        <v>2219</v>
      </c>
      <c r="D3126" t="s">
        <v>57</v>
      </c>
      <c r="E3126" t="s">
        <v>86</v>
      </c>
      <c r="F3126" t="s">
        <v>58</v>
      </c>
      <c r="G3126" t="s">
        <v>59</v>
      </c>
      <c r="H3126" t="s">
        <v>60</v>
      </c>
      <c r="I3126" t="s">
        <v>188</v>
      </c>
      <c r="J3126" t="s">
        <v>289</v>
      </c>
      <c r="K3126" t="s">
        <v>184</v>
      </c>
      <c r="L3126" t="s">
        <v>62</v>
      </c>
      <c r="M3126" t="s">
        <v>63</v>
      </c>
      <c r="N3126" t="s">
        <v>64</v>
      </c>
      <c r="O3126">
        <v>6</v>
      </c>
      <c r="P3126" t="s">
        <v>201</v>
      </c>
      <c r="R3126">
        <v>0.37172485</v>
      </c>
      <c r="T3126">
        <v>0.323239</v>
      </c>
      <c r="V3126">
        <v>0.43637264999999997</v>
      </c>
      <c r="W3126" t="s">
        <v>66</v>
      </c>
      <c r="X3126" t="s">
        <v>67</v>
      </c>
      <c r="Y3126" t="s">
        <v>67</v>
      </c>
      <c r="Z3126" t="s">
        <v>68</v>
      </c>
      <c r="AB3126">
        <v>4</v>
      </c>
      <c r="AC3126" t="s">
        <v>61</v>
      </c>
      <c r="AJ3126" t="s">
        <v>69</v>
      </c>
      <c r="AY3126" t="s">
        <v>2233</v>
      </c>
      <c r="AZ3126">
        <v>76238</v>
      </c>
      <c r="BA3126" t="s">
        <v>2234</v>
      </c>
      <c r="BB3126" t="s">
        <v>2235</v>
      </c>
      <c r="BC3126">
        <v>1996</v>
      </c>
      <c r="BD3126" t="s">
        <v>185</v>
      </c>
    </row>
    <row r="3127" spans="1:56" x14ac:dyDescent="0.35">
      <c r="A3127">
        <v>7758987</v>
      </c>
      <c r="B3127" t="s">
        <v>2219</v>
      </c>
      <c r="D3127" t="s">
        <v>57</v>
      </c>
      <c r="E3127" t="s">
        <v>86</v>
      </c>
      <c r="F3127" t="s">
        <v>58</v>
      </c>
      <c r="G3127" t="s">
        <v>59</v>
      </c>
      <c r="H3127" t="s">
        <v>60</v>
      </c>
      <c r="I3127" t="s">
        <v>188</v>
      </c>
      <c r="J3127" t="s">
        <v>289</v>
      </c>
      <c r="K3127" t="s">
        <v>184</v>
      </c>
      <c r="L3127" t="s">
        <v>74</v>
      </c>
      <c r="M3127" t="s">
        <v>63</v>
      </c>
      <c r="N3127" t="s">
        <v>64</v>
      </c>
      <c r="O3127">
        <v>6</v>
      </c>
      <c r="P3127" t="s">
        <v>201</v>
      </c>
      <c r="R3127">
        <v>7.5961164999999997E-2</v>
      </c>
      <c r="T3127">
        <v>6.3031605000000004E-2</v>
      </c>
      <c r="V3127">
        <v>9.3739310000000006E-2</v>
      </c>
      <c r="W3127" t="s">
        <v>66</v>
      </c>
      <c r="X3127" t="s">
        <v>67</v>
      </c>
      <c r="Y3127" t="s">
        <v>67</v>
      </c>
      <c r="Z3127" t="s">
        <v>68</v>
      </c>
      <c r="AB3127">
        <v>4</v>
      </c>
      <c r="AC3127" t="s">
        <v>61</v>
      </c>
      <c r="AJ3127" t="s">
        <v>69</v>
      </c>
      <c r="AY3127" t="s">
        <v>2233</v>
      </c>
      <c r="AZ3127">
        <v>76238</v>
      </c>
      <c r="BA3127" t="s">
        <v>2234</v>
      </c>
      <c r="BB3127" t="s">
        <v>2235</v>
      </c>
      <c r="BC3127">
        <v>1996</v>
      </c>
      <c r="BD3127" t="s">
        <v>185</v>
      </c>
    </row>
    <row r="3128" spans="1:56" x14ac:dyDescent="0.35">
      <c r="A3128">
        <v>7758987</v>
      </c>
      <c r="B3128" t="s">
        <v>2219</v>
      </c>
      <c r="D3128" t="s">
        <v>57</v>
      </c>
      <c r="E3128" t="s">
        <v>86</v>
      </c>
      <c r="F3128" t="s">
        <v>58</v>
      </c>
      <c r="G3128" t="s">
        <v>59</v>
      </c>
      <c r="H3128" t="s">
        <v>60</v>
      </c>
      <c r="I3128" t="s">
        <v>188</v>
      </c>
      <c r="J3128" t="s">
        <v>289</v>
      </c>
      <c r="K3128" t="s">
        <v>184</v>
      </c>
      <c r="L3128" t="s">
        <v>74</v>
      </c>
      <c r="M3128" t="s">
        <v>63</v>
      </c>
      <c r="N3128" t="s">
        <v>64</v>
      </c>
      <c r="P3128" t="s">
        <v>201</v>
      </c>
      <c r="R3128">
        <v>0.11636604</v>
      </c>
      <c r="T3128">
        <v>0.101820285</v>
      </c>
      <c r="V3128">
        <v>0.13252799000000001</v>
      </c>
      <c r="W3128" t="s">
        <v>66</v>
      </c>
      <c r="X3128" t="s">
        <v>67</v>
      </c>
      <c r="Y3128" t="s">
        <v>67</v>
      </c>
      <c r="Z3128" t="s">
        <v>68</v>
      </c>
      <c r="AB3128">
        <v>4</v>
      </c>
      <c r="AC3128" t="s">
        <v>61</v>
      </c>
      <c r="AJ3128" t="s">
        <v>69</v>
      </c>
      <c r="AY3128" t="s">
        <v>2220</v>
      </c>
      <c r="AZ3128">
        <v>16342</v>
      </c>
      <c r="BA3128" t="s">
        <v>2221</v>
      </c>
      <c r="BB3128" t="s">
        <v>2222</v>
      </c>
      <c r="BC3128">
        <v>1996</v>
      </c>
      <c r="BD3128" t="s">
        <v>185</v>
      </c>
    </row>
    <row r="3129" spans="1:56" x14ac:dyDescent="0.35">
      <c r="A3129">
        <v>7758987</v>
      </c>
      <c r="B3129" t="s">
        <v>2219</v>
      </c>
      <c r="D3129" t="s">
        <v>57</v>
      </c>
      <c r="E3129" t="s">
        <v>86</v>
      </c>
      <c r="F3129" t="s">
        <v>58</v>
      </c>
      <c r="G3129" t="s">
        <v>59</v>
      </c>
      <c r="H3129" t="s">
        <v>60</v>
      </c>
      <c r="I3129" t="s">
        <v>188</v>
      </c>
      <c r="J3129">
        <v>1</v>
      </c>
      <c r="K3129" t="s">
        <v>61</v>
      </c>
      <c r="L3129" t="s">
        <v>62</v>
      </c>
      <c r="M3129" t="s">
        <v>63</v>
      </c>
      <c r="N3129" t="s">
        <v>64</v>
      </c>
      <c r="P3129" t="s">
        <v>1296</v>
      </c>
      <c r="R3129">
        <v>0.17100000000000001</v>
      </c>
      <c r="W3129" t="s">
        <v>66</v>
      </c>
      <c r="X3129" t="s">
        <v>67</v>
      </c>
      <c r="Y3129" t="s">
        <v>67</v>
      </c>
      <c r="Z3129" t="s">
        <v>68</v>
      </c>
      <c r="AB3129">
        <v>4</v>
      </c>
      <c r="AC3129" t="s">
        <v>61</v>
      </c>
      <c r="AJ3129" t="s">
        <v>69</v>
      </c>
      <c r="AQ3129" t="s">
        <v>69</v>
      </c>
      <c r="AY3129" t="s">
        <v>2261</v>
      </c>
      <c r="AZ3129">
        <v>5203</v>
      </c>
      <c r="BA3129" t="s">
        <v>2262</v>
      </c>
      <c r="BB3129" t="s">
        <v>2263</v>
      </c>
      <c r="BC3129">
        <v>1985</v>
      </c>
      <c r="BD3129" t="s">
        <v>2278</v>
      </c>
    </row>
    <row r="3130" spans="1:56" x14ac:dyDescent="0.35">
      <c r="A3130">
        <v>7758987</v>
      </c>
      <c r="B3130" t="s">
        <v>2219</v>
      </c>
      <c r="D3130" t="s">
        <v>57</v>
      </c>
      <c r="E3130" t="s">
        <v>86</v>
      </c>
      <c r="F3130" t="s">
        <v>58</v>
      </c>
      <c r="G3130" t="s">
        <v>59</v>
      </c>
      <c r="H3130" t="s">
        <v>60</v>
      </c>
      <c r="I3130" t="s">
        <v>392</v>
      </c>
      <c r="J3130">
        <v>6</v>
      </c>
      <c r="K3130" t="s">
        <v>320</v>
      </c>
      <c r="L3130" t="s">
        <v>74</v>
      </c>
      <c r="M3130" t="s">
        <v>63</v>
      </c>
      <c r="N3130" t="s">
        <v>64</v>
      </c>
      <c r="P3130" t="s">
        <v>201</v>
      </c>
      <c r="R3130">
        <v>0.46</v>
      </c>
      <c r="T3130">
        <v>0.39</v>
      </c>
      <c r="V3130">
        <v>0.54</v>
      </c>
      <c r="W3130" t="s">
        <v>66</v>
      </c>
      <c r="X3130" t="s">
        <v>67</v>
      </c>
      <c r="Y3130" t="s">
        <v>67</v>
      </c>
      <c r="Z3130" t="s">
        <v>68</v>
      </c>
      <c r="AB3130">
        <v>4</v>
      </c>
      <c r="AC3130" t="s">
        <v>61</v>
      </c>
      <c r="AJ3130" t="s">
        <v>69</v>
      </c>
      <c r="AY3130" t="s">
        <v>2279</v>
      </c>
      <c r="AZ3130">
        <v>2004</v>
      </c>
      <c r="BA3130" t="s">
        <v>2280</v>
      </c>
      <c r="BB3130" t="s">
        <v>2281</v>
      </c>
      <c r="BC3130">
        <v>1977</v>
      </c>
      <c r="BD3130" t="s">
        <v>324</v>
      </c>
    </row>
    <row r="3131" spans="1:56" x14ac:dyDescent="0.35">
      <c r="A3131">
        <v>7758987</v>
      </c>
      <c r="B3131" t="s">
        <v>2219</v>
      </c>
      <c r="D3131" t="s">
        <v>85</v>
      </c>
      <c r="E3131" t="s">
        <v>86</v>
      </c>
      <c r="F3131" t="s">
        <v>58</v>
      </c>
      <c r="G3131" t="s">
        <v>59</v>
      </c>
      <c r="H3131" t="s">
        <v>60</v>
      </c>
      <c r="J3131" t="s">
        <v>86</v>
      </c>
      <c r="L3131" t="s">
        <v>62</v>
      </c>
      <c r="M3131" t="s">
        <v>63</v>
      </c>
      <c r="N3131" t="s">
        <v>64</v>
      </c>
      <c r="P3131" t="s">
        <v>201</v>
      </c>
      <c r="R3131">
        <v>2.3E-2</v>
      </c>
      <c r="T3131">
        <v>1.7999999999999999E-2</v>
      </c>
      <c r="V3131">
        <v>2.8000000000000001E-2</v>
      </c>
      <c r="W3131" t="s">
        <v>66</v>
      </c>
      <c r="X3131" t="s">
        <v>67</v>
      </c>
      <c r="Y3131" t="s">
        <v>67</v>
      </c>
      <c r="Z3131" t="s">
        <v>68</v>
      </c>
      <c r="AB3131">
        <v>4</v>
      </c>
      <c r="AC3131" t="s">
        <v>61</v>
      </c>
      <c r="AJ3131" t="s">
        <v>69</v>
      </c>
      <c r="AY3131" t="s">
        <v>168</v>
      </c>
      <c r="AZ3131">
        <v>2033</v>
      </c>
      <c r="BA3131" t="s">
        <v>1385</v>
      </c>
      <c r="BB3131" t="s">
        <v>1386</v>
      </c>
      <c r="BC3131">
        <v>1966</v>
      </c>
      <c r="BD3131" t="s">
        <v>90</v>
      </c>
    </row>
    <row r="3132" spans="1:56" x14ac:dyDescent="0.35">
      <c r="A3132">
        <v>7758987</v>
      </c>
      <c r="B3132" t="s">
        <v>2219</v>
      </c>
      <c r="D3132" t="s">
        <v>57</v>
      </c>
      <c r="E3132" t="s">
        <v>86</v>
      </c>
      <c r="F3132" t="s">
        <v>58</v>
      </c>
      <c r="G3132" t="s">
        <v>59</v>
      </c>
      <c r="H3132" t="s">
        <v>60</v>
      </c>
      <c r="I3132" t="s">
        <v>188</v>
      </c>
      <c r="J3132" t="s">
        <v>289</v>
      </c>
      <c r="K3132" t="s">
        <v>184</v>
      </c>
      <c r="L3132" t="s">
        <v>62</v>
      </c>
      <c r="M3132" t="s">
        <v>63</v>
      </c>
      <c r="N3132" t="s">
        <v>64</v>
      </c>
      <c r="P3132" t="s">
        <v>201</v>
      </c>
      <c r="R3132">
        <v>0.30707705000000002</v>
      </c>
      <c r="T3132">
        <v>0.25212642000000002</v>
      </c>
      <c r="V3132">
        <v>0.37818963</v>
      </c>
      <c r="W3132" t="s">
        <v>66</v>
      </c>
      <c r="X3132" t="s">
        <v>67</v>
      </c>
      <c r="Y3132" t="s">
        <v>67</v>
      </c>
      <c r="Z3132" t="s">
        <v>68</v>
      </c>
      <c r="AB3132">
        <v>4</v>
      </c>
      <c r="AC3132" t="s">
        <v>61</v>
      </c>
      <c r="AJ3132" t="s">
        <v>69</v>
      </c>
      <c r="AY3132" t="s">
        <v>2220</v>
      </c>
      <c r="AZ3132">
        <v>16342</v>
      </c>
      <c r="BA3132" t="s">
        <v>2221</v>
      </c>
      <c r="BB3132" t="s">
        <v>2222</v>
      </c>
      <c r="BC3132">
        <v>1996</v>
      </c>
      <c r="BD3132" t="s">
        <v>185</v>
      </c>
    </row>
    <row r="3133" spans="1:56" x14ac:dyDescent="0.35">
      <c r="A3133">
        <v>7758987</v>
      </c>
      <c r="B3133" t="s">
        <v>2219</v>
      </c>
      <c r="D3133" t="s">
        <v>85</v>
      </c>
      <c r="E3133" t="s">
        <v>86</v>
      </c>
      <c r="F3133" t="s">
        <v>58</v>
      </c>
      <c r="G3133" t="s">
        <v>59</v>
      </c>
      <c r="H3133" t="s">
        <v>60</v>
      </c>
      <c r="I3133" t="s">
        <v>188</v>
      </c>
      <c r="J3133" t="s">
        <v>289</v>
      </c>
      <c r="K3133" t="s">
        <v>184</v>
      </c>
      <c r="L3133" t="s">
        <v>190</v>
      </c>
      <c r="M3133" t="s">
        <v>63</v>
      </c>
      <c r="N3133" t="s">
        <v>64</v>
      </c>
      <c r="O3133">
        <v>6</v>
      </c>
      <c r="P3133" t="s">
        <v>1296</v>
      </c>
      <c r="R3133">
        <v>2.0129999999999999</v>
      </c>
      <c r="T3133">
        <v>1.5720000000000001</v>
      </c>
      <c r="V3133">
        <v>2.5790000000000002</v>
      </c>
      <c r="W3133" t="s">
        <v>66</v>
      </c>
      <c r="X3133" t="s">
        <v>67</v>
      </c>
      <c r="Y3133" t="s">
        <v>67</v>
      </c>
      <c r="Z3133" t="s">
        <v>68</v>
      </c>
      <c r="AB3133">
        <v>4</v>
      </c>
      <c r="AC3133" t="s">
        <v>61</v>
      </c>
      <c r="AJ3133" t="s">
        <v>69</v>
      </c>
      <c r="AY3133" t="s">
        <v>2245</v>
      </c>
      <c r="AZ3133">
        <v>80428</v>
      </c>
      <c r="BA3133" t="s">
        <v>2246</v>
      </c>
      <c r="BB3133" t="s">
        <v>2247</v>
      </c>
      <c r="BC3133">
        <v>2004</v>
      </c>
      <c r="BD3133" t="s">
        <v>185</v>
      </c>
    </row>
    <row r="3134" spans="1:56" x14ac:dyDescent="0.35">
      <c r="A3134">
        <v>7758987</v>
      </c>
      <c r="B3134" t="s">
        <v>2219</v>
      </c>
      <c r="D3134" t="s">
        <v>57</v>
      </c>
      <c r="E3134" t="s">
        <v>86</v>
      </c>
      <c r="F3134" t="s">
        <v>58</v>
      </c>
      <c r="G3134" t="s">
        <v>59</v>
      </c>
      <c r="H3134" t="s">
        <v>60</v>
      </c>
      <c r="I3134" t="s">
        <v>188</v>
      </c>
      <c r="J3134" t="s">
        <v>289</v>
      </c>
      <c r="K3134" t="s">
        <v>184</v>
      </c>
      <c r="L3134" t="s">
        <v>74</v>
      </c>
      <c r="M3134" t="s">
        <v>63</v>
      </c>
      <c r="N3134" t="s">
        <v>64</v>
      </c>
      <c r="P3134" t="s">
        <v>201</v>
      </c>
      <c r="R3134">
        <v>0.1616195</v>
      </c>
      <c r="T3134">
        <v>0.13899276999999999</v>
      </c>
      <c r="V3134">
        <v>0.18747862000000001</v>
      </c>
      <c r="W3134" t="s">
        <v>66</v>
      </c>
      <c r="X3134" t="s">
        <v>67</v>
      </c>
      <c r="Y3134" t="s">
        <v>67</v>
      </c>
      <c r="Z3134" t="s">
        <v>68</v>
      </c>
      <c r="AB3134">
        <v>4</v>
      </c>
      <c r="AC3134" t="s">
        <v>61</v>
      </c>
      <c r="AJ3134" t="s">
        <v>69</v>
      </c>
      <c r="AY3134" t="s">
        <v>2220</v>
      </c>
      <c r="AZ3134">
        <v>16342</v>
      </c>
      <c r="BA3134" t="s">
        <v>2221</v>
      </c>
      <c r="BB3134" t="s">
        <v>2222</v>
      </c>
      <c r="BC3134">
        <v>1996</v>
      </c>
      <c r="BD3134" t="s">
        <v>185</v>
      </c>
    </row>
    <row r="3135" spans="1:56" x14ac:dyDescent="0.35">
      <c r="A3135">
        <v>7758987</v>
      </c>
      <c r="B3135" t="s">
        <v>2219</v>
      </c>
      <c r="C3135" t="s">
        <v>195</v>
      </c>
      <c r="D3135" t="s">
        <v>57</v>
      </c>
      <c r="E3135" t="s">
        <v>86</v>
      </c>
      <c r="F3135" t="s">
        <v>58</v>
      </c>
      <c r="G3135" t="s">
        <v>59</v>
      </c>
      <c r="H3135" t="s">
        <v>60</v>
      </c>
      <c r="J3135">
        <v>30</v>
      </c>
      <c r="K3135" t="s">
        <v>61</v>
      </c>
      <c r="L3135" t="s">
        <v>190</v>
      </c>
      <c r="M3135" t="s">
        <v>63</v>
      </c>
      <c r="N3135" t="s">
        <v>64</v>
      </c>
      <c r="P3135" t="s">
        <v>1296</v>
      </c>
      <c r="R3135">
        <v>0.74</v>
      </c>
      <c r="T3135">
        <v>0.53</v>
      </c>
      <c r="V3135">
        <v>1.1599999999999999</v>
      </c>
      <c r="W3135" t="s">
        <v>66</v>
      </c>
      <c r="X3135" t="s">
        <v>67</v>
      </c>
      <c r="Y3135" t="s">
        <v>67</v>
      </c>
      <c r="Z3135" t="s">
        <v>68</v>
      </c>
      <c r="AB3135">
        <v>4</v>
      </c>
      <c r="AC3135" t="s">
        <v>61</v>
      </c>
      <c r="AJ3135" t="s">
        <v>69</v>
      </c>
      <c r="AY3135" t="s">
        <v>2206</v>
      </c>
      <c r="AZ3135">
        <v>9598</v>
      </c>
      <c r="BA3135" t="s">
        <v>2207</v>
      </c>
      <c r="BB3135" t="s">
        <v>2208</v>
      </c>
      <c r="BC3135">
        <v>1990</v>
      </c>
      <c r="BD3135" t="s">
        <v>73</v>
      </c>
    </row>
    <row r="3136" spans="1:56" x14ac:dyDescent="0.35">
      <c r="A3136">
        <v>7758987</v>
      </c>
      <c r="B3136" t="s">
        <v>2219</v>
      </c>
      <c r="D3136" t="s">
        <v>57</v>
      </c>
      <c r="E3136" t="s">
        <v>86</v>
      </c>
      <c r="F3136" t="s">
        <v>58</v>
      </c>
      <c r="G3136" t="s">
        <v>59</v>
      </c>
      <c r="H3136" t="s">
        <v>60</v>
      </c>
      <c r="I3136" t="s">
        <v>188</v>
      </c>
      <c r="J3136" t="s">
        <v>289</v>
      </c>
      <c r="K3136" t="s">
        <v>184</v>
      </c>
      <c r="L3136" t="s">
        <v>62</v>
      </c>
      <c r="M3136" t="s">
        <v>63</v>
      </c>
      <c r="N3136" t="s">
        <v>64</v>
      </c>
      <c r="O3136">
        <v>6</v>
      </c>
      <c r="P3136" t="s">
        <v>201</v>
      </c>
      <c r="Q3136" t="s">
        <v>153</v>
      </c>
      <c r="R3136">
        <v>3.5556290000000002</v>
      </c>
      <c r="W3136" t="s">
        <v>66</v>
      </c>
      <c r="X3136" t="s">
        <v>67</v>
      </c>
      <c r="Y3136" t="s">
        <v>67</v>
      </c>
      <c r="Z3136" t="s">
        <v>68</v>
      </c>
      <c r="AB3136">
        <v>4</v>
      </c>
      <c r="AC3136" t="s">
        <v>61</v>
      </c>
      <c r="AJ3136" t="s">
        <v>69</v>
      </c>
      <c r="AY3136" t="s">
        <v>2233</v>
      </c>
      <c r="AZ3136">
        <v>76238</v>
      </c>
      <c r="BA3136" t="s">
        <v>2234</v>
      </c>
      <c r="BB3136" t="s">
        <v>2235</v>
      </c>
      <c r="BC3136">
        <v>1996</v>
      </c>
      <c r="BD3136" t="s">
        <v>185</v>
      </c>
    </row>
    <row r="3137" spans="1:56" x14ac:dyDescent="0.35">
      <c r="A3137">
        <v>7758987</v>
      </c>
      <c r="B3137" t="s">
        <v>2219</v>
      </c>
      <c r="D3137" t="s">
        <v>57</v>
      </c>
      <c r="E3137" t="s">
        <v>86</v>
      </c>
      <c r="F3137" t="s">
        <v>58</v>
      </c>
      <c r="G3137" t="s">
        <v>59</v>
      </c>
      <c r="H3137" t="s">
        <v>60</v>
      </c>
      <c r="J3137" t="s">
        <v>289</v>
      </c>
      <c r="K3137" t="s">
        <v>184</v>
      </c>
      <c r="L3137" t="s">
        <v>62</v>
      </c>
      <c r="M3137" t="s">
        <v>63</v>
      </c>
      <c r="N3137" t="s">
        <v>64</v>
      </c>
      <c r="P3137" t="s">
        <v>201</v>
      </c>
      <c r="R3137">
        <v>5.9799999999999999E-2</v>
      </c>
      <c r="T3137">
        <v>5.1700000000000003E-2</v>
      </c>
      <c r="V3137">
        <v>6.93E-2</v>
      </c>
      <c r="W3137" t="s">
        <v>66</v>
      </c>
      <c r="X3137" t="s">
        <v>67</v>
      </c>
      <c r="Y3137" t="s">
        <v>67</v>
      </c>
      <c r="Z3137" t="s">
        <v>68</v>
      </c>
      <c r="AB3137">
        <v>4</v>
      </c>
      <c r="AC3137" t="s">
        <v>61</v>
      </c>
      <c r="AJ3137" t="s">
        <v>69</v>
      </c>
      <c r="AY3137" t="s">
        <v>2249</v>
      </c>
      <c r="AZ3137">
        <v>45189</v>
      </c>
      <c r="BA3137" t="s">
        <v>2250</v>
      </c>
      <c r="BB3137" t="s">
        <v>2251</v>
      </c>
      <c r="BC3137">
        <v>1996</v>
      </c>
      <c r="BD3137" t="s">
        <v>185</v>
      </c>
    </row>
    <row r="3138" spans="1:56" x14ac:dyDescent="0.35">
      <c r="A3138">
        <v>7758987</v>
      </c>
      <c r="B3138" t="s">
        <v>2219</v>
      </c>
      <c r="D3138" t="s">
        <v>85</v>
      </c>
      <c r="E3138" t="s">
        <v>86</v>
      </c>
      <c r="F3138" t="s">
        <v>58</v>
      </c>
      <c r="G3138" t="s">
        <v>59</v>
      </c>
      <c r="H3138" t="s">
        <v>60</v>
      </c>
      <c r="I3138" t="s">
        <v>188</v>
      </c>
      <c r="J3138" t="s">
        <v>289</v>
      </c>
      <c r="K3138" t="s">
        <v>184</v>
      </c>
      <c r="L3138" t="s">
        <v>190</v>
      </c>
      <c r="M3138" t="s">
        <v>63</v>
      </c>
      <c r="N3138" t="s">
        <v>64</v>
      </c>
      <c r="O3138">
        <v>6</v>
      </c>
      <c r="P3138" t="s">
        <v>1296</v>
      </c>
      <c r="R3138">
        <v>0.61329999999999996</v>
      </c>
      <c r="T3138">
        <v>0.51</v>
      </c>
      <c r="V3138">
        <v>0.73740000000000006</v>
      </c>
      <c r="W3138" t="s">
        <v>66</v>
      </c>
      <c r="X3138" t="s">
        <v>67</v>
      </c>
      <c r="Y3138" t="s">
        <v>67</v>
      </c>
      <c r="Z3138" t="s">
        <v>68</v>
      </c>
      <c r="AB3138">
        <v>4</v>
      </c>
      <c r="AC3138" t="s">
        <v>61</v>
      </c>
      <c r="AJ3138" t="s">
        <v>69</v>
      </c>
      <c r="AY3138" t="s">
        <v>2245</v>
      </c>
      <c r="AZ3138">
        <v>80428</v>
      </c>
      <c r="BA3138" t="s">
        <v>2246</v>
      </c>
      <c r="BB3138" t="s">
        <v>2247</v>
      </c>
      <c r="BC3138">
        <v>2004</v>
      </c>
      <c r="BD3138" t="s">
        <v>185</v>
      </c>
    </row>
    <row r="3139" spans="1:56" x14ac:dyDescent="0.35">
      <c r="A3139">
        <v>7758987</v>
      </c>
      <c r="B3139" t="s">
        <v>2219</v>
      </c>
      <c r="C3139" t="s">
        <v>195</v>
      </c>
      <c r="D3139" t="s">
        <v>57</v>
      </c>
      <c r="E3139" t="s">
        <v>86</v>
      </c>
      <c r="F3139" t="s">
        <v>58</v>
      </c>
      <c r="G3139" t="s">
        <v>59</v>
      </c>
      <c r="H3139" t="s">
        <v>60</v>
      </c>
      <c r="J3139" t="s">
        <v>86</v>
      </c>
      <c r="K3139" t="s">
        <v>61</v>
      </c>
      <c r="L3139" t="s">
        <v>62</v>
      </c>
      <c r="M3139" t="s">
        <v>63</v>
      </c>
      <c r="N3139" t="s">
        <v>64</v>
      </c>
      <c r="P3139" t="s">
        <v>201</v>
      </c>
      <c r="R3139">
        <v>1.2500000000000001E-2</v>
      </c>
      <c r="W3139" t="s">
        <v>66</v>
      </c>
      <c r="X3139" t="s">
        <v>67</v>
      </c>
      <c r="Y3139" t="s">
        <v>67</v>
      </c>
      <c r="Z3139" t="s">
        <v>68</v>
      </c>
      <c r="AB3139">
        <v>4</v>
      </c>
      <c r="AC3139" t="s">
        <v>61</v>
      </c>
      <c r="AJ3139" t="s">
        <v>69</v>
      </c>
      <c r="AY3139" t="s">
        <v>2282</v>
      </c>
      <c r="AZ3139">
        <v>18527</v>
      </c>
      <c r="BA3139" t="s">
        <v>2283</v>
      </c>
      <c r="BB3139" t="s">
        <v>2284</v>
      </c>
      <c r="BC3139">
        <v>1996</v>
      </c>
      <c r="BD3139" t="s">
        <v>2285</v>
      </c>
    </row>
    <row r="3140" spans="1:56" x14ac:dyDescent="0.35">
      <c r="A3140">
        <v>7758987</v>
      </c>
      <c r="B3140" t="s">
        <v>2219</v>
      </c>
      <c r="D3140" t="s">
        <v>57</v>
      </c>
      <c r="E3140" t="s">
        <v>86</v>
      </c>
      <c r="F3140" t="s">
        <v>58</v>
      </c>
      <c r="G3140" t="s">
        <v>59</v>
      </c>
      <c r="H3140" t="s">
        <v>60</v>
      </c>
      <c r="I3140" t="s">
        <v>188</v>
      </c>
      <c r="J3140" t="s">
        <v>289</v>
      </c>
      <c r="K3140" t="s">
        <v>184</v>
      </c>
      <c r="L3140" t="s">
        <v>62</v>
      </c>
      <c r="M3140" t="s">
        <v>63</v>
      </c>
      <c r="N3140" t="s">
        <v>64</v>
      </c>
      <c r="P3140" t="s">
        <v>201</v>
      </c>
      <c r="R3140">
        <v>0.49293947500000002</v>
      </c>
      <c r="T3140">
        <v>0.42021069999999999</v>
      </c>
      <c r="V3140">
        <v>0.57374922500000003</v>
      </c>
      <c r="W3140" t="s">
        <v>66</v>
      </c>
      <c r="X3140" t="s">
        <v>67</v>
      </c>
      <c r="Y3140" t="s">
        <v>67</v>
      </c>
      <c r="Z3140" t="s">
        <v>68</v>
      </c>
      <c r="AB3140">
        <v>4</v>
      </c>
      <c r="AC3140" t="s">
        <v>61</v>
      </c>
      <c r="AJ3140" t="s">
        <v>69</v>
      </c>
      <c r="AY3140" t="s">
        <v>2220</v>
      </c>
      <c r="AZ3140">
        <v>16342</v>
      </c>
      <c r="BA3140" t="s">
        <v>2221</v>
      </c>
      <c r="BB3140" t="s">
        <v>2222</v>
      </c>
      <c r="BC3140">
        <v>1996</v>
      </c>
      <c r="BD3140" t="s">
        <v>185</v>
      </c>
    </row>
    <row r="3141" spans="1:56" x14ac:dyDescent="0.35">
      <c r="A3141">
        <v>7758987</v>
      </c>
      <c r="B3141" t="s">
        <v>2219</v>
      </c>
      <c r="D3141" t="s">
        <v>57</v>
      </c>
      <c r="E3141" t="s">
        <v>86</v>
      </c>
      <c r="F3141" t="s">
        <v>58</v>
      </c>
      <c r="G3141" t="s">
        <v>59</v>
      </c>
      <c r="H3141" t="s">
        <v>60</v>
      </c>
      <c r="I3141" t="s">
        <v>188</v>
      </c>
      <c r="J3141" t="s">
        <v>289</v>
      </c>
      <c r="K3141" t="s">
        <v>184</v>
      </c>
      <c r="L3141" t="s">
        <v>62</v>
      </c>
      <c r="M3141" t="s">
        <v>63</v>
      </c>
      <c r="N3141" t="s">
        <v>64</v>
      </c>
      <c r="P3141" t="s">
        <v>201</v>
      </c>
      <c r="R3141">
        <v>0.77577359999999995</v>
      </c>
      <c r="W3141" t="s">
        <v>66</v>
      </c>
      <c r="X3141" t="s">
        <v>67</v>
      </c>
      <c r="Y3141" t="s">
        <v>67</v>
      </c>
      <c r="Z3141" t="s">
        <v>68</v>
      </c>
      <c r="AB3141">
        <v>4</v>
      </c>
      <c r="AC3141" t="s">
        <v>61</v>
      </c>
      <c r="AJ3141" t="s">
        <v>69</v>
      </c>
      <c r="AY3141" t="s">
        <v>2220</v>
      </c>
      <c r="AZ3141">
        <v>16342</v>
      </c>
      <c r="BA3141" t="s">
        <v>2221</v>
      </c>
      <c r="BB3141" t="s">
        <v>2222</v>
      </c>
      <c r="BC3141">
        <v>1996</v>
      </c>
      <c r="BD3141" t="s">
        <v>185</v>
      </c>
    </row>
    <row r="3142" spans="1:56" x14ac:dyDescent="0.35">
      <c r="A3142">
        <v>7758987</v>
      </c>
      <c r="B3142" t="s">
        <v>2219</v>
      </c>
      <c r="D3142" t="s">
        <v>57</v>
      </c>
      <c r="E3142" t="s">
        <v>86</v>
      </c>
      <c r="F3142" t="s">
        <v>58</v>
      </c>
      <c r="G3142" t="s">
        <v>59</v>
      </c>
      <c r="H3142" t="s">
        <v>60</v>
      </c>
      <c r="I3142" t="s">
        <v>177</v>
      </c>
      <c r="J3142" t="s">
        <v>505</v>
      </c>
      <c r="K3142" t="s">
        <v>61</v>
      </c>
      <c r="L3142" t="s">
        <v>62</v>
      </c>
      <c r="M3142" t="s">
        <v>63</v>
      </c>
      <c r="N3142" t="s">
        <v>64</v>
      </c>
      <c r="P3142" t="s">
        <v>201</v>
      </c>
      <c r="R3142">
        <v>2E-3</v>
      </c>
      <c r="T3142">
        <v>1.5E-3</v>
      </c>
      <c r="V3142">
        <v>2.7000000000000001E-3</v>
      </c>
      <c r="W3142" t="s">
        <v>66</v>
      </c>
      <c r="X3142" t="s">
        <v>67</v>
      </c>
      <c r="Y3142" t="s">
        <v>67</v>
      </c>
      <c r="Z3142" t="s">
        <v>68</v>
      </c>
      <c r="AB3142">
        <v>4</v>
      </c>
      <c r="AC3142" t="s">
        <v>61</v>
      </c>
      <c r="AJ3142" t="s">
        <v>69</v>
      </c>
      <c r="AY3142" t="s">
        <v>2236</v>
      </c>
      <c r="AZ3142">
        <v>8034</v>
      </c>
      <c r="BA3142" t="s">
        <v>2237</v>
      </c>
      <c r="BB3142" t="s">
        <v>2238</v>
      </c>
      <c r="BC3142">
        <v>1993</v>
      </c>
      <c r="BD3142" t="s">
        <v>73</v>
      </c>
    </row>
    <row r="3143" spans="1:56" x14ac:dyDescent="0.35">
      <c r="A3143">
        <v>7758987</v>
      </c>
      <c r="B3143" t="s">
        <v>2219</v>
      </c>
      <c r="D3143" t="s">
        <v>85</v>
      </c>
      <c r="E3143" t="s">
        <v>86</v>
      </c>
      <c r="F3143" t="s">
        <v>58</v>
      </c>
      <c r="G3143" t="s">
        <v>59</v>
      </c>
      <c r="H3143" t="s">
        <v>60</v>
      </c>
      <c r="J3143" t="s">
        <v>86</v>
      </c>
      <c r="L3143" t="s">
        <v>62</v>
      </c>
      <c r="M3143" t="s">
        <v>63</v>
      </c>
      <c r="N3143" t="s">
        <v>64</v>
      </c>
      <c r="P3143" t="s">
        <v>201</v>
      </c>
      <c r="R3143">
        <v>1.1399999999999999</v>
      </c>
      <c r="T3143">
        <v>0.83</v>
      </c>
      <c r="V3143">
        <v>1.38</v>
      </c>
      <c r="W3143" t="s">
        <v>66</v>
      </c>
      <c r="X3143" t="s">
        <v>67</v>
      </c>
      <c r="Y3143" t="s">
        <v>67</v>
      </c>
      <c r="Z3143" t="s">
        <v>68</v>
      </c>
      <c r="AB3143">
        <v>4</v>
      </c>
      <c r="AC3143" t="s">
        <v>61</v>
      </c>
      <c r="AJ3143" t="s">
        <v>69</v>
      </c>
      <c r="AY3143" t="s">
        <v>168</v>
      </c>
      <c r="AZ3143">
        <v>2033</v>
      </c>
      <c r="BA3143" t="s">
        <v>1385</v>
      </c>
      <c r="BB3143" t="s">
        <v>1386</v>
      </c>
      <c r="BC3143">
        <v>1966</v>
      </c>
      <c r="BD3143" t="s">
        <v>90</v>
      </c>
    </row>
    <row r="3144" spans="1:56" x14ac:dyDescent="0.35">
      <c r="A3144">
        <v>7758987</v>
      </c>
      <c r="B3144" t="s">
        <v>2219</v>
      </c>
      <c r="D3144" t="s">
        <v>57</v>
      </c>
      <c r="E3144" t="s">
        <v>86</v>
      </c>
      <c r="F3144" t="s">
        <v>58</v>
      </c>
      <c r="G3144" t="s">
        <v>59</v>
      </c>
      <c r="H3144" t="s">
        <v>60</v>
      </c>
      <c r="I3144" t="s">
        <v>188</v>
      </c>
      <c r="J3144" t="s">
        <v>86</v>
      </c>
      <c r="K3144" t="s">
        <v>184</v>
      </c>
      <c r="L3144" t="s">
        <v>74</v>
      </c>
      <c r="M3144" t="s">
        <v>63</v>
      </c>
      <c r="N3144" t="s">
        <v>64</v>
      </c>
      <c r="P3144" t="s">
        <v>201</v>
      </c>
      <c r="S3144" t="s">
        <v>153</v>
      </c>
      <c r="T3144">
        <v>5.0000000000000001E-3</v>
      </c>
      <c r="U3144" t="s">
        <v>435</v>
      </c>
      <c r="V3144">
        <v>1.4999999999999999E-2</v>
      </c>
      <c r="W3144" t="s">
        <v>66</v>
      </c>
      <c r="X3144" t="s">
        <v>67</v>
      </c>
      <c r="Y3144" t="s">
        <v>67</v>
      </c>
      <c r="Z3144" t="s">
        <v>68</v>
      </c>
      <c r="AB3144">
        <v>4</v>
      </c>
      <c r="AC3144" t="s">
        <v>61</v>
      </c>
      <c r="AJ3144" t="s">
        <v>69</v>
      </c>
      <c r="AY3144" t="s">
        <v>2249</v>
      </c>
      <c r="AZ3144">
        <v>45189</v>
      </c>
      <c r="BA3144" t="s">
        <v>2250</v>
      </c>
      <c r="BB3144" t="s">
        <v>2251</v>
      </c>
      <c r="BC3144">
        <v>1996</v>
      </c>
      <c r="BD3144" t="s">
        <v>2252</v>
      </c>
    </row>
    <row r="3145" spans="1:56" x14ac:dyDescent="0.35">
      <c r="A3145">
        <v>7758987</v>
      </c>
      <c r="B3145" t="s">
        <v>2219</v>
      </c>
      <c r="D3145" t="s">
        <v>85</v>
      </c>
      <c r="E3145" t="s">
        <v>86</v>
      </c>
      <c r="F3145" t="s">
        <v>58</v>
      </c>
      <c r="G3145" t="s">
        <v>59</v>
      </c>
      <c r="H3145" t="s">
        <v>60</v>
      </c>
      <c r="J3145" t="s">
        <v>86</v>
      </c>
      <c r="L3145" t="s">
        <v>62</v>
      </c>
      <c r="M3145" t="s">
        <v>63</v>
      </c>
      <c r="N3145" t="s">
        <v>64</v>
      </c>
      <c r="P3145" t="s">
        <v>201</v>
      </c>
      <c r="R3145">
        <v>1.76</v>
      </c>
      <c r="T3145">
        <v>1.1399999999999999</v>
      </c>
      <c r="V3145">
        <v>2.57</v>
      </c>
      <c r="W3145" t="s">
        <v>66</v>
      </c>
      <c r="X3145" t="s">
        <v>67</v>
      </c>
      <c r="Y3145" t="s">
        <v>67</v>
      </c>
      <c r="Z3145" t="s">
        <v>68</v>
      </c>
      <c r="AB3145">
        <v>4</v>
      </c>
      <c r="AC3145" t="s">
        <v>61</v>
      </c>
      <c r="AJ3145" t="s">
        <v>69</v>
      </c>
      <c r="AY3145" t="s">
        <v>168</v>
      </c>
      <c r="AZ3145">
        <v>2033</v>
      </c>
      <c r="BA3145" t="s">
        <v>1385</v>
      </c>
      <c r="BB3145" t="s">
        <v>1386</v>
      </c>
      <c r="BC3145">
        <v>1966</v>
      </c>
      <c r="BD3145" t="s">
        <v>90</v>
      </c>
    </row>
    <row r="3146" spans="1:56" x14ac:dyDescent="0.35">
      <c r="A3146">
        <v>7758987</v>
      </c>
      <c r="B3146" t="s">
        <v>2219</v>
      </c>
      <c r="D3146" t="s">
        <v>57</v>
      </c>
      <c r="E3146" t="s">
        <v>86</v>
      </c>
      <c r="F3146" t="s">
        <v>58</v>
      </c>
      <c r="G3146" t="s">
        <v>59</v>
      </c>
      <c r="H3146" t="s">
        <v>60</v>
      </c>
      <c r="I3146" t="s">
        <v>188</v>
      </c>
      <c r="J3146" t="s">
        <v>289</v>
      </c>
      <c r="K3146" t="s">
        <v>184</v>
      </c>
      <c r="L3146" t="s">
        <v>74</v>
      </c>
      <c r="M3146" t="s">
        <v>63</v>
      </c>
      <c r="N3146" t="s">
        <v>64</v>
      </c>
      <c r="P3146" t="s">
        <v>201</v>
      </c>
      <c r="R3146">
        <v>1.01820285</v>
      </c>
      <c r="W3146" t="s">
        <v>66</v>
      </c>
      <c r="X3146" t="s">
        <v>67</v>
      </c>
      <c r="Y3146" t="s">
        <v>67</v>
      </c>
      <c r="Z3146" t="s">
        <v>68</v>
      </c>
      <c r="AB3146">
        <v>4</v>
      </c>
      <c r="AC3146" t="s">
        <v>61</v>
      </c>
      <c r="AJ3146" t="s">
        <v>69</v>
      </c>
      <c r="AY3146" t="s">
        <v>2220</v>
      </c>
      <c r="AZ3146">
        <v>16342</v>
      </c>
      <c r="BA3146" t="s">
        <v>2221</v>
      </c>
      <c r="BB3146" t="s">
        <v>2222</v>
      </c>
      <c r="BC3146">
        <v>1996</v>
      </c>
      <c r="BD3146" t="s">
        <v>185</v>
      </c>
    </row>
    <row r="3147" spans="1:56" x14ac:dyDescent="0.35">
      <c r="A3147">
        <v>7758987</v>
      </c>
      <c r="B3147" t="s">
        <v>2219</v>
      </c>
      <c r="D3147" t="s">
        <v>57</v>
      </c>
      <c r="E3147" t="s">
        <v>86</v>
      </c>
      <c r="F3147" t="s">
        <v>58</v>
      </c>
      <c r="G3147" t="s">
        <v>59</v>
      </c>
      <c r="H3147" t="s">
        <v>60</v>
      </c>
      <c r="I3147" t="s">
        <v>188</v>
      </c>
      <c r="J3147" t="s">
        <v>289</v>
      </c>
      <c r="K3147" t="s">
        <v>184</v>
      </c>
      <c r="L3147" t="s">
        <v>74</v>
      </c>
      <c r="M3147" t="s">
        <v>63</v>
      </c>
      <c r="N3147" t="s">
        <v>64</v>
      </c>
      <c r="P3147" t="s">
        <v>201</v>
      </c>
      <c r="R3147">
        <v>6.1415409999999997E-2</v>
      </c>
      <c r="W3147" t="s">
        <v>66</v>
      </c>
      <c r="X3147" t="s">
        <v>67</v>
      </c>
      <c r="Y3147" t="s">
        <v>67</v>
      </c>
      <c r="Z3147" t="s">
        <v>68</v>
      </c>
      <c r="AB3147">
        <v>4</v>
      </c>
      <c r="AC3147" t="s">
        <v>61</v>
      </c>
      <c r="AJ3147" t="s">
        <v>69</v>
      </c>
      <c r="AY3147" t="s">
        <v>2220</v>
      </c>
      <c r="AZ3147">
        <v>16342</v>
      </c>
      <c r="BA3147" t="s">
        <v>2221</v>
      </c>
      <c r="BB3147" t="s">
        <v>2222</v>
      </c>
      <c r="BC3147">
        <v>1996</v>
      </c>
      <c r="BD3147" t="s">
        <v>185</v>
      </c>
    </row>
    <row r="3148" spans="1:56" x14ac:dyDescent="0.35">
      <c r="A3148">
        <v>7758987</v>
      </c>
      <c r="B3148" t="s">
        <v>2219</v>
      </c>
      <c r="D3148" t="s">
        <v>85</v>
      </c>
      <c r="E3148" t="s">
        <v>86</v>
      </c>
      <c r="F3148" t="s">
        <v>58</v>
      </c>
      <c r="G3148" t="s">
        <v>59</v>
      </c>
      <c r="H3148" t="s">
        <v>60</v>
      </c>
      <c r="J3148" t="s">
        <v>86</v>
      </c>
      <c r="L3148" t="s">
        <v>74</v>
      </c>
      <c r="M3148" t="s">
        <v>63</v>
      </c>
      <c r="N3148" t="s">
        <v>64</v>
      </c>
      <c r="P3148" t="s">
        <v>201</v>
      </c>
      <c r="R3148">
        <v>0.47</v>
      </c>
      <c r="W3148" t="s">
        <v>66</v>
      </c>
      <c r="X3148" t="s">
        <v>67</v>
      </c>
      <c r="Y3148" t="s">
        <v>67</v>
      </c>
      <c r="Z3148" t="s">
        <v>68</v>
      </c>
      <c r="AB3148">
        <v>4</v>
      </c>
      <c r="AC3148" t="s">
        <v>61</v>
      </c>
      <c r="AJ3148" t="s">
        <v>69</v>
      </c>
      <c r="AY3148" t="s">
        <v>2185</v>
      </c>
      <c r="AZ3148">
        <v>2006</v>
      </c>
      <c r="BA3148" t="s">
        <v>2259</v>
      </c>
      <c r="BB3148" t="s">
        <v>2260</v>
      </c>
      <c r="BC3148">
        <v>1968</v>
      </c>
      <c r="BD3148" t="s">
        <v>90</v>
      </c>
    </row>
    <row r="3149" spans="1:56" x14ac:dyDescent="0.35">
      <c r="A3149">
        <v>7758987</v>
      </c>
      <c r="B3149" t="s">
        <v>2219</v>
      </c>
      <c r="D3149" t="s">
        <v>57</v>
      </c>
      <c r="E3149" t="s">
        <v>86</v>
      </c>
      <c r="F3149" t="s">
        <v>58</v>
      </c>
      <c r="G3149" t="s">
        <v>59</v>
      </c>
      <c r="H3149" t="s">
        <v>60</v>
      </c>
      <c r="I3149" t="s">
        <v>188</v>
      </c>
      <c r="J3149" t="s">
        <v>289</v>
      </c>
      <c r="K3149" t="s">
        <v>184</v>
      </c>
      <c r="L3149" t="s">
        <v>62</v>
      </c>
      <c r="M3149" t="s">
        <v>63</v>
      </c>
      <c r="N3149" t="s">
        <v>64</v>
      </c>
      <c r="P3149" t="s">
        <v>201</v>
      </c>
      <c r="R3149">
        <v>0.16950000000000001</v>
      </c>
      <c r="T3149">
        <v>0.1338</v>
      </c>
      <c r="V3149">
        <v>0.21479999999999999</v>
      </c>
      <c r="W3149" t="s">
        <v>66</v>
      </c>
      <c r="X3149" t="s">
        <v>67</v>
      </c>
      <c r="Y3149" t="s">
        <v>67</v>
      </c>
      <c r="Z3149" t="s">
        <v>68</v>
      </c>
      <c r="AB3149">
        <v>4</v>
      </c>
      <c r="AC3149" t="s">
        <v>61</v>
      </c>
      <c r="AJ3149" t="s">
        <v>69</v>
      </c>
      <c r="AY3149" t="s">
        <v>2230</v>
      </c>
      <c r="AZ3149">
        <v>17105</v>
      </c>
      <c r="BA3149" t="s">
        <v>2231</v>
      </c>
      <c r="BB3149" t="s">
        <v>2232</v>
      </c>
      <c r="BC3149">
        <v>1996</v>
      </c>
      <c r="BD3149" t="s">
        <v>185</v>
      </c>
    </row>
    <row r="3150" spans="1:56" x14ac:dyDescent="0.35">
      <c r="A3150">
        <v>7758987</v>
      </c>
      <c r="B3150" t="s">
        <v>2219</v>
      </c>
      <c r="D3150" t="s">
        <v>57</v>
      </c>
      <c r="E3150" t="s">
        <v>86</v>
      </c>
      <c r="F3150" t="s">
        <v>58</v>
      </c>
      <c r="G3150" t="s">
        <v>59</v>
      </c>
      <c r="H3150" t="s">
        <v>60</v>
      </c>
      <c r="J3150" t="s">
        <v>86</v>
      </c>
      <c r="L3150" t="s">
        <v>62</v>
      </c>
      <c r="M3150" t="s">
        <v>63</v>
      </c>
      <c r="N3150" t="s">
        <v>64</v>
      </c>
      <c r="P3150" t="s">
        <v>1296</v>
      </c>
      <c r="R3150">
        <v>0.82</v>
      </c>
      <c r="W3150" t="s">
        <v>66</v>
      </c>
      <c r="X3150" t="s">
        <v>67</v>
      </c>
      <c r="Y3150" t="s">
        <v>67</v>
      </c>
      <c r="Z3150" t="s">
        <v>68</v>
      </c>
      <c r="AB3150">
        <v>4</v>
      </c>
      <c r="AC3150" t="s">
        <v>61</v>
      </c>
      <c r="AJ3150" t="s">
        <v>69</v>
      </c>
      <c r="AQ3150" t="s">
        <v>69</v>
      </c>
      <c r="AY3150" t="s">
        <v>2223</v>
      </c>
      <c r="AZ3150">
        <v>2071</v>
      </c>
      <c r="BA3150" t="s">
        <v>2224</v>
      </c>
      <c r="BB3150" t="s">
        <v>2225</v>
      </c>
      <c r="BC3150">
        <v>1976</v>
      </c>
      <c r="BD3150" t="s">
        <v>2033</v>
      </c>
    </row>
    <row r="3151" spans="1:56" x14ac:dyDescent="0.35">
      <c r="A3151">
        <v>7758987</v>
      </c>
      <c r="B3151" t="s">
        <v>2219</v>
      </c>
      <c r="D3151" t="s">
        <v>57</v>
      </c>
      <c r="E3151" t="s">
        <v>86</v>
      </c>
      <c r="F3151" t="s">
        <v>58</v>
      </c>
      <c r="G3151" t="s">
        <v>59</v>
      </c>
      <c r="H3151" t="s">
        <v>60</v>
      </c>
      <c r="J3151" t="s">
        <v>86</v>
      </c>
      <c r="L3151" t="s">
        <v>62</v>
      </c>
      <c r="M3151" t="s">
        <v>63</v>
      </c>
      <c r="N3151" t="s">
        <v>64</v>
      </c>
      <c r="P3151" t="s">
        <v>1296</v>
      </c>
      <c r="R3151">
        <v>0.92</v>
      </c>
      <c r="W3151" t="s">
        <v>66</v>
      </c>
      <c r="X3151" t="s">
        <v>67</v>
      </c>
      <c r="Y3151" t="s">
        <v>67</v>
      </c>
      <c r="Z3151" t="s">
        <v>68</v>
      </c>
      <c r="AB3151">
        <v>4</v>
      </c>
      <c r="AC3151" t="s">
        <v>61</v>
      </c>
      <c r="AJ3151" t="s">
        <v>69</v>
      </c>
      <c r="AQ3151" t="s">
        <v>69</v>
      </c>
      <c r="AY3151" t="s">
        <v>2223</v>
      </c>
      <c r="AZ3151">
        <v>2071</v>
      </c>
      <c r="BA3151" t="s">
        <v>2224</v>
      </c>
      <c r="BB3151" t="s">
        <v>2225</v>
      </c>
      <c r="BC3151">
        <v>1976</v>
      </c>
      <c r="BD3151" t="s">
        <v>2286</v>
      </c>
    </row>
    <row r="3152" spans="1:56" x14ac:dyDescent="0.35">
      <c r="A3152">
        <v>7758987</v>
      </c>
      <c r="B3152" t="s">
        <v>2219</v>
      </c>
      <c r="D3152" t="s">
        <v>57</v>
      </c>
      <c r="E3152" t="s">
        <v>86</v>
      </c>
      <c r="F3152" t="s">
        <v>58</v>
      </c>
      <c r="G3152" t="s">
        <v>59</v>
      </c>
      <c r="H3152" t="s">
        <v>60</v>
      </c>
      <c r="I3152" t="s">
        <v>188</v>
      </c>
      <c r="J3152" t="s">
        <v>289</v>
      </c>
      <c r="K3152" t="s">
        <v>184</v>
      </c>
      <c r="L3152" t="s">
        <v>62</v>
      </c>
      <c r="M3152" t="s">
        <v>63</v>
      </c>
      <c r="N3152" t="s">
        <v>64</v>
      </c>
      <c r="P3152" t="s">
        <v>201</v>
      </c>
      <c r="R3152">
        <v>0.48485850000000003</v>
      </c>
      <c r="T3152">
        <v>0.37172485</v>
      </c>
      <c r="V3152">
        <v>0.63839702499999995</v>
      </c>
      <c r="W3152" t="s">
        <v>66</v>
      </c>
      <c r="X3152" t="s">
        <v>67</v>
      </c>
      <c r="Y3152" t="s">
        <v>67</v>
      </c>
      <c r="Z3152" t="s">
        <v>68</v>
      </c>
      <c r="AB3152">
        <v>4</v>
      </c>
      <c r="AC3152" t="s">
        <v>61</v>
      </c>
      <c r="AJ3152" t="s">
        <v>69</v>
      </c>
      <c r="AY3152" t="s">
        <v>2220</v>
      </c>
      <c r="AZ3152">
        <v>16342</v>
      </c>
      <c r="BA3152" t="s">
        <v>2221</v>
      </c>
      <c r="BB3152" t="s">
        <v>2222</v>
      </c>
      <c r="BC3152">
        <v>1996</v>
      </c>
      <c r="BD3152" t="s">
        <v>185</v>
      </c>
    </row>
    <row r="3153" spans="1:56" x14ac:dyDescent="0.35">
      <c r="A3153">
        <v>7758987</v>
      </c>
      <c r="B3153" t="s">
        <v>2219</v>
      </c>
      <c r="D3153" t="s">
        <v>57</v>
      </c>
      <c r="E3153" t="s">
        <v>86</v>
      </c>
      <c r="F3153" t="s">
        <v>58</v>
      </c>
      <c r="G3153" t="s">
        <v>59</v>
      </c>
      <c r="H3153" t="s">
        <v>60</v>
      </c>
      <c r="I3153" t="s">
        <v>188</v>
      </c>
      <c r="J3153" t="s">
        <v>289</v>
      </c>
      <c r="K3153" t="s">
        <v>184</v>
      </c>
      <c r="L3153" t="s">
        <v>62</v>
      </c>
      <c r="M3153" t="s">
        <v>63</v>
      </c>
      <c r="N3153" t="s">
        <v>64</v>
      </c>
      <c r="O3153">
        <v>6</v>
      </c>
      <c r="P3153" t="s">
        <v>201</v>
      </c>
      <c r="R3153">
        <v>2.4242925</v>
      </c>
      <c r="T3153">
        <v>2.0687296000000002</v>
      </c>
      <c r="V3153">
        <v>2.8283412499999998</v>
      </c>
      <c r="W3153" t="s">
        <v>66</v>
      </c>
      <c r="X3153" t="s">
        <v>67</v>
      </c>
      <c r="Y3153" t="s">
        <v>67</v>
      </c>
      <c r="Z3153" t="s">
        <v>68</v>
      </c>
      <c r="AB3153">
        <v>4</v>
      </c>
      <c r="AC3153" t="s">
        <v>61</v>
      </c>
      <c r="AJ3153" t="s">
        <v>69</v>
      </c>
      <c r="AY3153" t="s">
        <v>2233</v>
      </c>
      <c r="AZ3153">
        <v>76238</v>
      </c>
      <c r="BA3153" t="s">
        <v>2234</v>
      </c>
      <c r="BB3153" t="s">
        <v>2235</v>
      </c>
      <c r="BC3153">
        <v>1996</v>
      </c>
      <c r="BD3153" t="s">
        <v>185</v>
      </c>
    </row>
    <row r="3154" spans="1:56" x14ac:dyDescent="0.35">
      <c r="A3154">
        <v>7758987</v>
      </c>
      <c r="B3154" t="s">
        <v>2219</v>
      </c>
      <c r="D3154" t="s">
        <v>57</v>
      </c>
      <c r="E3154" t="s">
        <v>86</v>
      </c>
      <c r="F3154" t="s">
        <v>58</v>
      </c>
      <c r="G3154" t="s">
        <v>59</v>
      </c>
      <c r="H3154" t="s">
        <v>60</v>
      </c>
      <c r="I3154" t="s">
        <v>188</v>
      </c>
      <c r="J3154" t="s">
        <v>289</v>
      </c>
      <c r="K3154" t="s">
        <v>184</v>
      </c>
      <c r="L3154" t="s">
        <v>74</v>
      </c>
      <c r="M3154" t="s">
        <v>63</v>
      </c>
      <c r="N3154" t="s">
        <v>64</v>
      </c>
      <c r="P3154" t="s">
        <v>201</v>
      </c>
      <c r="R3154">
        <v>0.23596447000000001</v>
      </c>
      <c r="T3154">
        <v>0.19717578999999999</v>
      </c>
      <c r="V3154">
        <v>0.28121793</v>
      </c>
      <c r="W3154" t="s">
        <v>66</v>
      </c>
      <c r="X3154" t="s">
        <v>67</v>
      </c>
      <c r="Y3154" t="s">
        <v>67</v>
      </c>
      <c r="Z3154" t="s">
        <v>68</v>
      </c>
      <c r="AB3154">
        <v>4</v>
      </c>
      <c r="AC3154" t="s">
        <v>61</v>
      </c>
      <c r="AJ3154" t="s">
        <v>69</v>
      </c>
      <c r="AY3154" t="s">
        <v>2220</v>
      </c>
      <c r="AZ3154">
        <v>16342</v>
      </c>
      <c r="BA3154" t="s">
        <v>2221</v>
      </c>
      <c r="BB3154" t="s">
        <v>2222</v>
      </c>
      <c r="BC3154">
        <v>1996</v>
      </c>
      <c r="BD3154" t="s">
        <v>185</v>
      </c>
    </row>
    <row r="3155" spans="1:56" x14ac:dyDescent="0.35">
      <c r="A3155">
        <v>7758987</v>
      </c>
      <c r="B3155" t="s">
        <v>2219</v>
      </c>
      <c r="D3155" t="s">
        <v>57</v>
      </c>
      <c r="E3155" t="s">
        <v>86</v>
      </c>
      <c r="F3155" t="s">
        <v>58</v>
      </c>
      <c r="G3155" t="s">
        <v>59</v>
      </c>
      <c r="H3155" t="s">
        <v>60</v>
      </c>
      <c r="I3155" t="s">
        <v>188</v>
      </c>
      <c r="J3155" t="s">
        <v>289</v>
      </c>
      <c r="K3155" t="s">
        <v>184</v>
      </c>
      <c r="L3155" t="s">
        <v>62</v>
      </c>
      <c r="M3155" t="s">
        <v>63</v>
      </c>
      <c r="N3155" t="s">
        <v>64</v>
      </c>
      <c r="O3155">
        <v>6</v>
      </c>
      <c r="P3155" t="s">
        <v>201</v>
      </c>
      <c r="R3155">
        <v>0.25212642000000002</v>
      </c>
      <c r="T3155">
        <v>0.198791985</v>
      </c>
      <c r="V3155">
        <v>0.323239</v>
      </c>
      <c r="W3155" t="s">
        <v>66</v>
      </c>
      <c r="X3155" t="s">
        <v>67</v>
      </c>
      <c r="Y3155" t="s">
        <v>67</v>
      </c>
      <c r="Z3155" t="s">
        <v>68</v>
      </c>
      <c r="AB3155">
        <v>4</v>
      </c>
      <c r="AC3155" t="s">
        <v>61</v>
      </c>
      <c r="AJ3155" t="s">
        <v>69</v>
      </c>
      <c r="AY3155" t="s">
        <v>2233</v>
      </c>
      <c r="AZ3155">
        <v>76238</v>
      </c>
      <c r="BA3155" t="s">
        <v>2234</v>
      </c>
      <c r="BB3155" t="s">
        <v>2235</v>
      </c>
      <c r="BC3155">
        <v>1996</v>
      </c>
      <c r="BD3155" t="s">
        <v>185</v>
      </c>
    </row>
    <row r="3156" spans="1:56" x14ac:dyDescent="0.35">
      <c r="A3156">
        <v>7758987</v>
      </c>
      <c r="B3156" t="s">
        <v>2219</v>
      </c>
      <c r="D3156" t="s">
        <v>57</v>
      </c>
      <c r="E3156" t="s">
        <v>86</v>
      </c>
      <c r="F3156" t="s">
        <v>58</v>
      </c>
      <c r="G3156" t="s">
        <v>59</v>
      </c>
      <c r="H3156" t="s">
        <v>60</v>
      </c>
      <c r="I3156" t="s">
        <v>188</v>
      </c>
      <c r="J3156" t="s">
        <v>289</v>
      </c>
      <c r="K3156" t="s">
        <v>184</v>
      </c>
      <c r="L3156" t="s">
        <v>62</v>
      </c>
      <c r="M3156" t="s">
        <v>63</v>
      </c>
      <c r="N3156" t="s">
        <v>64</v>
      </c>
      <c r="P3156" t="s">
        <v>201</v>
      </c>
      <c r="R3156">
        <v>0.59799214999999994</v>
      </c>
      <c r="T3156">
        <v>0.50102044999999995</v>
      </c>
      <c r="V3156">
        <v>0.71112580000000003</v>
      </c>
      <c r="W3156" t="s">
        <v>66</v>
      </c>
      <c r="X3156" t="s">
        <v>67</v>
      </c>
      <c r="Y3156" t="s">
        <v>67</v>
      </c>
      <c r="Z3156" t="s">
        <v>68</v>
      </c>
      <c r="AB3156">
        <v>4</v>
      </c>
      <c r="AC3156" t="s">
        <v>61</v>
      </c>
      <c r="AJ3156" t="s">
        <v>69</v>
      </c>
      <c r="AY3156" t="s">
        <v>2220</v>
      </c>
      <c r="AZ3156">
        <v>16342</v>
      </c>
      <c r="BA3156" t="s">
        <v>2221</v>
      </c>
      <c r="BB3156" t="s">
        <v>2222</v>
      </c>
      <c r="BC3156">
        <v>1996</v>
      </c>
      <c r="BD3156" t="s">
        <v>185</v>
      </c>
    </row>
    <row r="3157" spans="1:56" x14ac:dyDescent="0.35">
      <c r="A3157">
        <v>7758987</v>
      </c>
      <c r="B3157" t="s">
        <v>2219</v>
      </c>
      <c r="D3157" t="s">
        <v>85</v>
      </c>
      <c r="E3157" t="s">
        <v>86</v>
      </c>
      <c r="F3157" t="s">
        <v>58</v>
      </c>
      <c r="G3157" t="s">
        <v>59</v>
      </c>
      <c r="H3157" t="s">
        <v>60</v>
      </c>
      <c r="I3157" t="s">
        <v>188</v>
      </c>
      <c r="J3157" t="s">
        <v>289</v>
      </c>
      <c r="K3157" t="s">
        <v>184</v>
      </c>
      <c r="L3157" t="s">
        <v>190</v>
      </c>
      <c r="M3157" t="s">
        <v>63</v>
      </c>
      <c r="N3157" t="s">
        <v>64</v>
      </c>
      <c r="O3157">
        <v>6</v>
      </c>
      <c r="P3157" t="s">
        <v>1296</v>
      </c>
      <c r="R3157">
        <v>1.514</v>
      </c>
      <c r="T3157">
        <v>1.294</v>
      </c>
      <c r="V3157">
        <v>1.772</v>
      </c>
      <c r="W3157" t="s">
        <v>66</v>
      </c>
      <c r="X3157" t="s">
        <v>67</v>
      </c>
      <c r="Y3157" t="s">
        <v>67</v>
      </c>
      <c r="Z3157" t="s">
        <v>68</v>
      </c>
      <c r="AB3157">
        <v>4</v>
      </c>
      <c r="AC3157" t="s">
        <v>61</v>
      </c>
      <c r="AJ3157" t="s">
        <v>69</v>
      </c>
      <c r="AY3157" t="s">
        <v>2245</v>
      </c>
      <c r="AZ3157">
        <v>80428</v>
      </c>
      <c r="BA3157" t="s">
        <v>2246</v>
      </c>
      <c r="BB3157" t="s">
        <v>2247</v>
      </c>
      <c r="BC3157">
        <v>2004</v>
      </c>
      <c r="BD3157" t="s">
        <v>185</v>
      </c>
    </row>
    <row r="3158" spans="1:56" x14ac:dyDescent="0.35">
      <c r="A3158">
        <v>7758987</v>
      </c>
      <c r="B3158" t="s">
        <v>2219</v>
      </c>
      <c r="D3158" t="s">
        <v>57</v>
      </c>
      <c r="E3158" t="s">
        <v>86</v>
      </c>
      <c r="F3158" t="s">
        <v>58</v>
      </c>
      <c r="G3158" t="s">
        <v>59</v>
      </c>
      <c r="H3158" t="s">
        <v>60</v>
      </c>
      <c r="I3158" t="s">
        <v>177</v>
      </c>
      <c r="J3158" t="s">
        <v>505</v>
      </c>
      <c r="K3158" t="s">
        <v>61</v>
      </c>
      <c r="L3158" t="s">
        <v>62</v>
      </c>
      <c r="M3158" t="s">
        <v>63</v>
      </c>
      <c r="N3158" t="s">
        <v>64</v>
      </c>
      <c r="P3158" t="s">
        <v>201</v>
      </c>
      <c r="R3158">
        <v>1.5699999999999999E-2</v>
      </c>
      <c r="T3158">
        <v>1.3299999999999999E-2</v>
      </c>
      <c r="V3158">
        <v>1.8499999999999999E-2</v>
      </c>
      <c r="W3158" t="s">
        <v>66</v>
      </c>
      <c r="X3158" t="s">
        <v>67</v>
      </c>
      <c r="Y3158" t="s">
        <v>67</v>
      </c>
      <c r="Z3158" t="s">
        <v>68</v>
      </c>
      <c r="AB3158">
        <v>4</v>
      </c>
      <c r="AC3158" t="s">
        <v>61</v>
      </c>
      <c r="AJ3158" t="s">
        <v>69</v>
      </c>
      <c r="AY3158" t="s">
        <v>2236</v>
      </c>
      <c r="AZ3158">
        <v>8034</v>
      </c>
      <c r="BA3158" t="s">
        <v>2237</v>
      </c>
      <c r="BB3158" t="s">
        <v>2238</v>
      </c>
      <c r="BC3158">
        <v>1993</v>
      </c>
      <c r="BD3158" t="s">
        <v>73</v>
      </c>
    </row>
    <row r="3159" spans="1:56" x14ac:dyDescent="0.35">
      <c r="A3159">
        <v>7758987</v>
      </c>
      <c r="B3159" t="s">
        <v>2219</v>
      </c>
      <c r="D3159" t="s">
        <v>57</v>
      </c>
      <c r="E3159" t="s">
        <v>86</v>
      </c>
      <c r="F3159" t="s">
        <v>58</v>
      </c>
      <c r="G3159" t="s">
        <v>59</v>
      </c>
      <c r="H3159" t="s">
        <v>60</v>
      </c>
      <c r="I3159" t="s">
        <v>188</v>
      </c>
      <c r="J3159">
        <v>1</v>
      </c>
      <c r="K3159" t="s">
        <v>61</v>
      </c>
      <c r="L3159" t="s">
        <v>62</v>
      </c>
      <c r="M3159" t="s">
        <v>63</v>
      </c>
      <c r="N3159" t="s">
        <v>64</v>
      </c>
      <c r="P3159" t="s">
        <v>1296</v>
      </c>
      <c r="R3159">
        <v>5.1999999999999998E-2</v>
      </c>
      <c r="W3159" t="s">
        <v>66</v>
      </c>
      <c r="X3159" t="s">
        <v>67</v>
      </c>
      <c r="Y3159" t="s">
        <v>67</v>
      </c>
      <c r="Z3159" t="s">
        <v>68</v>
      </c>
      <c r="AB3159">
        <v>4</v>
      </c>
      <c r="AC3159" t="s">
        <v>61</v>
      </c>
      <c r="AJ3159" t="s">
        <v>69</v>
      </c>
      <c r="AQ3159" t="s">
        <v>69</v>
      </c>
      <c r="AY3159" t="s">
        <v>2261</v>
      </c>
      <c r="AZ3159">
        <v>5203</v>
      </c>
      <c r="BA3159" t="s">
        <v>2262</v>
      </c>
      <c r="BB3159" t="s">
        <v>2263</v>
      </c>
      <c r="BC3159">
        <v>1985</v>
      </c>
      <c r="BD3159" t="s">
        <v>2264</v>
      </c>
    </row>
    <row r="3160" spans="1:56" x14ac:dyDescent="0.35">
      <c r="A3160">
        <v>7758987</v>
      </c>
      <c r="B3160" t="s">
        <v>2219</v>
      </c>
      <c r="C3160" t="s">
        <v>91</v>
      </c>
      <c r="D3160" t="s">
        <v>85</v>
      </c>
      <c r="E3160">
        <v>25.5</v>
      </c>
      <c r="F3160" t="s">
        <v>58</v>
      </c>
      <c r="G3160" t="s">
        <v>59</v>
      </c>
      <c r="H3160" t="s">
        <v>60</v>
      </c>
      <c r="J3160" t="s">
        <v>86</v>
      </c>
      <c r="L3160" t="s">
        <v>62</v>
      </c>
      <c r="M3160" t="s">
        <v>63</v>
      </c>
      <c r="N3160" t="s">
        <v>64</v>
      </c>
      <c r="O3160">
        <v>7</v>
      </c>
      <c r="P3160" t="s">
        <v>201</v>
      </c>
      <c r="R3160">
        <v>0.47</v>
      </c>
      <c r="W3160" t="s">
        <v>66</v>
      </c>
      <c r="X3160" t="s">
        <v>67</v>
      </c>
      <c r="Y3160" t="s">
        <v>67</v>
      </c>
      <c r="Z3160" t="s">
        <v>68</v>
      </c>
      <c r="AB3160">
        <v>4</v>
      </c>
      <c r="AC3160" t="s">
        <v>61</v>
      </c>
      <c r="AJ3160" t="s">
        <v>69</v>
      </c>
      <c r="AY3160" t="s">
        <v>334</v>
      </c>
      <c r="AZ3160">
        <v>81380</v>
      </c>
      <c r="BA3160" t="s">
        <v>335</v>
      </c>
      <c r="BB3160" t="s">
        <v>336</v>
      </c>
      <c r="BC3160">
        <v>2005</v>
      </c>
      <c r="BD3160" t="s">
        <v>90</v>
      </c>
    </row>
    <row r="3161" spans="1:56" x14ac:dyDescent="0.35">
      <c r="A3161">
        <v>7758987</v>
      </c>
      <c r="B3161" t="s">
        <v>2219</v>
      </c>
      <c r="D3161" t="s">
        <v>57</v>
      </c>
      <c r="E3161" t="s">
        <v>86</v>
      </c>
      <c r="F3161" t="s">
        <v>58</v>
      </c>
      <c r="G3161" t="s">
        <v>59</v>
      </c>
      <c r="H3161" t="s">
        <v>60</v>
      </c>
      <c r="I3161" t="s">
        <v>188</v>
      </c>
      <c r="J3161" t="s">
        <v>289</v>
      </c>
      <c r="K3161" t="s">
        <v>184</v>
      </c>
      <c r="L3161" t="s">
        <v>62</v>
      </c>
      <c r="M3161" t="s">
        <v>63</v>
      </c>
      <c r="N3161" t="s">
        <v>64</v>
      </c>
      <c r="O3161">
        <v>6</v>
      </c>
      <c r="P3161" t="s">
        <v>201</v>
      </c>
      <c r="R3161">
        <v>0.50102044999999995</v>
      </c>
      <c r="T3161">
        <v>0.42021069999999999</v>
      </c>
      <c r="V3161">
        <v>0.61415410000000004</v>
      </c>
      <c r="W3161" t="s">
        <v>66</v>
      </c>
      <c r="X3161" t="s">
        <v>67</v>
      </c>
      <c r="Y3161" t="s">
        <v>67</v>
      </c>
      <c r="Z3161" t="s">
        <v>68</v>
      </c>
      <c r="AB3161">
        <v>4</v>
      </c>
      <c r="AC3161" t="s">
        <v>61</v>
      </c>
      <c r="AJ3161" t="s">
        <v>69</v>
      </c>
      <c r="AY3161" t="s">
        <v>2233</v>
      </c>
      <c r="AZ3161">
        <v>76238</v>
      </c>
      <c r="BA3161" t="s">
        <v>2234</v>
      </c>
      <c r="BB3161" t="s">
        <v>2235</v>
      </c>
      <c r="BC3161">
        <v>1996</v>
      </c>
      <c r="BD3161" t="s">
        <v>185</v>
      </c>
    </row>
    <row r="3162" spans="1:56" x14ac:dyDescent="0.35">
      <c r="A3162">
        <v>7758987</v>
      </c>
      <c r="B3162" t="s">
        <v>2219</v>
      </c>
      <c r="D3162" t="s">
        <v>57</v>
      </c>
      <c r="E3162" t="s">
        <v>86</v>
      </c>
      <c r="F3162" t="s">
        <v>58</v>
      </c>
      <c r="G3162" t="s">
        <v>59</v>
      </c>
      <c r="H3162" t="s">
        <v>60</v>
      </c>
      <c r="J3162" t="s">
        <v>86</v>
      </c>
      <c r="L3162" t="s">
        <v>62</v>
      </c>
      <c r="M3162" t="s">
        <v>63</v>
      </c>
      <c r="N3162" t="s">
        <v>64</v>
      </c>
      <c r="P3162" t="s">
        <v>1296</v>
      </c>
      <c r="Q3162" t="s">
        <v>435</v>
      </c>
      <c r="R3162">
        <v>0.56000000000000005</v>
      </c>
      <c r="W3162" t="s">
        <v>66</v>
      </c>
      <c r="X3162" t="s">
        <v>67</v>
      </c>
      <c r="Y3162" t="s">
        <v>67</v>
      </c>
      <c r="Z3162" t="s">
        <v>68</v>
      </c>
      <c r="AB3162">
        <v>4</v>
      </c>
      <c r="AC3162" t="s">
        <v>61</v>
      </c>
      <c r="AJ3162" t="s">
        <v>69</v>
      </c>
      <c r="AQ3162" t="s">
        <v>69</v>
      </c>
      <c r="AY3162" t="s">
        <v>2223</v>
      </c>
      <c r="AZ3162">
        <v>2071</v>
      </c>
      <c r="BA3162" t="s">
        <v>2224</v>
      </c>
      <c r="BB3162" t="s">
        <v>2225</v>
      </c>
      <c r="BC3162">
        <v>1976</v>
      </c>
      <c r="BD3162" t="s">
        <v>2287</v>
      </c>
    </row>
    <row r="3163" spans="1:56" x14ac:dyDescent="0.35">
      <c r="A3163">
        <v>7758987</v>
      </c>
      <c r="B3163" t="s">
        <v>2219</v>
      </c>
      <c r="D3163" t="s">
        <v>57</v>
      </c>
      <c r="E3163" t="s">
        <v>86</v>
      </c>
      <c r="F3163" t="s">
        <v>58</v>
      </c>
      <c r="G3163" t="s">
        <v>59</v>
      </c>
      <c r="H3163" t="s">
        <v>60</v>
      </c>
      <c r="I3163" t="s">
        <v>177</v>
      </c>
      <c r="J3163" t="s">
        <v>505</v>
      </c>
      <c r="K3163" t="s">
        <v>61</v>
      </c>
      <c r="L3163" t="s">
        <v>62</v>
      </c>
      <c r="M3163" t="s">
        <v>63</v>
      </c>
      <c r="N3163" t="s">
        <v>64</v>
      </c>
      <c r="P3163" t="s">
        <v>201</v>
      </c>
      <c r="Q3163" t="s">
        <v>435</v>
      </c>
      <c r="R3163">
        <v>4.4999999999999997E-3</v>
      </c>
      <c r="W3163" t="s">
        <v>66</v>
      </c>
      <c r="X3163" t="s">
        <v>67</v>
      </c>
      <c r="Y3163" t="s">
        <v>67</v>
      </c>
      <c r="Z3163" t="s">
        <v>68</v>
      </c>
      <c r="AB3163">
        <v>4</v>
      </c>
      <c r="AC3163" t="s">
        <v>61</v>
      </c>
      <c r="AJ3163" t="s">
        <v>69</v>
      </c>
      <c r="AY3163" t="s">
        <v>2236</v>
      </c>
      <c r="AZ3163">
        <v>8034</v>
      </c>
      <c r="BA3163" t="s">
        <v>2237</v>
      </c>
      <c r="BB3163" t="s">
        <v>2238</v>
      </c>
      <c r="BC3163">
        <v>1993</v>
      </c>
      <c r="BD3163" t="s">
        <v>73</v>
      </c>
    </row>
    <row r="3164" spans="1:56" x14ac:dyDescent="0.35">
      <c r="A3164">
        <v>7758987</v>
      </c>
      <c r="B3164" t="s">
        <v>2219</v>
      </c>
      <c r="D3164" t="s">
        <v>57</v>
      </c>
      <c r="E3164" t="s">
        <v>86</v>
      </c>
      <c r="F3164" t="s">
        <v>58</v>
      </c>
      <c r="G3164" t="s">
        <v>59</v>
      </c>
      <c r="H3164" t="s">
        <v>60</v>
      </c>
      <c r="I3164" t="s">
        <v>188</v>
      </c>
      <c r="J3164" t="s">
        <v>289</v>
      </c>
      <c r="K3164" t="s">
        <v>184</v>
      </c>
      <c r="L3164" t="s">
        <v>62</v>
      </c>
      <c r="M3164" t="s">
        <v>63</v>
      </c>
      <c r="N3164" t="s">
        <v>64</v>
      </c>
      <c r="O3164">
        <v>6</v>
      </c>
      <c r="P3164" t="s">
        <v>201</v>
      </c>
      <c r="R3164">
        <v>0.28283412499999999</v>
      </c>
      <c r="T3164">
        <v>0.21818632499999999</v>
      </c>
      <c r="V3164">
        <v>0.36364387500000001</v>
      </c>
      <c r="W3164" t="s">
        <v>66</v>
      </c>
      <c r="X3164" t="s">
        <v>67</v>
      </c>
      <c r="Y3164" t="s">
        <v>67</v>
      </c>
      <c r="Z3164" t="s">
        <v>68</v>
      </c>
      <c r="AB3164">
        <v>4</v>
      </c>
      <c r="AC3164" t="s">
        <v>61</v>
      </c>
      <c r="AJ3164" t="s">
        <v>69</v>
      </c>
      <c r="AY3164" t="s">
        <v>2233</v>
      </c>
      <c r="AZ3164">
        <v>76238</v>
      </c>
      <c r="BA3164" t="s">
        <v>2234</v>
      </c>
      <c r="BB3164" t="s">
        <v>2235</v>
      </c>
      <c r="BC3164">
        <v>1996</v>
      </c>
      <c r="BD3164" t="s">
        <v>185</v>
      </c>
    </row>
    <row r="3165" spans="1:56" x14ac:dyDescent="0.35">
      <c r="A3165">
        <v>7758987</v>
      </c>
      <c r="B3165" t="s">
        <v>2219</v>
      </c>
      <c r="D3165" t="s">
        <v>57</v>
      </c>
      <c r="E3165" t="s">
        <v>86</v>
      </c>
      <c r="F3165" t="s">
        <v>58</v>
      </c>
      <c r="G3165" t="s">
        <v>59</v>
      </c>
      <c r="H3165" t="s">
        <v>60</v>
      </c>
      <c r="I3165" t="s">
        <v>188</v>
      </c>
      <c r="J3165" t="s">
        <v>289</v>
      </c>
      <c r="K3165" t="s">
        <v>184</v>
      </c>
      <c r="L3165" t="s">
        <v>62</v>
      </c>
      <c r="M3165" t="s">
        <v>63</v>
      </c>
      <c r="N3165" t="s">
        <v>64</v>
      </c>
      <c r="O3165">
        <v>6</v>
      </c>
      <c r="P3165" t="s">
        <v>201</v>
      </c>
      <c r="R3165">
        <v>2.7313695500000001</v>
      </c>
      <c r="T3165">
        <v>2.0364057</v>
      </c>
      <c r="V3165">
        <v>3.6526006999999998</v>
      </c>
      <c r="W3165" t="s">
        <v>66</v>
      </c>
      <c r="X3165" t="s">
        <v>67</v>
      </c>
      <c r="Y3165" t="s">
        <v>67</v>
      </c>
      <c r="Z3165" t="s">
        <v>68</v>
      </c>
      <c r="AB3165">
        <v>4</v>
      </c>
      <c r="AC3165" t="s">
        <v>61</v>
      </c>
      <c r="AJ3165" t="s">
        <v>69</v>
      </c>
      <c r="AY3165" t="s">
        <v>2233</v>
      </c>
      <c r="AZ3165">
        <v>76238</v>
      </c>
      <c r="BA3165" t="s">
        <v>2234</v>
      </c>
      <c r="BB3165" t="s">
        <v>2235</v>
      </c>
      <c r="BC3165">
        <v>1996</v>
      </c>
      <c r="BD3165" t="s">
        <v>185</v>
      </c>
    </row>
    <row r="3166" spans="1:56" x14ac:dyDescent="0.35">
      <c r="A3166">
        <v>7758987</v>
      </c>
      <c r="B3166" t="s">
        <v>2219</v>
      </c>
      <c r="D3166" t="s">
        <v>57</v>
      </c>
      <c r="E3166" t="s">
        <v>86</v>
      </c>
      <c r="F3166" t="s">
        <v>58</v>
      </c>
      <c r="G3166" t="s">
        <v>59</v>
      </c>
      <c r="H3166" t="s">
        <v>60</v>
      </c>
      <c r="J3166" t="s">
        <v>86</v>
      </c>
      <c r="L3166" t="s">
        <v>62</v>
      </c>
      <c r="M3166" t="s">
        <v>63</v>
      </c>
      <c r="N3166" t="s">
        <v>64</v>
      </c>
      <c r="P3166" t="s">
        <v>1296</v>
      </c>
      <c r="Q3166" t="s">
        <v>153</v>
      </c>
      <c r="R3166">
        <v>0.8</v>
      </c>
      <c r="W3166" t="s">
        <v>66</v>
      </c>
      <c r="X3166" t="s">
        <v>67</v>
      </c>
      <c r="Y3166" t="s">
        <v>67</v>
      </c>
      <c r="Z3166" t="s">
        <v>68</v>
      </c>
      <c r="AB3166">
        <v>4</v>
      </c>
      <c r="AC3166" t="s">
        <v>61</v>
      </c>
      <c r="AJ3166" t="s">
        <v>69</v>
      </c>
      <c r="AQ3166" t="s">
        <v>69</v>
      </c>
      <c r="AY3166" t="s">
        <v>2223</v>
      </c>
      <c r="AZ3166">
        <v>2071</v>
      </c>
      <c r="BA3166" t="s">
        <v>2224</v>
      </c>
      <c r="BB3166" t="s">
        <v>2225</v>
      </c>
      <c r="BC3166">
        <v>1976</v>
      </c>
      <c r="BD3166" t="s">
        <v>2288</v>
      </c>
    </row>
    <row r="3167" spans="1:56" x14ac:dyDescent="0.35">
      <c r="A3167">
        <v>7758987</v>
      </c>
      <c r="B3167" t="s">
        <v>2219</v>
      </c>
      <c r="D3167" t="s">
        <v>57</v>
      </c>
      <c r="E3167" t="s">
        <v>86</v>
      </c>
      <c r="F3167" t="s">
        <v>58</v>
      </c>
      <c r="G3167" t="s">
        <v>59</v>
      </c>
      <c r="H3167" t="s">
        <v>60</v>
      </c>
      <c r="I3167" t="s">
        <v>188</v>
      </c>
      <c r="J3167" t="s">
        <v>289</v>
      </c>
      <c r="K3167" t="s">
        <v>184</v>
      </c>
      <c r="L3167" t="s">
        <v>62</v>
      </c>
      <c r="M3167" t="s">
        <v>63</v>
      </c>
      <c r="N3167" t="s">
        <v>64</v>
      </c>
      <c r="P3167" t="s">
        <v>201</v>
      </c>
      <c r="R3167">
        <v>1.0699999999999999E-2</v>
      </c>
      <c r="W3167" t="s">
        <v>66</v>
      </c>
      <c r="X3167" t="s">
        <v>67</v>
      </c>
      <c r="Y3167" t="s">
        <v>67</v>
      </c>
      <c r="Z3167" t="s">
        <v>68</v>
      </c>
      <c r="AB3167">
        <v>4</v>
      </c>
      <c r="AC3167" t="s">
        <v>61</v>
      </c>
      <c r="AJ3167" t="s">
        <v>69</v>
      </c>
      <c r="AY3167" t="s">
        <v>2230</v>
      </c>
      <c r="AZ3167">
        <v>17105</v>
      </c>
      <c r="BA3167" t="s">
        <v>2231</v>
      </c>
      <c r="BB3167" t="s">
        <v>2232</v>
      </c>
      <c r="BC3167">
        <v>1996</v>
      </c>
      <c r="BD3167" t="s">
        <v>185</v>
      </c>
    </row>
    <row r="3168" spans="1:56" x14ac:dyDescent="0.35">
      <c r="A3168">
        <v>7758987</v>
      </c>
      <c r="B3168" t="s">
        <v>2219</v>
      </c>
      <c r="D3168" t="s">
        <v>57</v>
      </c>
      <c r="E3168" t="s">
        <v>86</v>
      </c>
      <c r="F3168" t="s">
        <v>58</v>
      </c>
      <c r="G3168" t="s">
        <v>59</v>
      </c>
      <c r="H3168" t="s">
        <v>60</v>
      </c>
      <c r="I3168" t="s">
        <v>188</v>
      </c>
      <c r="J3168" t="s">
        <v>289</v>
      </c>
      <c r="K3168" t="s">
        <v>184</v>
      </c>
      <c r="L3168" t="s">
        <v>74</v>
      </c>
      <c r="M3168" t="s">
        <v>63</v>
      </c>
      <c r="N3168" t="s">
        <v>64</v>
      </c>
      <c r="P3168" t="s">
        <v>201</v>
      </c>
      <c r="R3168">
        <v>0.16000330500000001</v>
      </c>
      <c r="W3168" t="s">
        <v>66</v>
      </c>
      <c r="X3168" t="s">
        <v>67</v>
      </c>
      <c r="Y3168" t="s">
        <v>67</v>
      </c>
      <c r="Z3168" t="s">
        <v>68</v>
      </c>
      <c r="AB3168">
        <v>4</v>
      </c>
      <c r="AC3168" t="s">
        <v>61</v>
      </c>
      <c r="AJ3168" t="s">
        <v>69</v>
      </c>
      <c r="AY3168" t="s">
        <v>2220</v>
      </c>
      <c r="AZ3168">
        <v>16342</v>
      </c>
      <c r="BA3168" t="s">
        <v>2221</v>
      </c>
      <c r="BB3168" t="s">
        <v>2222</v>
      </c>
      <c r="BC3168">
        <v>1996</v>
      </c>
      <c r="BD3168" t="s">
        <v>185</v>
      </c>
    </row>
    <row r="3169" spans="1:56" x14ac:dyDescent="0.35">
      <c r="A3169">
        <v>7758987</v>
      </c>
      <c r="B3169" t="s">
        <v>2219</v>
      </c>
      <c r="D3169" t="s">
        <v>57</v>
      </c>
      <c r="E3169" t="s">
        <v>86</v>
      </c>
      <c r="F3169" t="s">
        <v>58</v>
      </c>
      <c r="G3169" t="s">
        <v>59</v>
      </c>
      <c r="H3169" t="s">
        <v>60</v>
      </c>
      <c r="J3169" t="s">
        <v>86</v>
      </c>
      <c r="L3169" t="s">
        <v>62</v>
      </c>
      <c r="M3169" t="s">
        <v>63</v>
      </c>
      <c r="N3169" t="s">
        <v>64</v>
      </c>
      <c r="P3169" t="s">
        <v>1296</v>
      </c>
      <c r="R3169">
        <v>0.75</v>
      </c>
      <c r="W3169" t="s">
        <v>66</v>
      </c>
      <c r="X3169" t="s">
        <v>67</v>
      </c>
      <c r="Y3169" t="s">
        <v>67</v>
      </c>
      <c r="Z3169" t="s">
        <v>68</v>
      </c>
      <c r="AB3169">
        <v>4</v>
      </c>
      <c r="AC3169" t="s">
        <v>61</v>
      </c>
      <c r="AJ3169" t="s">
        <v>69</v>
      </c>
      <c r="AQ3169" t="s">
        <v>69</v>
      </c>
      <c r="AY3169" t="s">
        <v>2223</v>
      </c>
      <c r="AZ3169">
        <v>2071</v>
      </c>
      <c r="BA3169" t="s">
        <v>2224</v>
      </c>
      <c r="BB3169" t="s">
        <v>2225</v>
      </c>
      <c r="BC3169">
        <v>1976</v>
      </c>
      <c r="BD3169" t="s">
        <v>2289</v>
      </c>
    </row>
    <row r="3170" spans="1:56" x14ac:dyDescent="0.35">
      <c r="A3170">
        <v>7758987</v>
      </c>
      <c r="B3170" t="s">
        <v>2219</v>
      </c>
      <c r="D3170" t="s">
        <v>57</v>
      </c>
      <c r="E3170" t="s">
        <v>86</v>
      </c>
      <c r="F3170" t="s">
        <v>58</v>
      </c>
      <c r="G3170" t="s">
        <v>59</v>
      </c>
      <c r="H3170" t="s">
        <v>60</v>
      </c>
      <c r="I3170" t="s">
        <v>188</v>
      </c>
      <c r="J3170" t="s">
        <v>289</v>
      </c>
      <c r="K3170" t="s">
        <v>184</v>
      </c>
      <c r="L3170" t="s">
        <v>62</v>
      </c>
      <c r="M3170" t="s">
        <v>63</v>
      </c>
      <c r="N3170" t="s">
        <v>64</v>
      </c>
      <c r="O3170">
        <v>6</v>
      </c>
      <c r="P3170" t="s">
        <v>201</v>
      </c>
      <c r="R3170">
        <v>0.51718240000000004</v>
      </c>
      <c r="T3170">
        <v>0.43637264999999997</v>
      </c>
      <c r="V3170">
        <v>0.61415410000000004</v>
      </c>
      <c r="W3170" t="s">
        <v>66</v>
      </c>
      <c r="X3170" t="s">
        <v>67</v>
      </c>
      <c r="Y3170" t="s">
        <v>67</v>
      </c>
      <c r="Z3170" t="s">
        <v>68</v>
      </c>
      <c r="AB3170">
        <v>4</v>
      </c>
      <c r="AC3170" t="s">
        <v>61</v>
      </c>
      <c r="AJ3170" t="s">
        <v>69</v>
      </c>
      <c r="AY3170" t="s">
        <v>2233</v>
      </c>
      <c r="AZ3170">
        <v>76238</v>
      </c>
      <c r="BA3170" t="s">
        <v>2234</v>
      </c>
      <c r="BB3170" t="s">
        <v>2235</v>
      </c>
      <c r="BC3170">
        <v>1996</v>
      </c>
      <c r="BD3170" t="s">
        <v>185</v>
      </c>
    </row>
    <row r="3171" spans="1:56" x14ac:dyDescent="0.35">
      <c r="A3171">
        <v>7758987</v>
      </c>
      <c r="B3171" t="s">
        <v>2219</v>
      </c>
      <c r="D3171" t="s">
        <v>57</v>
      </c>
      <c r="E3171" t="s">
        <v>86</v>
      </c>
      <c r="F3171" t="s">
        <v>58</v>
      </c>
      <c r="G3171" t="s">
        <v>59</v>
      </c>
      <c r="H3171" t="s">
        <v>60</v>
      </c>
      <c r="J3171" t="s">
        <v>86</v>
      </c>
      <c r="L3171" t="s">
        <v>74</v>
      </c>
      <c r="M3171" t="s">
        <v>63</v>
      </c>
      <c r="N3171" t="s">
        <v>64</v>
      </c>
      <c r="P3171" t="s">
        <v>201</v>
      </c>
      <c r="R3171">
        <v>0.436</v>
      </c>
      <c r="T3171">
        <v>0.38700000000000001</v>
      </c>
      <c r="V3171">
        <v>0.49</v>
      </c>
      <c r="W3171" t="s">
        <v>66</v>
      </c>
      <c r="X3171" t="s">
        <v>67</v>
      </c>
      <c r="Y3171" t="s">
        <v>67</v>
      </c>
      <c r="Z3171" t="s">
        <v>68</v>
      </c>
      <c r="AB3171">
        <v>4</v>
      </c>
      <c r="AC3171" t="s">
        <v>61</v>
      </c>
      <c r="AJ3171" t="s">
        <v>69</v>
      </c>
      <c r="AY3171" t="s">
        <v>2227</v>
      </c>
      <c r="AZ3171">
        <v>5081</v>
      </c>
      <c r="BA3171" t="s">
        <v>2228</v>
      </c>
      <c r="BB3171" t="s">
        <v>2229</v>
      </c>
      <c r="BC3171">
        <v>1978</v>
      </c>
      <c r="BD3171" t="s">
        <v>90</v>
      </c>
    </row>
    <row r="3172" spans="1:56" x14ac:dyDescent="0.35">
      <c r="A3172">
        <v>7758987</v>
      </c>
      <c r="B3172" t="s">
        <v>2219</v>
      </c>
      <c r="D3172" t="s">
        <v>85</v>
      </c>
      <c r="E3172" t="s">
        <v>86</v>
      </c>
      <c r="F3172" t="s">
        <v>58</v>
      </c>
      <c r="G3172" t="s">
        <v>59</v>
      </c>
      <c r="H3172" t="s">
        <v>60</v>
      </c>
      <c r="I3172" t="s">
        <v>188</v>
      </c>
      <c r="J3172" t="s">
        <v>289</v>
      </c>
      <c r="K3172" t="s">
        <v>184</v>
      </c>
      <c r="L3172" t="s">
        <v>190</v>
      </c>
      <c r="M3172" t="s">
        <v>63</v>
      </c>
      <c r="N3172" t="s">
        <v>64</v>
      </c>
      <c r="O3172">
        <v>6</v>
      </c>
      <c r="P3172" t="s">
        <v>1296</v>
      </c>
      <c r="R3172">
        <v>0.67120000000000002</v>
      </c>
      <c r="T3172">
        <v>0.55000000000000004</v>
      </c>
      <c r="V3172">
        <v>0.81910000000000005</v>
      </c>
      <c r="W3172" t="s">
        <v>66</v>
      </c>
      <c r="X3172" t="s">
        <v>67</v>
      </c>
      <c r="Y3172" t="s">
        <v>67</v>
      </c>
      <c r="Z3172" t="s">
        <v>68</v>
      </c>
      <c r="AB3172">
        <v>4</v>
      </c>
      <c r="AC3172" t="s">
        <v>61</v>
      </c>
      <c r="AJ3172" t="s">
        <v>69</v>
      </c>
      <c r="AY3172" t="s">
        <v>2245</v>
      </c>
      <c r="AZ3172">
        <v>80428</v>
      </c>
      <c r="BA3172" t="s">
        <v>2246</v>
      </c>
      <c r="BB3172" t="s">
        <v>2247</v>
      </c>
      <c r="BC3172">
        <v>2004</v>
      </c>
      <c r="BD3172" t="s">
        <v>185</v>
      </c>
    </row>
    <row r="3173" spans="1:56" x14ac:dyDescent="0.35">
      <c r="A3173">
        <v>7758987</v>
      </c>
      <c r="B3173" t="s">
        <v>2219</v>
      </c>
      <c r="D3173" t="s">
        <v>57</v>
      </c>
      <c r="E3173" t="s">
        <v>86</v>
      </c>
      <c r="F3173" t="s">
        <v>58</v>
      </c>
      <c r="G3173" t="s">
        <v>59</v>
      </c>
      <c r="H3173" t="s">
        <v>60</v>
      </c>
      <c r="J3173" t="s">
        <v>86</v>
      </c>
      <c r="L3173" t="s">
        <v>74</v>
      </c>
      <c r="M3173" t="s">
        <v>63</v>
      </c>
      <c r="N3173" t="s">
        <v>64</v>
      </c>
      <c r="P3173" t="s">
        <v>201</v>
      </c>
      <c r="R3173">
        <v>8.8499999999999995E-2</v>
      </c>
      <c r="T3173">
        <v>7.5999999999999998E-2</v>
      </c>
      <c r="V3173">
        <v>0.10299999999999999</v>
      </c>
      <c r="W3173" t="s">
        <v>66</v>
      </c>
      <c r="X3173" t="s">
        <v>67</v>
      </c>
      <c r="Y3173" t="s">
        <v>67</v>
      </c>
      <c r="Z3173" t="s">
        <v>68</v>
      </c>
      <c r="AB3173">
        <v>4</v>
      </c>
      <c r="AC3173" t="s">
        <v>61</v>
      </c>
      <c r="AJ3173" t="s">
        <v>69</v>
      </c>
      <c r="AY3173" t="s">
        <v>2227</v>
      </c>
      <c r="AZ3173">
        <v>5081</v>
      </c>
      <c r="BA3173" t="s">
        <v>2228</v>
      </c>
      <c r="BB3173" t="s">
        <v>2229</v>
      </c>
      <c r="BC3173">
        <v>1978</v>
      </c>
      <c r="BD3173" t="s">
        <v>90</v>
      </c>
    </row>
    <row r="3174" spans="1:56" x14ac:dyDescent="0.35">
      <c r="A3174">
        <v>7758987</v>
      </c>
      <c r="B3174" t="s">
        <v>2219</v>
      </c>
      <c r="D3174" t="s">
        <v>85</v>
      </c>
      <c r="E3174">
        <v>25.5</v>
      </c>
      <c r="F3174" t="s">
        <v>58</v>
      </c>
      <c r="G3174" t="s">
        <v>59</v>
      </c>
      <c r="H3174" t="s">
        <v>60</v>
      </c>
      <c r="J3174" t="s">
        <v>86</v>
      </c>
      <c r="L3174" t="s">
        <v>62</v>
      </c>
      <c r="M3174" t="s">
        <v>63</v>
      </c>
      <c r="N3174" t="s">
        <v>64</v>
      </c>
      <c r="O3174">
        <v>7</v>
      </c>
      <c r="P3174" t="s">
        <v>201</v>
      </c>
      <c r="R3174">
        <v>0.81</v>
      </c>
      <c r="T3174">
        <v>0.6</v>
      </c>
      <c r="V3174">
        <v>1.3</v>
      </c>
      <c r="W3174" t="s">
        <v>66</v>
      </c>
      <c r="X3174" t="s">
        <v>67</v>
      </c>
      <c r="Y3174" t="s">
        <v>67</v>
      </c>
      <c r="Z3174" t="s">
        <v>68</v>
      </c>
      <c r="AB3174">
        <v>4</v>
      </c>
      <c r="AC3174" t="s">
        <v>61</v>
      </c>
      <c r="AJ3174" t="s">
        <v>69</v>
      </c>
      <c r="AY3174" t="s">
        <v>314</v>
      </c>
      <c r="AZ3174">
        <v>73668</v>
      </c>
      <c r="BA3174" t="s">
        <v>315</v>
      </c>
      <c r="BB3174" t="s">
        <v>316</v>
      </c>
      <c r="BC3174">
        <v>1995</v>
      </c>
      <c r="BD3174" t="s">
        <v>90</v>
      </c>
    </row>
    <row r="3175" spans="1:56" x14ac:dyDescent="0.35">
      <c r="A3175">
        <v>7758987</v>
      </c>
      <c r="B3175" t="s">
        <v>2219</v>
      </c>
      <c r="D3175" t="s">
        <v>57</v>
      </c>
      <c r="E3175" t="s">
        <v>86</v>
      </c>
      <c r="F3175" t="s">
        <v>58</v>
      </c>
      <c r="G3175" t="s">
        <v>59</v>
      </c>
      <c r="H3175" t="s">
        <v>60</v>
      </c>
      <c r="I3175" t="s">
        <v>188</v>
      </c>
      <c r="J3175" t="s">
        <v>289</v>
      </c>
      <c r="K3175" t="s">
        <v>184</v>
      </c>
      <c r="L3175" t="s">
        <v>62</v>
      </c>
      <c r="M3175" t="s">
        <v>63</v>
      </c>
      <c r="N3175" t="s">
        <v>64</v>
      </c>
      <c r="O3175">
        <v>6</v>
      </c>
      <c r="P3175" t="s">
        <v>201</v>
      </c>
      <c r="R3175">
        <v>1.21214625</v>
      </c>
      <c r="T3175">
        <v>1.0343648000000001</v>
      </c>
      <c r="V3175">
        <v>1.40608965</v>
      </c>
      <c r="W3175" t="s">
        <v>66</v>
      </c>
      <c r="X3175" t="s">
        <v>67</v>
      </c>
      <c r="Y3175" t="s">
        <v>67</v>
      </c>
      <c r="Z3175" t="s">
        <v>68</v>
      </c>
      <c r="AB3175">
        <v>4</v>
      </c>
      <c r="AC3175" t="s">
        <v>61</v>
      </c>
      <c r="AJ3175" t="s">
        <v>69</v>
      </c>
      <c r="AY3175" t="s">
        <v>2233</v>
      </c>
      <c r="AZ3175">
        <v>76238</v>
      </c>
      <c r="BA3175" t="s">
        <v>2234</v>
      </c>
      <c r="BB3175" t="s">
        <v>2235</v>
      </c>
      <c r="BC3175">
        <v>1996</v>
      </c>
      <c r="BD3175" t="s">
        <v>185</v>
      </c>
    </row>
    <row r="3176" spans="1:56" x14ac:dyDescent="0.35">
      <c r="A3176">
        <v>7758987</v>
      </c>
      <c r="B3176" t="s">
        <v>2219</v>
      </c>
      <c r="D3176" t="s">
        <v>57</v>
      </c>
      <c r="E3176" t="s">
        <v>86</v>
      </c>
      <c r="F3176" t="s">
        <v>58</v>
      </c>
      <c r="G3176" t="s">
        <v>59</v>
      </c>
      <c r="H3176" t="s">
        <v>60</v>
      </c>
      <c r="I3176" t="s">
        <v>188</v>
      </c>
      <c r="J3176" t="s">
        <v>289</v>
      </c>
      <c r="K3176" t="s">
        <v>184</v>
      </c>
      <c r="L3176" t="s">
        <v>62</v>
      </c>
      <c r="M3176" t="s">
        <v>63</v>
      </c>
      <c r="N3176" t="s">
        <v>64</v>
      </c>
      <c r="O3176">
        <v>6</v>
      </c>
      <c r="P3176" t="s">
        <v>201</v>
      </c>
      <c r="Q3176" t="s">
        <v>153</v>
      </c>
      <c r="R3176">
        <v>1.2606321</v>
      </c>
      <c r="W3176" t="s">
        <v>66</v>
      </c>
      <c r="X3176" t="s">
        <v>67</v>
      </c>
      <c r="Y3176" t="s">
        <v>67</v>
      </c>
      <c r="Z3176" t="s">
        <v>68</v>
      </c>
      <c r="AB3176">
        <v>4</v>
      </c>
      <c r="AC3176" t="s">
        <v>61</v>
      </c>
      <c r="AJ3176" t="s">
        <v>69</v>
      </c>
      <c r="AY3176" t="s">
        <v>2233</v>
      </c>
      <c r="AZ3176">
        <v>76238</v>
      </c>
      <c r="BA3176" t="s">
        <v>2234</v>
      </c>
      <c r="BB3176" t="s">
        <v>2235</v>
      </c>
      <c r="BC3176">
        <v>1996</v>
      </c>
      <c r="BD3176" t="s">
        <v>185</v>
      </c>
    </row>
    <row r="3177" spans="1:56" x14ac:dyDescent="0.35">
      <c r="A3177">
        <v>7758987</v>
      </c>
      <c r="B3177" t="s">
        <v>2219</v>
      </c>
      <c r="D3177" t="s">
        <v>57</v>
      </c>
      <c r="E3177" t="s">
        <v>86</v>
      </c>
      <c r="F3177" t="s">
        <v>58</v>
      </c>
      <c r="G3177" t="s">
        <v>59</v>
      </c>
      <c r="H3177" t="s">
        <v>60</v>
      </c>
      <c r="I3177" t="s">
        <v>188</v>
      </c>
      <c r="J3177" t="s">
        <v>289</v>
      </c>
      <c r="K3177" t="s">
        <v>184</v>
      </c>
      <c r="L3177" t="s">
        <v>62</v>
      </c>
      <c r="M3177" t="s">
        <v>63</v>
      </c>
      <c r="N3177" t="s">
        <v>64</v>
      </c>
      <c r="O3177">
        <v>6</v>
      </c>
      <c r="P3177" t="s">
        <v>201</v>
      </c>
      <c r="R3177">
        <v>0.77577359999999995</v>
      </c>
      <c r="T3177">
        <v>0.646478</v>
      </c>
      <c r="V3177">
        <v>0.92123115</v>
      </c>
      <c r="W3177" t="s">
        <v>66</v>
      </c>
      <c r="X3177" t="s">
        <v>67</v>
      </c>
      <c r="Y3177" t="s">
        <v>67</v>
      </c>
      <c r="Z3177" t="s">
        <v>68</v>
      </c>
      <c r="AB3177">
        <v>4</v>
      </c>
      <c r="AC3177" t="s">
        <v>61</v>
      </c>
      <c r="AJ3177" t="s">
        <v>69</v>
      </c>
      <c r="AY3177" t="s">
        <v>2233</v>
      </c>
      <c r="AZ3177">
        <v>76238</v>
      </c>
      <c r="BA3177" t="s">
        <v>2234</v>
      </c>
      <c r="BB3177" t="s">
        <v>2235</v>
      </c>
      <c r="BC3177">
        <v>1996</v>
      </c>
      <c r="BD3177" t="s">
        <v>185</v>
      </c>
    </row>
    <row r="3178" spans="1:56" x14ac:dyDescent="0.35">
      <c r="A3178">
        <v>7758987</v>
      </c>
      <c r="B3178" t="s">
        <v>2219</v>
      </c>
      <c r="D3178" t="s">
        <v>57</v>
      </c>
      <c r="E3178" t="s">
        <v>86</v>
      </c>
      <c r="F3178" t="s">
        <v>58</v>
      </c>
      <c r="G3178" t="s">
        <v>59</v>
      </c>
      <c r="H3178" t="s">
        <v>60</v>
      </c>
      <c r="I3178" t="s">
        <v>188</v>
      </c>
      <c r="J3178" t="s">
        <v>289</v>
      </c>
      <c r="K3178" t="s">
        <v>184</v>
      </c>
      <c r="L3178" t="s">
        <v>74</v>
      </c>
      <c r="M3178" t="s">
        <v>63</v>
      </c>
      <c r="N3178" t="s">
        <v>64</v>
      </c>
      <c r="P3178" t="s">
        <v>201</v>
      </c>
      <c r="R3178">
        <v>0.30707705000000002</v>
      </c>
      <c r="T3178">
        <v>0.26505598000000002</v>
      </c>
      <c r="V3178">
        <v>0.40404875000000001</v>
      </c>
      <c r="W3178" t="s">
        <v>66</v>
      </c>
      <c r="X3178" t="s">
        <v>67</v>
      </c>
      <c r="Y3178" t="s">
        <v>67</v>
      </c>
      <c r="Z3178" t="s">
        <v>68</v>
      </c>
      <c r="AB3178">
        <v>4</v>
      </c>
      <c r="AC3178" t="s">
        <v>61</v>
      </c>
      <c r="AJ3178" t="s">
        <v>69</v>
      </c>
      <c r="AY3178" t="s">
        <v>2220</v>
      </c>
      <c r="AZ3178">
        <v>16342</v>
      </c>
      <c r="BA3178" t="s">
        <v>2221</v>
      </c>
      <c r="BB3178" t="s">
        <v>2222</v>
      </c>
      <c r="BC3178">
        <v>1996</v>
      </c>
      <c r="BD3178" t="s">
        <v>185</v>
      </c>
    </row>
    <row r="3179" spans="1:56" x14ac:dyDescent="0.35">
      <c r="A3179">
        <v>7758987</v>
      </c>
      <c r="B3179" t="s">
        <v>2219</v>
      </c>
      <c r="D3179" t="s">
        <v>57</v>
      </c>
      <c r="E3179" t="s">
        <v>86</v>
      </c>
      <c r="F3179" t="s">
        <v>58</v>
      </c>
      <c r="G3179" t="s">
        <v>59</v>
      </c>
      <c r="H3179" t="s">
        <v>60</v>
      </c>
      <c r="J3179" t="s">
        <v>86</v>
      </c>
      <c r="L3179" t="s">
        <v>74</v>
      </c>
      <c r="M3179" t="s">
        <v>63</v>
      </c>
      <c r="N3179" t="s">
        <v>64</v>
      </c>
      <c r="P3179" t="s">
        <v>201</v>
      </c>
      <c r="R3179">
        <v>0.42</v>
      </c>
      <c r="W3179" t="s">
        <v>66</v>
      </c>
      <c r="X3179" t="s">
        <v>67</v>
      </c>
      <c r="Y3179" t="s">
        <v>67</v>
      </c>
      <c r="Z3179" t="s">
        <v>68</v>
      </c>
      <c r="AB3179">
        <v>4</v>
      </c>
      <c r="AC3179" t="s">
        <v>61</v>
      </c>
      <c r="AJ3179" t="s">
        <v>69</v>
      </c>
      <c r="AY3179" t="s">
        <v>2223</v>
      </c>
      <c r="AZ3179">
        <v>2071</v>
      </c>
      <c r="BA3179" t="s">
        <v>2224</v>
      </c>
      <c r="BB3179" t="s">
        <v>2225</v>
      </c>
      <c r="BC3179">
        <v>1976</v>
      </c>
      <c r="BD3179" t="s">
        <v>90</v>
      </c>
    </row>
    <row r="3180" spans="1:56" x14ac:dyDescent="0.35">
      <c r="A3180">
        <v>7758987</v>
      </c>
      <c r="B3180" t="s">
        <v>2219</v>
      </c>
      <c r="D3180" t="s">
        <v>57</v>
      </c>
      <c r="E3180" t="s">
        <v>86</v>
      </c>
      <c r="F3180" t="s">
        <v>58</v>
      </c>
      <c r="G3180" t="s">
        <v>59</v>
      </c>
      <c r="H3180" t="s">
        <v>60</v>
      </c>
      <c r="I3180" t="s">
        <v>188</v>
      </c>
      <c r="J3180" t="s">
        <v>289</v>
      </c>
      <c r="K3180" t="s">
        <v>184</v>
      </c>
      <c r="L3180" t="s">
        <v>62</v>
      </c>
      <c r="M3180" t="s">
        <v>63</v>
      </c>
      <c r="N3180" t="s">
        <v>64</v>
      </c>
      <c r="P3180" t="s">
        <v>201</v>
      </c>
      <c r="R3180">
        <v>5.3E-3</v>
      </c>
      <c r="W3180" t="s">
        <v>66</v>
      </c>
      <c r="X3180" t="s">
        <v>67</v>
      </c>
      <c r="Y3180" t="s">
        <v>67</v>
      </c>
      <c r="Z3180" t="s">
        <v>68</v>
      </c>
      <c r="AB3180">
        <v>4</v>
      </c>
      <c r="AC3180" t="s">
        <v>61</v>
      </c>
      <c r="AJ3180" t="s">
        <v>69</v>
      </c>
      <c r="AY3180" t="s">
        <v>2230</v>
      </c>
      <c r="AZ3180">
        <v>17105</v>
      </c>
      <c r="BA3180" t="s">
        <v>2231</v>
      </c>
      <c r="BB3180" t="s">
        <v>2232</v>
      </c>
      <c r="BC3180">
        <v>1996</v>
      </c>
      <c r="BD3180" t="s">
        <v>185</v>
      </c>
    </row>
    <row r="3181" spans="1:56" x14ac:dyDescent="0.35">
      <c r="A3181">
        <v>7758987</v>
      </c>
      <c r="B3181" t="s">
        <v>2219</v>
      </c>
      <c r="D3181" t="s">
        <v>57</v>
      </c>
      <c r="E3181" t="s">
        <v>86</v>
      </c>
      <c r="F3181" t="s">
        <v>58</v>
      </c>
      <c r="G3181" t="s">
        <v>59</v>
      </c>
      <c r="H3181" t="s">
        <v>60</v>
      </c>
      <c r="I3181" t="s">
        <v>188</v>
      </c>
      <c r="J3181" t="s">
        <v>289</v>
      </c>
      <c r="K3181" t="s">
        <v>184</v>
      </c>
      <c r="L3181" t="s">
        <v>62</v>
      </c>
      <c r="M3181" t="s">
        <v>63</v>
      </c>
      <c r="N3181" t="s">
        <v>64</v>
      </c>
      <c r="O3181">
        <v>6</v>
      </c>
      <c r="P3181" t="s">
        <v>201</v>
      </c>
      <c r="R3181">
        <v>2.3758066499999999</v>
      </c>
      <c r="T3181">
        <v>1.4545755</v>
      </c>
      <c r="V3181">
        <v>3.8627060499999999</v>
      </c>
      <c r="W3181" t="s">
        <v>66</v>
      </c>
      <c r="X3181" t="s">
        <v>67</v>
      </c>
      <c r="Y3181" t="s">
        <v>67</v>
      </c>
      <c r="Z3181" t="s">
        <v>68</v>
      </c>
      <c r="AB3181">
        <v>4</v>
      </c>
      <c r="AC3181" t="s">
        <v>61</v>
      </c>
      <c r="AJ3181" t="s">
        <v>69</v>
      </c>
      <c r="AY3181" t="s">
        <v>2233</v>
      </c>
      <c r="AZ3181">
        <v>76238</v>
      </c>
      <c r="BA3181" t="s">
        <v>2234</v>
      </c>
      <c r="BB3181" t="s">
        <v>2235</v>
      </c>
      <c r="BC3181">
        <v>1996</v>
      </c>
      <c r="BD3181" t="s">
        <v>185</v>
      </c>
    </row>
    <row r="3182" spans="1:56" x14ac:dyDescent="0.35">
      <c r="A3182">
        <v>7758987</v>
      </c>
      <c r="B3182" t="s">
        <v>2219</v>
      </c>
      <c r="D3182" t="s">
        <v>57</v>
      </c>
      <c r="E3182" t="s">
        <v>86</v>
      </c>
      <c r="F3182" t="s">
        <v>58</v>
      </c>
      <c r="G3182" t="s">
        <v>59</v>
      </c>
      <c r="H3182" t="s">
        <v>60</v>
      </c>
      <c r="I3182" t="s">
        <v>177</v>
      </c>
      <c r="J3182" t="s">
        <v>505</v>
      </c>
      <c r="K3182" t="s">
        <v>61</v>
      </c>
      <c r="L3182" t="s">
        <v>62</v>
      </c>
      <c r="M3182" t="s">
        <v>63</v>
      </c>
      <c r="N3182" t="s">
        <v>64</v>
      </c>
      <c r="P3182" t="s">
        <v>201</v>
      </c>
      <c r="R3182">
        <v>8.5599999999999996E-2</v>
      </c>
      <c r="T3182">
        <v>6.9099999999999995E-2</v>
      </c>
      <c r="V3182">
        <v>0.1011</v>
      </c>
      <c r="W3182" t="s">
        <v>66</v>
      </c>
      <c r="X3182" t="s">
        <v>67</v>
      </c>
      <c r="Y3182" t="s">
        <v>67</v>
      </c>
      <c r="Z3182" t="s">
        <v>68</v>
      </c>
      <c r="AB3182">
        <v>4</v>
      </c>
      <c r="AC3182" t="s">
        <v>61</v>
      </c>
      <c r="AJ3182" t="s">
        <v>69</v>
      </c>
      <c r="AY3182" t="s">
        <v>2236</v>
      </c>
      <c r="AZ3182">
        <v>8034</v>
      </c>
      <c r="BA3182" t="s">
        <v>2237</v>
      </c>
      <c r="BB3182" t="s">
        <v>2238</v>
      </c>
      <c r="BC3182">
        <v>1993</v>
      </c>
      <c r="BD3182" t="s">
        <v>73</v>
      </c>
    </row>
    <row r="3183" spans="1:56" x14ac:dyDescent="0.35">
      <c r="A3183">
        <v>7758987</v>
      </c>
      <c r="B3183" t="s">
        <v>2219</v>
      </c>
      <c r="D3183" t="s">
        <v>57</v>
      </c>
      <c r="E3183" t="s">
        <v>86</v>
      </c>
      <c r="F3183" t="s">
        <v>58</v>
      </c>
      <c r="G3183" t="s">
        <v>59</v>
      </c>
      <c r="H3183" t="s">
        <v>60</v>
      </c>
      <c r="I3183" t="s">
        <v>188</v>
      </c>
      <c r="J3183" t="s">
        <v>86</v>
      </c>
      <c r="L3183" t="s">
        <v>74</v>
      </c>
      <c r="M3183" t="s">
        <v>63</v>
      </c>
      <c r="N3183" t="s">
        <v>64</v>
      </c>
      <c r="P3183" t="s">
        <v>1296</v>
      </c>
      <c r="R3183">
        <v>0.05</v>
      </c>
      <c r="T3183">
        <v>3.5000000000000003E-2</v>
      </c>
      <c r="V3183">
        <v>7.1999999999999995E-2</v>
      </c>
      <c r="W3183" t="s">
        <v>66</v>
      </c>
      <c r="X3183" t="s">
        <v>67</v>
      </c>
      <c r="Y3183" t="s">
        <v>67</v>
      </c>
      <c r="Z3183" t="s">
        <v>68</v>
      </c>
      <c r="AB3183">
        <v>4</v>
      </c>
      <c r="AC3183" t="s">
        <v>61</v>
      </c>
      <c r="AJ3183" t="s">
        <v>69</v>
      </c>
      <c r="AQ3183" t="s">
        <v>69</v>
      </c>
      <c r="AY3183" t="s">
        <v>2261</v>
      </c>
      <c r="AZ3183">
        <v>5203</v>
      </c>
      <c r="BA3183" t="s">
        <v>2262</v>
      </c>
      <c r="BB3183" t="s">
        <v>2263</v>
      </c>
      <c r="BC3183">
        <v>1985</v>
      </c>
      <c r="BD3183" t="s">
        <v>2290</v>
      </c>
    </row>
    <row r="3184" spans="1:56" x14ac:dyDescent="0.35">
      <c r="A3184">
        <v>7758987</v>
      </c>
      <c r="B3184" t="s">
        <v>2219</v>
      </c>
      <c r="D3184" t="s">
        <v>57</v>
      </c>
      <c r="E3184" t="s">
        <v>86</v>
      </c>
      <c r="F3184" t="s">
        <v>58</v>
      </c>
      <c r="G3184" t="s">
        <v>59</v>
      </c>
      <c r="H3184" t="s">
        <v>60</v>
      </c>
      <c r="I3184" t="s">
        <v>188</v>
      </c>
      <c r="J3184" t="s">
        <v>289</v>
      </c>
      <c r="K3184" t="s">
        <v>184</v>
      </c>
      <c r="L3184" t="s">
        <v>62</v>
      </c>
      <c r="M3184" t="s">
        <v>63</v>
      </c>
      <c r="N3184" t="s">
        <v>64</v>
      </c>
      <c r="O3184">
        <v>6</v>
      </c>
      <c r="P3184" t="s">
        <v>201</v>
      </c>
      <c r="R3184">
        <v>6.7880190000000007E-2</v>
      </c>
      <c r="T3184">
        <v>5.8183020000000002E-2</v>
      </c>
      <c r="V3184">
        <v>8.080975E-2</v>
      </c>
      <c r="W3184" t="s">
        <v>66</v>
      </c>
      <c r="X3184" t="s">
        <v>67</v>
      </c>
      <c r="Y3184" t="s">
        <v>67</v>
      </c>
      <c r="Z3184" t="s">
        <v>68</v>
      </c>
      <c r="AB3184">
        <v>4</v>
      </c>
      <c r="AC3184" t="s">
        <v>61</v>
      </c>
      <c r="AJ3184" t="s">
        <v>69</v>
      </c>
      <c r="AY3184" t="s">
        <v>2233</v>
      </c>
      <c r="AZ3184">
        <v>76238</v>
      </c>
      <c r="BA3184" t="s">
        <v>2234</v>
      </c>
      <c r="BB3184" t="s">
        <v>2235</v>
      </c>
      <c r="BC3184">
        <v>1996</v>
      </c>
      <c r="BD3184" t="s">
        <v>185</v>
      </c>
    </row>
    <row r="3185" spans="1:56" x14ac:dyDescent="0.35">
      <c r="A3185">
        <v>7758987</v>
      </c>
      <c r="B3185" t="s">
        <v>2219</v>
      </c>
      <c r="D3185" t="s">
        <v>85</v>
      </c>
      <c r="E3185" t="s">
        <v>86</v>
      </c>
      <c r="F3185" t="s">
        <v>58</v>
      </c>
      <c r="G3185" t="s">
        <v>59</v>
      </c>
      <c r="H3185" t="s">
        <v>60</v>
      </c>
      <c r="I3185" t="s">
        <v>188</v>
      </c>
      <c r="J3185" t="s">
        <v>289</v>
      </c>
      <c r="K3185" t="s">
        <v>184</v>
      </c>
      <c r="L3185" t="s">
        <v>190</v>
      </c>
      <c r="M3185" t="s">
        <v>63</v>
      </c>
      <c r="N3185" t="s">
        <v>64</v>
      </c>
      <c r="O3185">
        <v>6</v>
      </c>
      <c r="P3185" t="s">
        <v>1296</v>
      </c>
      <c r="R3185">
        <v>0.38369999999999999</v>
      </c>
      <c r="T3185">
        <v>0.3362</v>
      </c>
      <c r="V3185">
        <v>0.43790000000000001</v>
      </c>
      <c r="W3185" t="s">
        <v>66</v>
      </c>
      <c r="X3185" t="s">
        <v>67</v>
      </c>
      <c r="Y3185" t="s">
        <v>67</v>
      </c>
      <c r="Z3185" t="s">
        <v>68</v>
      </c>
      <c r="AB3185">
        <v>4</v>
      </c>
      <c r="AC3185" t="s">
        <v>61</v>
      </c>
      <c r="AJ3185" t="s">
        <v>69</v>
      </c>
      <c r="AY3185" t="s">
        <v>2245</v>
      </c>
      <c r="AZ3185">
        <v>80428</v>
      </c>
      <c r="BA3185" t="s">
        <v>2246</v>
      </c>
      <c r="BB3185" t="s">
        <v>2247</v>
      </c>
      <c r="BC3185">
        <v>2004</v>
      </c>
      <c r="BD3185" t="s">
        <v>185</v>
      </c>
    </row>
    <row r="3186" spans="1:56" x14ac:dyDescent="0.35">
      <c r="A3186">
        <v>7758987</v>
      </c>
      <c r="B3186" t="s">
        <v>2219</v>
      </c>
      <c r="D3186" t="s">
        <v>57</v>
      </c>
      <c r="E3186" t="s">
        <v>86</v>
      </c>
      <c r="F3186" t="s">
        <v>58</v>
      </c>
      <c r="G3186" t="s">
        <v>59</v>
      </c>
      <c r="H3186" t="s">
        <v>60</v>
      </c>
      <c r="I3186" t="s">
        <v>188</v>
      </c>
      <c r="J3186" t="s">
        <v>289</v>
      </c>
      <c r="K3186" t="s">
        <v>184</v>
      </c>
      <c r="L3186" t="s">
        <v>62</v>
      </c>
      <c r="M3186" t="s">
        <v>63</v>
      </c>
      <c r="N3186" t="s">
        <v>64</v>
      </c>
      <c r="P3186" t="s">
        <v>201</v>
      </c>
      <c r="R3186">
        <v>0.108285065</v>
      </c>
      <c r="T3186">
        <v>7.4344969999999996E-2</v>
      </c>
      <c r="V3186">
        <v>0.15515472</v>
      </c>
      <c r="W3186" t="s">
        <v>66</v>
      </c>
      <c r="X3186" t="s">
        <v>67</v>
      </c>
      <c r="Y3186" t="s">
        <v>67</v>
      </c>
      <c r="Z3186" t="s">
        <v>68</v>
      </c>
      <c r="AB3186">
        <v>4</v>
      </c>
      <c r="AC3186" t="s">
        <v>61</v>
      </c>
      <c r="AJ3186" t="s">
        <v>69</v>
      </c>
      <c r="AY3186" t="s">
        <v>2220</v>
      </c>
      <c r="AZ3186">
        <v>16342</v>
      </c>
      <c r="BA3186" t="s">
        <v>2221</v>
      </c>
      <c r="BB3186" t="s">
        <v>2222</v>
      </c>
      <c r="BC3186">
        <v>1996</v>
      </c>
      <c r="BD3186" t="s">
        <v>185</v>
      </c>
    </row>
    <row r="3187" spans="1:56" x14ac:dyDescent="0.35">
      <c r="A3187">
        <v>7758987</v>
      </c>
      <c r="B3187" t="s">
        <v>2219</v>
      </c>
      <c r="D3187" t="s">
        <v>57</v>
      </c>
      <c r="E3187" t="s">
        <v>86</v>
      </c>
      <c r="F3187" t="s">
        <v>58</v>
      </c>
      <c r="G3187" t="s">
        <v>59</v>
      </c>
      <c r="H3187" t="s">
        <v>60</v>
      </c>
      <c r="J3187" t="s">
        <v>86</v>
      </c>
      <c r="L3187" t="s">
        <v>74</v>
      </c>
      <c r="M3187" t="s">
        <v>63</v>
      </c>
      <c r="N3187" t="s">
        <v>64</v>
      </c>
      <c r="P3187" t="s">
        <v>201</v>
      </c>
      <c r="R3187">
        <v>0.51600000000000001</v>
      </c>
      <c r="T3187">
        <v>0.46300000000000002</v>
      </c>
      <c r="V3187">
        <v>0.57499999999999996</v>
      </c>
      <c r="W3187" t="s">
        <v>66</v>
      </c>
      <c r="X3187" t="s">
        <v>67</v>
      </c>
      <c r="Y3187" t="s">
        <v>67</v>
      </c>
      <c r="Z3187" t="s">
        <v>68</v>
      </c>
      <c r="AB3187">
        <v>4</v>
      </c>
      <c r="AC3187" t="s">
        <v>61</v>
      </c>
      <c r="AJ3187" t="s">
        <v>69</v>
      </c>
      <c r="AY3187" t="s">
        <v>2227</v>
      </c>
      <c r="AZ3187">
        <v>5081</v>
      </c>
      <c r="BA3187" t="s">
        <v>2228</v>
      </c>
      <c r="BB3187" t="s">
        <v>2229</v>
      </c>
      <c r="BC3187">
        <v>1978</v>
      </c>
      <c r="BD3187" t="s">
        <v>90</v>
      </c>
    </row>
    <row r="3188" spans="1:56" x14ac:dyDescent="0.35">
      <c r="A3188">
        <v>7758987</v>
      </c>
      <c r="B3188" t="s">
        <v>2219</v>
      </c>
      <c r="D3188" t="s">
        <v>57</v>
      </c>
      <c r="E3188">
        <v>99.995000000000005</v>
      </c>
      <c r="F3188" t="s">
        <v>58</v>
      </c>
      <c r="G3188" t="s">
        <v>59</v>
      </c>
      <c r="H3188" t="s">
        <v>60</v>
      </c>
      <c r="I3188" t="s">
        <v>1764</v>
      </c>
      <c r="J3188">
        <v>8</v>
      </c>
      <c r="K3188" t="s">
        <v>1027</v>
      </c>
      <c r="L3188" t="s">
        <v>190</v>
      </c>
      <c r="M3188" t="s">
        <v>63</v>
      </c>
      <c r="N3188" t="s">
        <v>64</v>
      </c>
      <c r="O3188">
        <v>8</v>
      </c>
      <c r="P3188" t="s">
        <v>1296</v>
      </c>
      <c r="R3188">
        <v>0.10199999999999999</v>
      </c>
      <c r="T3188">
        <v>7.8E-2</v>
      </c>
      <c r="V3188">
        <v>0.13500000000000001</v>
      </c>
      <c r="W3188" t="s">
        <v>66</v>
      </c>
      <c r="X3188" t="s">
        <v>67</v>
      </c>
      <c r="Y3188" t="s">
        <v>67</v>
      </c>
      <c r="Z3188" t="s">
        <v>68</v>
      </c>
      <c r="AB3188">
        <v>4</v>
      </c>
      <c r="AC3188" t="s">
        <v>61</v>
      </c>
      <c r="AJ3188" t="s">
        <v>69</v>
      </c>
      <c r="AY3188" t="s">
        <v>2291</v>
      </c>
      <c r="AZ3188">
        <v>164074</v>
      </c>
      <c r="BA3188" t="s">
        <v>2292</v>
      </c>
      <c r="BB3188" t="s">
        <v>2293</v>
      </c>
      <c r="BC3188">
        <v>2013</v>
      </c>
      <c r="BD3188" t="s">
        <v>1028</v>
      </c>
    </row>
    <row r="3189" spans="1:56" x14ac:dyDescent="0.35">
      <c r="A3189">
        <v>7758987</v>
      </c>
      <c r="B3189" t="s">
        <v>2219</v>
      </c>
      <c r="D3189" t="s">
        <v>57</v>
      </c>
      <c r="E3189" t="s">
        <v>86</v>
      </c>
      <c r="F3189" t="s">
        <v>58</v>
      </c>
      <c r="G3189" t="s">
        <v>59</v>
      </c>
      <c r="H3189" t="s">
        <v>60</v>
      </c>
      <c r="J3189" t="s">
        <v>86</v>
      </c>
      <c r="L3189" t="s">
        <v>62</v>
      </c>
      <c r="M3189" t="s">
        <v>63</v>
      </c>
      <c r="N3189" t="s">
        <v>64</v>
      </c>
      <c r="P3189" t="s">
        <v>1296</v>
      </c>
      <c r="R3189">
        <v>0.49</v>
      </c>
      <c r="W3189" t="s">
        <v>66</v>
      </c>
      <c r="X3189" t="s">
        <v>67</v>
      </c>
      <c r="Y3189" t="s">
        <v>67</v>
      </c>
      <c r="Z3189" t="s">
        <v>68</v>
      </c>
      <c r="AB3189">
        <v>4</v>
      </c>
      <c r="AC3189" t="s">
        <v>61</v>
      </c>
      <c r="AJ3189" t="s">
        <v>69</v>
      </c>
      <c r="AQ3189" t="s">
        <v>69</v>
      </c>
      <c r="AY3189" t="s">
        <v>2223</v>
      </c>
      <c r="AZ3189">
        <v>2071</v>
      </c>
      <c r="BA3189" t="s">
        <v>2224</v>
      </c>
      <c r="BB3189" t="s">
        <v>2225</v>
      </c>
      <c r="BC3189">
        <v>1976</v>
      </c>
      <c r="BD3189" t="s">
        <v>2294</v>
      </c>
    </row>
    <row r="3190" spans="1:56" x14ac:dyDescent="0.35">
      <c r="A3190">
        <v>7758987</v>
      </c>
      <c r="B3190" t="s">
        <v>2219</v>
      </c>
      <c r="D3190" t="s">
        <v>85</v>
      </c>
      <c r="E3190" t="s">
        <v>86</v>
      </c>
      <c r="F3190" t="s">
        <v>58</v>
      </c>
      <c r="G3190" t="s">
        <v>59</v>
      </c>
      <c r="H3190" t="s">
        <v>60</v>
      </c>
      <c r="I3190" t="s">
        <v>188</v>
      </c>
      <c r="J3190" t="s">
        <v>289</v>
      </c>
      <c r="K3190" t="s">
        <v>184</v>
      </c>
      <c r="L3190" t="s">
        <v>190</v>
      </c>
      <c r="M3190" t="s">
        <v>63</v>
      </c>
      <c r="N3190" t="s">
        <v>64</v>
      </c>
      <c r="O3190">
        <v>6</v>
      </c>
      <c r="P3190" t="s">
        <v>1296</v>
      </c>
      <c r="R3190">
        <v>0.13700000000000001</v>
      </c>
      <c r="T3190">
        <v>0.1003</v>
      </c>
      <c r="V3190">
        <v>0.18720000000000001</v>
      </c>
      <c r="W3190" t="s">
        <v>66</v>
      </c>
      <c r="X3190" t="s">
        <v>67</v>
      </c>
      <c r="Y3190" t="s">
        <v>67</v>
      </c>
      <c r="Z3190" t="s">
        <v>68</v>
      </c>
      <c r="AB3190">
        <v>4</v>
      </c>
      <c r="AC3190" t="s">
        <v>61</v>
      </c>
      <c r="AJ3190" t="s">
        <v>69</v>
      </c>
      <c r="AY3190" t="s">
        <v>2245</v>
      </c>
      <c r="AZ3190">
        <v>80428</v>
      </c>
      <c r="BA3190" t="s">
        <v>2246</v>
      </c>
      <c r="BB3190" t="s">
        <v>2247</v>
      </c>
      <c r="BC3190">
        <v>2004</v>
      </c>
      <c r="BD3190" t="s">
        <v>185</v>
      </c>
    </row>
    <row r="3191" spans="1:56" x14ac:dyDescent="0.35">
      <c r="A3191">
        <v>7758987</v>
      </c>
      <c r="B3191" t="s">
        <v>2219</v>
      </c>
      <c r="D3191" t="s">
        <v>57</v>
      </c>
      <c r="E3191" t="s">
        <v>86</v>
      </c>
      <c r="F3191" t="s">
        <v>58</v>
      </c>
      <c r="G3191" t="s">
        <v>59</v>
      </c>
      <c r="H3191" t="s">
        <v>60</v>
      </c>
      <c r="I3191" t="s">
        <v>188</v>
      </c>
      <c r="J3191" t="s">
        <v>289</v>
      </c>
      <c r="K3191" t="s">
        <v>184</v>
      </c>
      <c r="L3191" t="s">
        <v>74</v>
      </c>
      <c r="M3191" t="s">
        <v>63</v>
      </c>
      <c r="N3191" t="s">
        <v>64</v>
      </c>
      <c r="O3191">
        <v>6</v>
      </c>
      <c r="P3191" t="s">
        <v>201</v>
      </c>
      <c r="R3191">
        <v>0.15192232999999999</v>
      </c>
      <c r="T3191">
        <v>0.11959843000000001</v>
      </c>
      <c r="V3191">
        <v>0.19394339999999999</v>
      </c>
      <c r="W3191" t="s">
        <v>66</v>
      </c>
      <c r="X3191" t="s">
        <v>67</v>
      </c>
      <c r="Y3191" t="s">
        <v>67</v>
      </c>
      <c r="Z3191" t="s">
        <v>68</v>
      </c>
      <c r="AB3191">
        <v>4</v>
      </c>
      <c r="AC3191" t="s">
        <v>61</v>
      </c>
      <c r="AJ3191" t="s">
        <v>69</v>
      </c>
      <c r="AY3191" t="s">
        <v>2233</v>
      </c>
      <c r="AZ3191">
        <v>76238</v>
      </c>
      <c r="BA3191" t="s">
        <v>2234</v>
      </c>
      <c r="BB3191" t="s">
        <v>2235</v>
      </c>
      <c r="BC3191">
        <v>1996</v>
      </c>
      <c r="BD3191" t="s">
        <v>185</v>
      </c>
    </row>
    <row r="3192" spans="1:56" x14ac:dyDescent="0.35">
      <c r="A3192">
        <v>7758987</v>
      </c>
      <c r="B3192" t="s">
        <v>2219</v>
      </c>
      <c r="D3192" t="s">
        <v>57</v>
      </c>
      <c r="E3192" t="s">
        <v>86</v>
      </c>
      <c r="F3192" t="s">
        <v>58</v>
      </c>
      <c r="G3192" t="s">
        <v>59</v>
      </c>
      <c r="H3192" t="s">
        <v>60</v>
      </c>
      <c r="J3192" t="s">
        <v>86</v>
      </c>
      <c r="L3192" t="s">
        <v>62</v>
      </c>
      <c r="M3192" t="s">
        <v>63</v>
      </c>
      <c r="N3192" t="s">
        <v>64</v>
      </c>
      <c r="P3192" t="s">
        <v>1296</v>
      </c>
      <c r="R3192">
        <v>0.68</v>
      </c>
      <c r="W3192" t="s">
        <v>66</v>
      </c>
      <c r="X3192" t="s">
        <v>67</v>
      </c>
      <c r="Y3192" t="s">
        <v>67</v>
      </c>
      <c r="Z3192" t="s">
        <v>68</v>
      </c>
      <c r="AB3192">
        <v>4</v>
      </c>
      <c r="AC3192" t="s">
        <v>61</v>
      </c>
      <c r="AJ3192" t="s">
        <v>69</v>
      </c>
      <c r="AQ3192" t="s">
        <v>69</v>
      </c>
      <c r="AY3192" t="s">
        <v>2223</v>
      </c>
      <c r="AZ3192">
        <v>2071</v>
      </c>
      <c r="BA3192" t="s">
        <v>2224</v>
      </c>
      <c r="BB3192" t="s">
        <v>2225</v>
      </c>
      <c r="BC3192">
        <v>1976</v>
      </c>
      <c r="BD3192" t="s">
        <v>2295</v>
      </c>
    </row>
    <row r="3193" spans="1:56" x14ac:dyDescent="0.35">
      <c r="A3193">
        <v>7758987</v>
      </c>
      <c r="B3193" t="s">
        <v>2219</v>
      </c>
      <c r="D3193" t="s">
        <v>57</v>
      </c>
      <c r="E3193" t="s">
        <v>86</v>
      </c>
      <c r="F3193" t="s">
        <v>58</v>
      </c>
      <c r="G3193" t="s">
        <v>59</v>
      </c>
      <c r="H3193" t="s">
        <v>60</v>
      </c>
      <c r="I3193" t="s">
        <v>188</v>
      </c>
      <c r="J3193" t="s">
        <v>289</v>
      </c>
      <c r="K3193" t="s">
        <v>184</v>
      </c>
      <c r="L3193" t="s">
        <v>62</v>
      </c>
      <c r="M3193" t="s">
        <v>63</v>
      </c>
      <c r="N3193" t="s">
        <v>64</v>
      </c>
      <c r="O3193">
        <v>6</v>
      </c>
      <c r="P3193" t="s">
        <v>201</v>
      </c>
      <c r="R3193">
        <v>0.67880189999999996</v>
      </c>
      <c r="T3193">
        <v>0.5495063</v>
      </c>
      <c r="V3193">
        <v>0.84042139999999999</v>
      </c>
      <c r="W3193" t="s">
        <v>66</v>
      </c>
      <c r="X3193" t="s">
        <v>67</v>
      </c>
      <c r="Y3193" t="s">
        <v>67</v>
      </c>
      <c r="Z3193" t="s">
        <v>68</v>
      </c>
      <c r="AB3193">
        <v>4</v>
      </c>
      <c r="AC3193" t="s">
        <v>61</v>
      </c>
      <c r="AJ3193" t="s">
        <v>69</v>
      </c>
      <c r="AY3193" t="s">
        <v>2233</v>
      </c>
      <c r="AZ3193">
        <v>76238</v>
      </c>
      <c r="BA3193" t="s">
        <v>2234</v>
      </c>
      <c r="BB3193" t="s">
        <v>2235</v>
      </c>
      <c r="BC3193">
        <v>1996</v>
      </c>
      <c r="BD3193" t="s">
        <v>185</v>
      </c>
    </row>
    <row r="3194" spans="1:56" x14ac:dyDescent="0.35">
      <c r="A3194">
        <v>7758987</v>
      </c>
      <c r="B3194" t="s">
        <v>2219</v>
      </c>
      <c r="D3194" t="s">
        <v>85</v>
      </c>
      <c r="E3194" t="s">
        <v>86</v>
      </c>
      <c r="F3194" t="s">
        <v>58</v>
      </c>
      <c r="G3194" t="s">
        <v>59</v>
      </c>
      <c r="H3194" t="s">
        <v>60</v>
      </c>
      <c r="I3194" t="s">
        <v>188</v>
      </c>
      <c r="J3194" t="s">
        <v>289</v>
      </c>
      <c r="K3194" t="s">
        <v>184</v>
      </c>
      <c r="L3194" t="s">
        <v>190</v>
      </c>
      <c r="M3194" t="s">
        <v>63</v>
      </c>
      <c r="N3194" t="s">
        <v>64</v>
      </c>
      <c r="O3194">
        <v>6</v>
      </c>
      <c r="P3194" t="s">
        <v>1296</v>
      </c>
      <c r="R3194">
        <v>1.9490000000000001</v>
      </c>
      <c r="T3194">
        <v>1.679</v>
      </c>
      <c r="V3194">
        <v>2.262</v>
      </c>
      <c r="W3194" t="s">
        <v>66</v>
      </c>
      <c r="X3194" t="s">
        <v>67</v>
      </c>
      <c r="Y3194" t="s">
        <v>67</v>
      </c>
      <c r="Z3194" t="s">
        <v>68</v>
      </c>
      <c r="AB3194">
        <v>4</v>
      </c>
      <c r="AC3194" t="s">
        <v>61</v>
      </c>
      <c r="AJ3194" t="s">
        <v>69</v>
      </c>
      <c r="AY3194" t="s">
        <v>2245</v>
      </c>
      <c r="AZ3194">
        <v>80428</v>
      </c>
      <c r="BA3194" t="s">
        <v>2246</v>
      </c>
      <c r="BB3194" t="s">
        <v>2247</v>
      </c>
      <c r="BC3194">
        <v>2004</v>
      </c>
      <c r="BD3194" t="s">
        <v>185</v>
      </c>
    </row>
    <row r="3195" spans="1:56" x14ac:dyDescent="0.35">
      <c r="A3195">
        <v>7758987</v>
      </c>
      <c r="B3195" t="s">
        <v>2219</v>
      </c>
      <c r="D3195" t="s">
        <v>57</v>
      </c>
      <c r="E3195" t="s">
        <v>86</v>
      </c>
      <c r="F3195" t="s">
        <v>58</v>
      </c>
      <c r="G3195" t="s">
        <v>59</v>
      </c>
      <c r="H3195" t="s">
        <v>60</v>
      </c>
      <c r="I3195" t="s">
        <v>188</v>
      </c>
      <c r="J3195" t="s">
        <v>289</v>
      </c>
      <c r="K3195" t="s">
        <v>184</v>
      </c>
      <c r="L3195" t="s">
        <v>62</v>
      </c>
      <c r="M3195" t="s">
        <v>63</v>
      </c>
      <c r="N3195" t="s">
        <v>64</v>
      </c>
      <c r="O3195">
        <v>6</v>
      </c>
      <c r="P3195" t="s">
        <v>201</v>
      </c>
      <c r="R3195">
        <v>6.7880190000000007E-2</v>
      </c>
      <c r="T3195">
        <v>5.6566825000000001E-2</v>
      </c>
      <c r="V3195">
        <v>8.080975E-2</v>
      </c>
      <c r="W3195" t="s">
        <v>66</v>
      </c>
      <c r="X3195" t="s">
        <v>67</v>
      </c>
      <c r="Y3195" t="s">
        <v>67</v>
      </c>
      <c r="Z3195" t="s">
        <v>68</v>
      </c>
      <c r="AB3195">
        <v>4</v>
      </c>
      <c r="AC3195" t="s">
        <v>61</v>
      </c>
      <c r="AJ3195" t="s">
        <v>69</v>
      </c>
      <c r="AY3195" t="s">
        <v>2233</v>
      </c>
      <c r="AZ3195">
        <v>76238</v>
      </c>
      <c r="BA3195" t="s">
        <v>2234</v>
      </c>
      <c r="BB3195" t="s">
        <v>2235</v>
      </c>
      <c r="BC3195">
        <v>1996</v>
      </c>
      <c r="BD3195" t="s">
        <v>185</v>
      </c>
    </row>
    <row r="3196" spans="1:56" x14ac:dyDescent="0.35">
      <c r="A3196">
        <v>7758987</v>
      </c>
      <c r="B3196" t="s">
        <v>2219</v>
      </c>
      <c r="D3196" t="s">
        <v>57</v>
      </c>
      <c r="E3196" t="s">
        <v>86</v>
      </c>
      <c r="F3196" t="s">
        <v>58</v>
      </c>
      <c r="G3196" t="s">
        <v>59</v>
      </c>
      <c r="H3196" t="s">
        <v>60</v>
      </c>
      <c r="J3196" t="s">
        <v>86</v>
      </c>
      <c r="M3196" t="s">
        <v>63</v>
      </c>
      <c r="N3196" t="s">
        <v>64</v>
      </c>
      <c r="P3196" t="s">
        <v>201</v>
      </c>
      <c r="R3196">
        <v>0.29699999999999999</v>
      </c>
      <c r="W3196" t="s">
        <v>66</v>
      </c>
      <c r="X3196" t="s">
        <v>67</v>
      </c>
      <c r="Y3196" t="s">
        <v>67</v>
      </c>
      <c r="Z3196" t="s">
        <v>68</v>
      </c>
      <c r="AB3196">
        <v>4</v>
      </c>
      <c r="AC3196" t="s">
        <v>61</v>
      </c>
      <c r="AJ3196" t="s">
        <v>69</v>
      </c>
      <c r="AY3196" t="s">
        <v>2269</v>
      </c>
      <c r="AZ3196">
        <v>14976</v>
      </c>
      <c r="BA3196" t="s">
        <v>2270</v>
      </c>
      <c r="BB3196" t="s">
        <v>2271</v>
      </c>
      <c r="BC3196">
        <v>1995</v>
      </c>
      <c r="BD3196" t="s">
        <v>90</v>
      </c>
    </row>
    <row r="3197" spans="1:56" x14ac:dyDescent="0.35">
      <c r="A3197">
        <v>7758987</v>
      </c>
      <c r="B3197" t="s">
        <v>2219</v>
      </c>
      <c r="D3197" t="s">
        <v>57</v>
      </c>
      <c r="E3197" t="s">
        <v>86</v>
      </c>
      <c r="F3197" t="s">
        <v>58</v>
      </c>
      <c r="G3197" t="s">
        <v>59</v>
      </c>
      <c r="H3197" t="s">
        <v>60</v>
      </c>
      <c r="J3197" t="s">
        <v>86</v>
      </c>
      <c r="M3197" t="s">
        <v>63</v>
      </c>
      <c r="N3197" t="s">
        <v>64</v>
      </c>
      <c r="P3197" t="s">
        <v>201</v>
      </c>
      <c r="R3197">
        <v>0.51300000000000001</v>
      </c>
      <c r="W3197" t="s">
        <v>66</v>
      </c>
      <c r="X3197" t="s">
        <v>67</v>
      </c>
      <c r="Y3197" t="s">
        <v>67</v>
      </c>
      <c r="Z3197" t="s">
        <v>68</v>
      </c>
      <c r="AB3197">
        <v>4</v>
      </c>
      <c r="AC3197" t="s">
        <v>61</v>
      </c>
      <c r="AJ3197" t="s">
        <v>69</v>
      </c>
      <c r="AY3197" t="s">
        <v>2269</v>
      </c>
      <c r="AZ3197">
        <v>14976</v>
      </c>
      <c r="BA3197" t="s">
        <v>2270</v>
      </c>
      <c r="BB3197" t="s">
        <v>2271</v>
      </c>
      <c r="BC3197">
        <v>1995</v>
      </c>
      <c r="BD3197" t="s">
        <v>90</v>
      </c>
    </row>
    <row r="3198" spans="1:56" x14ac:dyDescent="0.35">
      <c r="A3198">
        <v>7758987</v>
      </c>
      <c r="B3198" t="s">
        <v>2219</v>
      </c>
      <c r="D3198" t="s">
        <v>57</v>
      </c>
      <c r="E3198" t="s">
        <v>86</v>
      </c>
      <c r="F3198" t="s">
        <v>58</v>
      </c>
      <c r="G3198" t="s">
        <v>59</v>
      </c>
      <c r="H3198" t="s">
        <v>60</v>
      </c>
      <c r="I3198" t="s">
        <v>188</v>
      </c>
      <c r="J3198" t="s">
        <v>289</v>
      </c>
      <c r="K3198" t="s">
        <v>184</v>
      </c>
      <c r="L3198" t="s">
        <v>62</v>
      </c>
      <c r="M3198" t="s">
        <v>63</v>
      </c>
      <c r="N3198" t="s">
        <v>64</v>
      </c>
      <c r="P3198" t="s">
        <v>201</v>
      </c>
      <c r="R3198">
        <v>0.52526337499999998</v>
      </c>
      <c r="T3198">
        <v>0.43637264999999997</v>
      </c>
      <c r="V3198">
        <v>0.63031605000000002</v>
      </c>
      <c r="W3198" t="s">
        <v>66</v>
      </c>
      <c r="X3198" t="s">
        <v>67</v>
      </c>
      <c r="Y3198" t="s">
        <v>67</v>
      </c>
      <c r="Z3198" t="s">
        <v>68</v>
      </c>
      <c r="AB3198">
        <v>4</v>
      </c>
      <c r="AC3198" t="s">
        <v>61</v>
      </c>
      <c r="AJ3198" t="s">
        <v>69</v>
      </c>
      <c r="AY3198" t="s">
        <v>2220</v>
      </c>
      <c r="AZ3198">
        <v>16342</v>
      </c>
      <c r="BA3198" t="s">
        <v>2221</v>
      </c>
      <c r="BB3198" t="s">
        <v>2222</v>
      </c>
      <c r="BC3198">
        <v>1996</v>
      </c>
      <c r="BD3198" t="s">
        <v>185</v>
      </c>
    </row>
    <row r="3199" spans="1:56" x14ac:dyDescent="0.35">
      <c r="A3199">
        <v>7758987</v>
      </c>
      <c r="B3199" t="s">
        <v>2219</v>
      </c>
      <c r="D3199" t="s">
        <v>57</v>
      </c>
      <c r="E3199" t="s">
        <v>86</v>
      </c>
      <c r="F3199" t="s">
        <v>58</v>
      </c>
      <c r="G3199" t="s">
        <v>59</v>
      </c>
      <c r="H3199" t="s">
        <v>60</v>
      </c>
      <c r="I3199" t="s">
        <v>188</v>
      </c>
      <c r="J3199" t="s">
        <v>289</v>
      </c>
      <c r="K3199" t="s">
        <v>184</v>
      </c>
      <c r="L3199" t="s">
        <v>62</v>
      </c>
      <c r="M3199" t="s">
        <v>63</v>
      </c>
      <c r="N3199" t="s">
        <v>64</v>
      </c>
      <c r="O3199">
        <v>6</v>
      </c>
      <c r="P3199" t="s">
        <v>201</v>
      </c>
      <c r="R3199">
        <v>0.37172485</v>
      </c>
      <c r="T3199">
        <v>0.30707705000000002</v>
      </c>
      <c r="V3199">
        <v>0.45253460000000001</v>
      </c>
      <c r="W3199" t="s">
        <v>66</v>
      </c>
      <c r="X3199" t="s">
        <v>67</v>
      </c>
      <c r="Y3199" t="s">
        <v>67</v>
      </c>
      <c r="Z3199" t="s">
        <v>68</v>
      </c>
      <c r="AB3199">
        <v>4</v>
      </c>
      <c r="AC3199" t="s">
        <v>61</v>
      </c>
      <c r="AJ3199" t="s">
        <v>69</v>
      </c>
      <c r="AY3199" t="s">
        <v>2233</v>
      </c>
      <c r="AZ3199">
        <v>76238</v>
      </c>
      <c r="BA3199" t="s">
        <v>2234</v>
      </c>
      <c r="BB3199" t="s">
        <v>2235</v>
      </c>
      <c r="BC3199">
        <v>1996</v>
      </c>
      <c r="BD3199" t="s">
        <v>185</v>
      </c>
    </row>
    <row r="3200" spans="1:56" x14ac:dyDescent="0.35">
      <c r="A3200">
        <v>7758987</v>
      </c>
      <c r="B3200" t="s">
        <v>2219</v>
      </c>
      <c r="D3200" t="s">
        <v>85</v>
      </c>
      <c r="E3200" t="s">
        <v>86</v>
      </c>
      <c r="F3200" t="s">
        <v>58</v>
      </c>
      <c r="G3200" t="s">
        <v>59</v>
      </c>
      <c r="H3200" t="s">
        <v>60</v>
      </c>
      <c r="I3200" t="s">
        <v>188</v>
      </c>
      <c r="J3200" t="s">
        <v>289</v>
      </c>
      <c r="K3200" t="s">
        <v>184</v>
      </c>
      <c r="L3200" t="s">
        <v>190</v>
      </c>
      <c r="M3200" t="s">
        <v>63</v>
      </c>
      <c r="N3200" t="s">
        <v>64</v>
      </c>
      <c r="O3200">
        <v>6</v>
      </c>
      <c r="P3200" t="s">
        <v>1296</v>
      </c>
      <c r="R3200">
        <v>0.42209999999999998</v>
      </c>
      <c r="T3200">
        <v>0.33710000000000001</v>
      </c>
      <c r="V3200">
        <v>0.52859999999999996</v>
      </c>
      <c r="W3200" t="s">
        <v>66</v>
      </c>
      <c r="X3200" t="s">
        <v>67</v>
      </c>
      <c r="Y3200" t="s">
        <v>67</v>
      </c>
      <c r="Z3200" t="s">
        <v>68</v>
      </c>
      <c r="AB3200">
        <v>4</v>
      </c>
      <c r="AC3200" t="s">
        <v>61</v>
      </c>
      <c r="AJ3200" t="s">
        <v>69</v>
      </c>
      <c r="AY3200" t="s">
        <v>2245</v>
      </c>
      <c r="AZ3200">
        <v>80428</v>
      </c>
      <c r="BA3200" t="s">
        <v>2246</v>
      </c>
      <c r="BB3200" t="s">
        <v>2247</v>
      </c>
      <c r="BC3200">
        <v>2004</v>
      </c>
      <c r="BD3200" t="s">
        <v>185</v>
      </c>
    </row>
    <row r="3201" spans="1:56" x14ac:dyDescent="0.35">
      <c r="A3201">
        <v>7758987</v>
      </c>
      <c r="B3201" t="s">
        <v>2219</v>
      </c>
      <c r="D3201" t="s">
        <v>57</v>
      </c>
      <c r="E3201" t="s">
        <v>86</v>
      </c>
      <c r="F3201" t="s">
        <v>58</v>
      </c>
      <c r="G3201" t="s">
        <v>59</v>
      </c>
      <c r="H3201" t="s">
        <v>60</v>
      </c>
      <c r="I3201" t="s">
        <v>188</v>
      </c>
      <c r="J3201" t="s">
        <v>289</v>
      </c>
      <c r="K3201" t="s">
        <v>184</v>
      </c>
      <c r="L3201" t="s">
        <v>62</v>
      </c>
      <c r="M3201" t="s">
        <v>63</v>
      </c>
      <c r="N3201" t="s">
        <v>64</v>
      </c>
      <c r="P3201" t="s">
        <v>201</v>
      </c>
      <c r="R3201">
        <v>9.4999999999999998E-3</v>
      </c>
      <c r="T3201">
        <v>8.0999999999999996E-3</v>
      </c>
      <c r="V3201">
        <v>1.0999999999999999E-2</v>
      </c>
      <c r="W3201" t="s">
        <v>66</v>
      </c>
      <c r="X3201" t="s">
        <v>67</v>
      </c>
      <c r="Y3201" t="s">
        <v>67</v>
      </c>
      <c r="Z3201" t="s">
        <v>68</v>
      </c>
      <c r="AB3201">
        <v>4</v>
      </c>
      <c r="AC3201" t="s">
        <v>61</v>
      </c>
      <c r="AJ3201" t="s">
        <v>69</v>
      </c>
      <c r="AY3201" t="s">
        <v>2230</v>
      </c>
      <c r="AZ3201">
        <v>17105</v>
      </c>
      <c r="BA3201" t="s">
        <v>2231</v>
      </c>
      <c r="BB3201" t="s">
        <v>2232</v>
      </c>
      <c r="BC3201">
        <v>1996</v>
      </c>
      <c r="BD3201" t="s">
        <v>185</v>
      </c>
    </row>
    <row r="3202" spans="1:56" x14ac:dyDescent="0.35">
      <c r="A3202">
        <v>7758987</v>
      </c>
      <c r="B3202" t="s">
        <v>2219</v>
      </c>
      <c r="D3202" t="s">
        <v>57</v>
      </c>
      <c r="E3202" t="s">
        <v>86</v>
      </c>
      <c r="F3202" t="s">
        <v>58</v>
      </c>
      <c r="G3202" t="s">
        <v>59</v>
      </c>
      <c r="H3202" t="s">
        <v>60</v>
      </c>
      <c r="J3202" t="s">
        <v>86</v>
      </c>
      <c r="L3202" t="s">
        <v>74</v>
      </c>
      <c r="M3202" t="s">
        <v>63</v>
      </c>
      <c r="N3202" t="s">
        <v>64</v>
      </c>
      <c r="P3202" t="s">
        <v>201</v>
      </c>
      <c r="R3202">
        <v>1.5860000000000001</v>
      </c>
      <c r="W3202" t="s">
        <v>66</v>
      </c>
      <c r="X3202" t="s">
        <v>67</v>
      </c>
      <c r="Y3202" t="s">
        <v>67</v>
      </c>
      <c r="Z3202" t="s">
        <v>68</v>
      </c>
      <c r="AB3202">
        <v>4</v>
      </c>
      <c r="AC3202" t="s">
        <v>61</v>
      </c>
      <c r="AJ3202" t="s">
        <v>69</v>
      </c>
      <c r="AY3202" t="s">
        <v>2227</v>
      </c>
      <c r="AZ3202">
        <v>5081</v>
      </c>
      <c r="BA3202" t="s">
        <v>2228</v>
      </c>
      <c r="BB3202" t="s">
        <v>2229</v>
      </c>
      <c r="BC3202">
        <v>1978</v>
      </c>
      <c r="BD3202" t="s">
        <v>90</v>
      </c>
    </row>
    <row r="3203" spans="1:56" x14ac:dyDescent="0.35">
      <c r="A3203">
        <v>7758987</v>
      </c>
      <c r="B3203" t="s">
        <v>2219</v>
      </c>
      <c r="D3203" t="s">
        <v>57</v>
      </c>
      <c r="E3203" t="s">
        <v>86</v>
      </c>
      <c r="F3203" t="s">
        <v>58</v>
      </c>
      <c r="G3203" t="s">
        <v>59</v>
      </c>
      <c r="H3203" t="s">
        <v>60</v>
      </c>
      <c r="I3203" t="s">
        <v>188</v>
      </c>
      <c r="J3203" t="s">
        <v>289</v>
      </c>
      <c r="K3203" t="s">
        <v>184</v>
      </c>
      <c r="L3203" t="s">
        <v>62</v>
      </c>
      <c r="M3203" t="s">
        <v>63</v>
      </c>
      <c r="N3203" t="s">
        <v>64</v>
      </c>
      <c r="O3203">
        <v>6</v>
      </c>
      <c r="P3203" t="s">
        <v>201</v>
      </c>
      <c r="R3203">
        <v>1.2444701499999999</v>
      </c>
      <c r="T3203">
        <v>0.95355504999999996</v>
      </c>
      <c r="V3203">
        <v>1.6323569499999999</v>
      </c>
      <c r="W3203" t="s">
        <v>66</v>
      </c>
      <c r="X3203" t="s">
        <v>67</v>
      </c>
      <c r="Y3203" t="s">
        <v>67</v>
      </c>
      <c r="Z3203" t="s">
        <v>68</v>
      </c>
      <c r="AB3203">
        <v>4</v>
      </c>
      <c r="AC3203" t="s">
        <v>61</v>
      </c>
      <c r="AJ3203" t="s">
        <v>69</v>
      </c>
      <c r="AY3203" t="s">
        <v>2233</v>
      </c>
      <c r="AZ3203">
        <v>76238</v>
      </c>
      <c r="BA3203" t="s">
        <v>2234</v>
      </c>
      <c r="BB3203" t="s">
        <v>2235</v>
      </c>
      <c r="BC3203">
        <v>1996</v>
      </c>
      <c r="BD3203" t="s">
        <v>185</v>
      </c>
    </row>
    <row r="3204" spans="1:56" x14ac:dyDescent="0.35">
      <c r="A3204">
        <v>7758987</v>
      </c>
      <c r="B3204" t="s">
        <v>2219</v>
      </c>
      <c r="D3204" t="s">
        <v>57</v>
      </c>
      <c r="E3204" t="s">
        <v>86</v>
      </c>
      <c r="F3204" t="s">
        <v>58</v>
      </c>
      <c r="G3204" t="s">
        <v>59</v>
      </c>
      <c r="H3204" t="s">
        <v>60</v>
      </c>
      <c r="J3204" t="s">
        <v>289</v>
      </c>
      <c r="K3204" t="s">
        <v>184</v>
      </c>
      <c r="L3204" t="s">
        <v>62</v>
      </c>
      <c r="M3204" t="s">
        <v>63</v>
      </c>
      <c r="N3204" t="s">
        <v>64</v>
      </c>
      <c r="P3204" t="s">
        <v>201</v>
      </c>
      <c r="R3204">
        <v>4.7699999999999999E-2</v>
      </c>
      <c r="W3204" t="s">
        <v>66</v>
      </c>
      <c r="X3204" t="s">
        <v>67</v>
      </c>
      <c r="Y3204" t="s">
        <v>67</v>
      </c>
      <c r="Z3204" t="s">
        <v>68</v>
      </c>
      <c r="AB3204">
        <v>4</v>
      </c>
      <c r="AC3204" t="s">
        <v>61</v>
      </c>
      <c r="AJ3204" t="s">
        <v>69</v>
      </c>
      <c r="AY3204" t="s">
        <v>2249</v>
      </c>
      <c r="AZ3204">
        <v>45189</v>
      </c>
      <c r="BA3204" t="s">
        <v>2250</v>
      </c>
      <c r="BB3204" t="s">
        <v>2251</v>
      </c>
      <c r="BC3204">
        <v>1996</v>
      </c>
      <c r="BD3204" t="s">
        <v>185</v>
      </c>
    </row>
    <row r="3205" spans="1:56" x14ac:dyDescent="0.35">
      <c r="A3205">
        <v>7758987</v>
      </c>
      <c r="B3205" t="s">
        <v>2219</v>
      </c>
      <c r="D3205" t="s">
        <v>57</v>
      </c>
      <c r="E3205" t="s">
        <v>86</v>
      </c>
      <c r="F3205" t="s">
        <v>58</v>
      </c>
      <c r="G3205" t="s">
        <v>59</v>
      </c>
      <c r="H3205" t="s">
        <v>60</v>
      </c>
      <c r="J3205" t="s">
        <v>86</v>
      </c>
      <c r="L3205" t="s">
        <v>62</v>
      </c>
      <c r="M3205" t="s">
        <v>63</v>
      </c>
      <c r="N3205" t="s">
        <v>64</v>
      </c>
      <c r="P3205" t="s">
        <v>1296</v>
      </c>
      <c r="R3205">
        <v>0.92</v>
      </c>
      <c r="W3205" t="s">
        <v>66</v>
      </c>
      <c r="X3205" t="s">
        <v>67</v>
      </c>
      <c r="Y3205" t="s">
        <v>67</v>
      </c>
      <c r="Z3205" t="s">
        <v>68</v>
      </c>
      <c r="AB3205">
        <v>4</v>
      </c>
      <c r="AC3205" t="s">
        <v>61</v>
      </c>
      <c r="AJ3205" t="s">
        <v>69</v>
      </c>
      <c r="AQ3205" t="s">
        <v>69</v>
      </c>
      <c r="AY3205" t="s">
        <v>2223</v>
      </c>
      <c r="AZ3205">
        <v>2071</v>
      </c>
      <c r="BA3205" t="s">
        <v>2224</v>
      </c>
      <c r="BB3205" t="s">
        <v>2225</v>
      </c>
      <c r="BC3205">
        <v>1976</v>
      </c>
      <c r="BD3205" t="s">
        <v>2296</v>
      </c>
    </row>
    <row r="3206" spans="1:56" x14ac:dyDescent="0.35">
      <c r="A3206">
        <v>7758987</v>
      </c>
      <c r="B3206" t="s">
        <v>2219</v>
      </c>
      <c r="D3206" t="s">
        <v>57</v>
      </c>
      <c r="E3206" t="s">
        <v>86</v>
      </c>
      <c r="F3206" t="s">
        <v>58</v>
      </c>
      <c r="G3206" t="s">
        <v>59</v>
      </c>
      <c r="H3206" t="s">
        <v>60</v>
      </c>
      <c r="J3206" t="s">
        <v>86</v>
      </c>
      <c r="L3206" t="s">
        <v>62</v>
      </c>
      <c r="M3206" t="s">
        <v>63</v>
      </c>
      <c r="N3206" t="s">
        <v>64</v>
      </c>
      <c r="P3206" t="s">
        <v>1296</v>
      </c>
      <c r="R3206">
        <v>1.0900000000000001</v>
      </c>
      <c r="W3206" t="s">
        <v>66</v>
      </c>
      <c r="X3206" t="s">
        <v>67</v>
      </c>
      <c r="Y3206" t="s">
        <v>67</v>
      </c>
      <c r="Z3206" t="s">
        <v>68</v>
      </c>
      <c r="AB3206">
        <v>4</v>
      </c>
      <c r="AC3206" t="s">
        <v>61</v>
      </c>
      <c r="AJ3206" t="s">
        <v>69</v>
      </c>
      <c r="AQ3206" t="s">
        <v>69</v>
      </c>
      <c r="AY3206" t="s">
        <v>2223</v>
      </c>
      <c r="AZ3206">
        <v>2071</v>
      </c>
      <c r="BA3206" t="s">
        <v>2224</v>
      </c>
      <c r="BB3206" t="s">
        <v>2225</v>
      </c>
      <c r="BC3206">
        <v>1976</v>
      </c>
      <c r="BD3206" t="s">
        <v>2297</v>
      </c>
    </row>
    <row r="3207" spans="1:56" x14ac:dyDescent="0.35">
      <c r="A3207">
        <v>7758987</v>
      </c>
      <c r="B3207" t="s">
        <v>2219</v>
      </c>
      <c r="D3207" t="s">
        <v>57</v>
      </c>
      <c r="E3207" t="s">
        <v>86</v>
      </c>
      <c r="F3207" t="s">
        <v>58</v>
      </c>
      <c r="G3207" t="s">
        <v>59</v>
      </c>
      <c r="H3207" t="s">
        <v>60</v>
      </c>
      <c r="I3207" t="s">
        <v>188</v>
      </c>
      <c r="J3207" t="s">
        <v>289</v>
      </c>
      <c r="K3207" t="s">
        <v>184</v>
      </c>
      <c r="L3207" t="s">
        <v>62</v>
      </c>
      <c r="M3207" t="s">
        <v>63</v>
      </c>
      <c r="N3207" t="s">
        <v>64</v>
      </c>
      <c r="P3207" t="s">
        <v>201</v>
      </c>
      <c r="R3207">
        <v>3.1899999999999998E-2</v>
      </c>
      <c r="T3207">
        <v>2.5600000000000001E-2</v>
      </c>
      <c r="V3207">
        <v>3.9800000000000002E-2</v>
      </c>
      <c r="W3207" t="s">
        <v>66</v>
      </c>
      <c r="X3207" t="s">
        <v>67</v>
      </c>
      <c r="Y3207" t="s">
        <v>67</v>
      </c>
      <c r="Z3207" t="s">
        <v>68</v>
      </c>
      <c r="AB3207">
        <v>4</v>
      </c>
      <c r="AC3207" t="s">
        <v>61</v>
      </c>
      <c r="AJ3207" t="s">
        <v>69</v>
      </c>
      <c r="AY3207" t="s">
        <v>2230</v>
      </c>
      <c r="AZ3207">
        <v>17105</v>
      </c>
      <c r="BA3207" t="s">
        <v>2231</v>
      </c>
      <c r="BB3207" t="s">
        <v>2232</v>
      </c>
      <c r="BC3207">
        <v>1996</v>
      </c>
      <c r="BD3207" t="s">
        <v>185</v>
      </c>
    </row>
    <row r="3208" spans="1:56" x14ac:dyDescent="0.35">
      <c r="A3208">
        <v>7758987</v>
      </c>
      <c r="B3208" t="s">
        <v>2219</v>
      </c>
      <c r="D3208" t="s">
        <v>85</v>
      </c>
      <c r="E3208" t="s">
        <v>86</v>
      </c>
      <c r="F3208" t="s">
        <v>58</v>
      </c>
      <c r="G3208" t="s">
        <v>59</v>
      </c>
      <c r="H3208" t="s">
        <v>60</v>
      </c>
      <c r="J3208" t="s">
        <v>1102</v>
      </c>
      <c r="K3208" t="s">
        <v>184</v>
      </c>
      <c r="L3208" t="s">
        <v>62</v>
      </c>
      <c r="M3208" t="s">
        <v>63</v>
      </c>
      <c r="N3208" t="s">
        <v>64</v>
      </c>
      <c r="O3208">
        <v>9</v>
      </c>
      <c r="P3208" t="s">
        <v>201</v>
      </c>
      <c r="R3208">
        <v>0.23</v>
      </c>
      <c r="W3208" t="s">
        <v>66</v>
      </c>
      <c r="X3208" t="s">
        <v>67</v>
      </c>
      <c r="Y3208" t="s">
        <v>67</v>
      </c>
      <c r="Z3208" t="s">
        <v>68</v>
      </c>
      <c r="AB3208">
        <v>4</v>
      </c>
      <c r="AC3208" t="s">
        <v>61</v>
      </c>
      <c r="AJ3208" t="s">
        <v>69</v>
      </c>
      <c r="AY3208" t="s">
        <v>2298</v>
      </c>
      <c r="AZ3208">
        <v>115858</v>
      </c>
      <c r="BA3208" t="s">
        <v>2299</v>
      </c>
      <c r="BB3208" t="s">
        <v>2300</v>
      </c>
      <c r="BC3208">
        <v>2008</v>
      </c>
      <c r="BD3208" t="s">
        <v>185</v>
      </c>
    </row>
    <row r="3209" spans="1:56" x14ac:dyDescent="0.35">
      <c r="A3209">
        <v>7758987</v>
      </c>
      <c r="B3209" t="s">
        <v>2219</v>
      </c>
      <c r="D3209" t="s">
        <v>57</v>
      </c>
      <c r="E3209" t="s">
        <v>86</v>
      </c>
      <c r="F3209" t="s">
        <v>58</v>
      </c>
      <c r="G3209" t="s">
        <v>59</v>
      </c>
      <c r="H3209" t="s">
        <v>60</v>
      </c>
      <c r="I3209" t="s">
        <v>188</v>
      </c>
      <c r="J3209" t="s">
        <v>289</v>
      </c>
      <c r="K3209" t="s">
        <v>184</v>
      </c>
      <c r="L3209" t="s">
        <v>74</v>
      </c>
      <c r="M3209" t="s">
        <v>63</v>
      </c>
      <c r="N3209" t="s">
        <v>64</v>
      </c>
      <c r="P3209" t="s">
        <v>201</v>
      </c>
      <c r="R3209">
        <v>0.77577359999999995</v>
      </c>
      <c r="T3209">
        <v>0.67880189999999996</v>
      </c>
      <c r="V3209">
        <v>0.88890725000000004</v>
      </c>
      <c r="W3209" t="s">
        <v>66</v>
      </c>
      <c r="X3209" t="s">
        <v>67</v>
      </c>
      <c r="Y3209" t="s">
        <v>67</v>
      </c>
      <c r="Z3209" t="s">
        <v>68</v>
      </c>
      <c r="AB3209">
        <v>4</v>
      </c>
      <c r="AC3209" t="s">
        <v>61</v>
      </c>
      <c r="AJ3209" t="s">
        <v>69</v>
      </c>
      <c r="AY3209" t="s">
        <v>2220</v>
      </c>
      <c r="AZ3209">
        <v>16342</v>
      </c>
      <c r="BA3209" t="s">
        <v>2221</v>
      </c>
      <c r="BB3209" t="s">
        <v>2222</v>
      </c>
      <c r="BC3209">
        <v>1996</v>
      </c>
      <c r="BD3209" t="s">
        <v>185</v>
      </c>
    </row>
    <row r="3210" spans="1:56" x14ac:dyDescent="0.35">
      <c r="A3210">
        <v>7758987</v>
      </c>
      <c r="B3210" t="s">
        <v>2219</v>
      </c>
      <c r="D3210" t="s">
        <v>57</v>
      </c>
      <c r="E3210" t="s">
        <v>86</v>
      </c>
      <c r="F3210" t="s">
        <v>58</v>
      </c>
      <c r="G3210" t="s">
        <v>59</v>
      </c>
      <c r="H3210" t="s">
        <v>60</v>
      </c>
      <c r="J3210" t="s">
        <v>86</v>
      </c>
      <c r="L3210" t="s">
        <v>62</v>
      </c>
      <c r="M3210" t="s">
        <v>63</v>
      </c>
      <c r="N3210" t="s">
        <v>64</v>
      </c>
      <c r="O3210">
        <v>6</v>
      </c>
      <c r="P3210" t="s">
        <v>201</v>
      </c>
      <c r="R3210">
        <v>0.67520000000000002</v>
      </c>
      <c r="W3210" t="s">
        <v>66</v>
      </c>
      <c r="X3210" t="s">
        <v>67</v>
      </c>
      <c r="Y3210" t="s">
        <v>67</v>
      </c>
      <c r="Z3210" t="s">
        <v>68</v>
      </c>
      <c r="AB3210">
        <v>4</v>
      </c>
      <c r="AC3210" t="s">
        <v>61</v>
      </c>
      <c r="AJ3210" t="s">
        <v>69</v>
      </c>
      <c r="AY3210" t="s">
        <v>2036</v>
      </c>
      <c r="AZ3210">
        <v>65821</v>
      </c>
      <c r="BA3210" t="s">
        <v>2037</v>
      </c>
      <c r="BB3210" t="s">
        <v>2038</v>
      </c>
      <c r="BC3210">
        <v>2002</v>
      </c>
      <c r="BD3210" t="s">
        <v>90</v>
      </c>
    </row>
    <row r="3211" spans="1:56" x14ac:dyDescent="0.35">
      <c r="A3211">
        <v>7758987</v>
      </c>
      <c r="B3211" t="s">
        <v>2219</v>
      </c>
      <c r="D3211" t="s">
        <v>57</v>
      </c>
      <c r="E3211" t="s">
        <v>86</v>
      </c>
      <c r="F3211" t="s">
        <v>58</v>
      </c>
      <c r="G3211" t="s">
        <v>59</v>
      </c>
      <c r="H3211" t="s">
        <v>60</v>
      </c>
      <c r="I3211" t="s">
        <v>188</v>
      </c>
      <c r="J3211" t="s">
        <v>289</v>
      </c>
      <c r="K3211" t="s">
        <v>184</v>
      </c>
      <c r="L3211" t="s">
        <v>62</v>
      </c>
      <c r="M3211" t="s">
        <v>63</v>
      </c>
      <c r="N3211" t="s">
        <v>64</v>
      </c>
      <c r="O3211">
        <v>6</v>
      </c>
      <c r="P3211" t="s">
        <v>201</v>
      </c>
      <c r="R3211">
        <v>0.51718240000000004</v>
      </c>
      <c r="T3211">
        <v>0.40404875000000001</v>
      </c>
      <c r="V3211">
        <v>0.69496385000000005</v>
      </c>
      <c r="W3211" t="s">
        <v>66</v>
      </c>
      <c r="X3211" t="s">
        <v>67</v>
      </c>
      <c r="Y3211" t="s">
        <v>67</v>
      </c>
      <c r="Z3211" t="s">
        <v>68</v>
      </c>
      <c r="AB3211">
        <v>4</v>
      </c>
      <c r="AC3211" t="s">
        <v>61</v>
      </c>
      <c r="AJ3211" t="s">
        <v>69</v>
      </c>
      <c r="AY3211" t="s">
        <v>2233</v>
      </c>
      <c r="AZ3211">
        <v>76238</v>
      </c>
      <c r="BA3211" t="s">
        <v>2234</v>
      </c>
      <c r="BB3211" t="s">
        <v>2235</v>
      </c>
      <c r="BC3211">
        <v>1996</v>
      </c>
      <c r="BD3211" t="s">
        <v>185</v>
      </c>
    </row>
    <row r="3212" spans="1:56" x14ac:dyDescent="0.35">
      <c r="A3212">
        <v>7758987</v>
      </c>
      <c r="B3212" t="s">
        <v>2219</v>
      </c>
      <c r="D3212" t="s">
        <v>57</v>
      </c>
      <c r="E3212" t="s">
        <v>86</v>
      </c>
      <c r="F3212" t="s">
        <v>58</v>
      </c>
      <c r="G3212" t="s">
        <v>59</v>
      </c>
      <c r="H3212" t="s">
        <v>60</v>
      </c>
      <c r="I3212" t="s">
        <v>188</v>
      </c>
      <c r="J3212" t="s">
        <v>289</v>
      </c>
      <c r="K3212" t="s">
        <v>184</v>
      </c>
      <c r="L3212" t="s">
        <v>62</v>
      </c>
      <c r="M3212" t="s">
        <v>63</v>
      </c>
      <c r="N3212" t="s">
        <v>64</v>
      </c>
      <c r="O3212">
        <v>6</v>
      </c>
      <c r="P3212" t="s">
        <v>201</v>
      </c>
      <c r="R3212">
        <v>3.1677422000000002</v>
      </c>
      <c r="T3212">
        <v>2.4889402999999999</v>
      </c>
      <c r="V3212">
        <v>4.0243255500000004</v>
      </c>
      <c r="W3212" t="s">
        <v>66</v>
      </c>
      <c r="X3212" t="s">
        <v>67</v>
      </c>
      <c r="Y3212" t="s">
        <v>67</v>
      </c>
      <c r="Z3212" t="s">
        <v>68</v>
      </c>
      <c r="AB3212">
        <v>4</v>
      </c>
      <c r="AC3212" t="s">
        <v>61</v>
      </c>
      <c r="AJ3212" t="s">
        <v>69</v>
      </c>
      <c r="AY3212" t="s">
        <v>2233</v>
      </c>
      <c r="AZ3212">
        <v>76238</v>
      </c>
      <c r="BA3212" t="s">
        <v>2234</v>
      </c>
      <c r="BB3212" t="s">
        <v>2235</v>
      </c>
      <c r="BC3212">
        <v>1996</v>
      </c>
      <c r="BD3212" t="s">
        <v>185</v>
      </c>
    </row>
    <row r="3213" spans="1:56" x14ac:dyDescent="0.35">
      <c r="A3213">
        <v>7758987</v>
      </c>
      <c r="B3213" t="s">
        <v>2219</v>
      </c>
      <c r="D3213" t="s">
        <v>57</v>
      </c>
      <c r="E3213" t="s">
        <v>86</v>
      </c>
      <c r="F3213" t="s">
        <v>58</v>
      </c>
      <c r="G3213" t="s">
        <v>59</v>
      </c>
      <c r="H3213" t="s">
        <v>60</v>
      </c>
      <c r="J3213" t="s">
        <v>86</v>
      </c>
      <c r="L3213" t="s">
        <v>74</v>
      </c>
      <c r="M3213" t="s">
        <v>63</v>
      </c>
      <c r="N3213" t="s">
        <v>64</v>
      </c>
      <c r="P3213" t="s">
        <v>1296</v>
      </c>
      <c r="R3213">
        <v>0.54</v>
      </c>
      <c r="W3213" t="s">
        <v>66</v>
      </c>
      <c r="X3213" t="s">
        <v>67</v>
      </c>
      <c r="Y3213" t="s">
        <v>67</v>
      </c>
      <c r="Z3213" t="s">
        <v>68</v>
      </c>
      <c r="AB3213">
        <v>4</v>
      </c>
      <c r="AC3213" t="s">
        <v>61</v>
      </c>
      <c r="AJ3213" t="s">
        <v>69</v>
      </c>
      <c r="AQ3213" t="s">
        <v>69</v>
      </c>
      <c r="AY3213" t="s">
        <v>2223</v>
      </c>
      <c r="AZ3213">
        <v>2071</v>
      </c>
      <c r="BA3213" t="s">
        <v>2224</v>
      </c>
      <c r="BB3213" t="s">
        <v>2225</v>
      </c>
      <c r="BC3213">
        <v>1976</v>
      </c>
      <c r="BD3213" t="s">
        <v>2039</v>
      </c>
    </row>
    <row r="3214" spans="1:56" x14ac:dyDescent="0.35">
      <c r="A3214">
        <v>7758987</v>
      </c>
      <c r="B3214" t="s">
        <v>2219</v>
      </c>
      <c r="D3214" t="s">
        <v>57</v>
      </c>
      <c r="E3214" t="s">
        <v>86</v>
      </c>
      <c r="F3214" t="s">
        <v>58</v>
      </c>
      <c r="G3214" t="s">
        <v>59</v>
      </c>
      <c r="H3214" t="s">
        <v>60</v>
      </c>
      <c r="I3214" t="s">
        <v>188</v>
      </c>
      <c r="J3214" t="s">
        <v>289</v>
      </c>
      <c r="K3214" t="s">
        <v>184</v>
      </c>
      <c r="L3214" t="s">
        <v>62</v>
      </c>
      <c r="M3214" t="s">
        <v>63</v>
      </c>
      <c r="N3214" t="s">
        <v>64</v>
      </c>
      <c r="O3214">
        <v>6</v>
      </c>
      <c r="P3214" t="s">
        <v>201</v>
      </c>
      <c r="R3214">
        <v>0.38788679999999998</v>
      </c>
      <c r="T3214">
        <v>0.323239</v>
      </c>
      <c r="V3214">
        <v>0.48485850000000003</v>
      </c>
      <c r="W3214" t="s">
        <v>66</v>
      </c>
      <c r="X3214" t="s">
        <v>67</v>
      </c>
      <c r="Y3214" t="s">
        <v>67</v>
      </c>
      <c r="Z3214" t="s">
        <v>68</v>
      </c>
      <c r="AB3214">
        <v>4</v>
      </c>
      <c r="AC3214" t="s">
        <v>61</v>
      </c>
      <c r="AJ3214" t="s">
        <v>69</v>
      </c>
      <c r="AY3214" t="s">
        <v>2233</v>
      </c>
      <c r="AZ3214">
        <v>76238</v>
      </c>
      <c r="BA3214" t="s">
        <v>2234</v>
      </c>
      <c r="BB3214" t="s">
        <v>2235</v>
      </c>
      <c r="BC3214">
        <v>1996</v>
      </c>
      <c r="BD3214" t="s">
        <v>185</v>
      </c>
    </row>
    <row r="3215" spans="1:56" x14ac:dyDescent="0.35">
      <c r="A3215">
        <v>7758987</v>
      </c>
      <c r="B3215" t="s">
        <v>2219</v>
      </c>
      <c r="D3215" t="s">
        <v>57</v>
      </c>
      <c r="E3215" t="s">
        <v>86</v>
      </c>
      <c r="F3215" t="s">
        <v>58</v>
      </c>
      <c r="G3215" t="s">
        <v>59</v>
      </c>
      <c r="H3215" t="s">
        <v>60</v>
      </c>
      <c r="I3215" t="s">
        <v>188</v>
      </c>
      <c r="J3215" t="s">
        <v>289</v>
      </c>
      <c r="K3215" t="s">
        <v>184</v>
      </c>
      <c r="L3215" t="s">
        <v>62</v>
      </c>
      <c r="M3215" t="s">
        <v>63</v>
      </c>
      <c r="N3215" t="s">
        <v>64</v>
      </c>
      <c r="O3215">
        <v>6</v>
      </c>
      <c r="P3215" t="s">
        <v>201</v>
      </c>
      <c r="R3215">
        <v>0.51718240000000004</v>
      </c>
      <c r="T3215">
        <v>0.42021069999999999</v>
      </c>
      <c r="V3215">
        <v>0.63031605000000002</v>
      </c>
      <c r="W3215" t="s">
        <v>66</v>
      </c>
      <c r="X3215" t="s">
        <v>67</v>
      </c>
      <c r="Y3215" t="s">
        <v>67</v>
      </c>
      <c r="Z3215" t="s">
        <v>68</v>
      </c>
      <c r="AB3215">
        <v>4</v>
      </c>
      <c r="AC3215" t="s">
        <v>61</v>
      </c>
      <c r="AJ3215" t="s">
        <v>69</v>
      </c>
      <c r="AY3215" t="s">
        <v>2233</v>
      </c>
      <c r="AZ3215">
        <v>76238</v>
      </c>
      <c r="BA3215" t="s">
        <v>2234</v>
      </c>
      <c r="BB3215" t="s">
        <v>2235</v>
      </c>
      <c r="BC3215">
        <v>1996</v>
      </c>
      <c r="BD3215" t="s">
        <v>185</v>
      </c>
    </row>
    <row r="3216" spans="1:56" x14ac:dyDescent="0.35">
      <c r="A3216">
        <v>7758987</v>
      </c>
      <c r="B3216" t="s">
        <v>2219</v>
      </c>
      <c r="C3216" t="s">
        <v>386</v>
      </c>
      <c r="D3216" t="s">
        <v>85</v>
      </c>
      <c r="E3216" t="s">
        <v>86</v>
      </c>
      <c r="F3216" t="s">
        <v>58</v>
      </c>
      <c r="G3216" t="s">
        <v>59</v>
      </c>
      <c r="H3216" t="s">
        <v>60</v>
      </c>
      <c r="J3216" t="s">
        <v>86</v>
      </c>
      <c r="L3216" t="s">
        <v>62</v>
      </c>
      <c r="M3216" t="s">
        <v>63</v>
      </c>
      <c r="N3216" t="s">
        <v>64</v>
      </c>
      <c r="P3216" t="s">
        <v>201</v>
      </c>
      <c r="R3216">
        <v>0.21</v>
      </c>
      <c r="T3216">
        <v>0.16</v>
      </c>
      <c r="V3216">
        <v>0.28000000000000003</v>
      </c>
      <c r="W3216" t="s">
        <v>66</v>
      </c>
      <c r="X3216" t="s">
        <v>67</v>
      </c>
      <c r="Y3216" t="s">
        <v>67</v>
      </c>
      <c r="Z3216" t="s">
        <v>68</v>
      </c>
      <c r="AB3216">
        <v>4</v>
      </c>
      <c r="AC3216" t="s">
        <v>61</v>
      </c>
      <c r="AJ3216" t="s">
        <v>69</v>
      </c>
      <c r="AY3216" t="s">
        <v>2131</v>
      </c>
      <c r="AZ3216">
        <v>10237</v>
      </c>
      <c r="BA3216" t="s">
        <v>2132</v>
      </c>
      <c r="BB3216" t="s">
        <v>2133</v>
      </c>
      <c r="BC3216">
        <v>1983</v>
      </c>
      <c r="BD3216" t="s">
        <v>90</v>
      </c>
    </row>
    <row r="3217" spans="1:56" x14ac:dyDescent="0.35">
      <c r="A3217">
        <v>7758987</v>
      </c>
      <c r="B3217" t="s">
        <v>2219</v>
      </c>
      <c r="D3217" t="s">
        <v>57</v>
      </c>
      <c r="E3217" t="s">
        <v>86</v>
      </c>
      <c r="F3217" t="s">
        <v>58</v>
      </c>
      <c r="G3217" t="s">
        <v>59</v>
      </c>
      <c r="H3217" t="s">
        <v>60</v>
      </c>
      <c r="I3217" t="s">
        <v>188</v>
      </c>
      <c r="J3217" t="s">
        <v>289</v>
      </c>
      <c r="K3217" t="s">
        <v>184</v>
      </c>
      <c r="L3217" t="s">
        <v>62</v>
      </c>
      <c r="M3217" t="s">
        <v>63</v>
      </c>
      <c r="N3217" t="s">
        <v>64</v>
      </c>
      <c r="O3217">
        <v>6</v>
      </c>
      <c r="P3217" t="s">
        <v>201</v>
      </c>
      <c r="R3217">
        <v>1.89094815</v>
      </c>
      <c r="T3217">
        <v>1.7131666999999999</v>
      </c>
      <c r="V3217">
        <v>2.08489155</v>
      </c>
      <c r="W3217" t="s">
        <v>66</v>
      </c>
      <c r="X3217" t="s">
        <v>67</v>
      </c>
      <c r="Y3217" t="s">
        <v>67</v>
      </c>
      <c r="Z3217" t="s">
        <v>68</v>
      </c>
      <c r="AB3217">
        <v>4</v>
      </c>
      <c r="AC3217" t="s">
        <v>61</v>
      </c>
      <c r="AJ3217" t="s">
        <v>69</v>
      </c>
      <c r="AY3217" t="s">
        <v>2233</v>
      </c>
      <c r="AZ3217">
        <v>76238</v>
      </c>
      <c r="BA3217" t="s">
        <v>2234</v>
      </c>
      <c r="BB3217" t="s">
        <v>2235</v>
      </c>
      <c r="BC3217">
        <v>1996</v>
      </c>
      <c r="BD3217" t="s">
        <v>185</v>
      </c>
    </row>
    <row r="3218" spans="1:56" x14ac:dyDescent="0.35">
      <c r="A3218">
        <v>7758987</v>
      </c>
      <c r="B3218" t="s">
        <v>2219</v>
      </c>
      <c r="D3218" t="s">
        <v>57</v>
      </c>
      <c r="E3218" t="s">
        <v>86</v>
      </c>
      <c r="F3218" t="s">
        <v>58</v>
      </c>
      <c r="G3218" t="s">
        <v>59</v>
      </c>
      <c r="H3218" t="s">
        <v>60</v>
      </c>
      <c r="I3218" t="s">
        <v>188</v>
      </c>
      <c r="J3218" t="s">
        <v>289</v>
      </c>
      <c r="K3218" t="s">
        <v>184</v>
      </c>
      <c r="L3218" t="s">
        <v>74</v>
      </c>
      <c r="M3218" t="s">
        <v>63</v>
      </c>
      <c r="N3218" t="s">
        <v>64</v>
      </c>
      <c r="P3218" t="s">
        <v>201</v>
      </c>
      <c r="R3218">
        <v>0.28283412499999999</v>
      </c>
      <c r="W3218" t="s">
        <v>66</v>
      </c>
      <c r="X3218" t="s">
        <v>67</v>
      </c>
      <c r="Y3218" t="s">
        <v>67</v>
      </c>
      <c r="Z3218" t="s">
        <v>68</v>
      </c>
      <c r="AB3218">
        <v>4</v>
      </c>
      <c r="AC3218" t="s">
        <v>61</v>
      </c>
      <c r="AJ3218" t="s">
        <v>69</v>
      </c>
      <c r="AY3218" t="s">
        <v>2220</v>
      </c>
      <c r="AZ3218">
        <v>16342</v>
      </c>
      <c r="BA3218" t="s">
        <v>2221</v>
      </c>
      <c r="BB3218" t="s">
        <v>2222</v>
      </c>
      <c r="BC3218">
        <v>1996</v>
      </c>
      <c r="BD3218" t="s">
        <v>185</v>
      </c>
    </row>
    <row r="3219" spans="1:56" x14ac:dyDescent="0.35">
      <c r="A3219">
        <v>7758987</v>
      </c>
      <c r="B3219" t="s">
        <v>2219</v>
      </c>
      <c r="D3219" t="s">
        <v>57</v>
      </c>
      <c r="E3219" t="s">
        <v>86</v>
      </c>
      <c r="F3219" t="s">
        <v>58</v>
      </c>
      <c r="G3219" t="s">
        <v>59</v>
      </c>
      <c r="H3219" t="s">
        <v>60</v>
      </c>
      <c r="I3219" t="s">
        <v>188</v>
      </c>
      <c r="J3219" t="s">
        <v>289</v>
      </c>
      <c r="K3219" t="s">
        <v>184</v>
      </c>
      <c r="L3219" t="s">
        <v>62</v>
      </c>
      <c r="M3219" t="s">
        <v>63</v>
      </c>
      <c r="N3219" t="s">
        <v>64</v>
      </c>
      <c r="O3219">
        <v>6</v>
      </c>
      <c r="P3219" t="s">
        <v>201</v>
      </c>
      <c r="R3219">
        <v>0.67880189999999996</v>
      </c>
      <c r="T3219">
        <v>0.61415410000000004</v>
      </c>
      <c r="V3219">
        <v>0.74344969999999999</v>
      </c>
      <c r="W3219" t="s">
        <v>66</v>
      </c>
      <c r="X3219" t="s">
        <v>67</v>
      </c>
      <c r="Y3219" t="s">
        <v>67</v>
      </c>
      <c r="Z3219" t="s">
        <v>68</v>
      </c>
      <c r="AB3219">
        <v>4</v>
      </c>
      <c r="AC3219" t="s">
        <v>61</v>
      </c>
      <c r="AJ3219" t="s">
        <v>69</v>
      </c>
      <c r="AY3219" t="s">
        <v>2233</v>
      </c>
      <c r="AZ3219">
        <v>76238</v>
      </c>
      <c r="BA3219" t="s">
        <v>2234</v>
      </c>
      <c r="BB3219" t="s">
        <v>2235</v>
      </c>
      <c r="BC3219">
        <v>1996</v>
      </c>
      <c r="BD3219" t="s">
        <v>185</v>
      </c>
    </row>
    <row r="3220" spans="1:56" x14ac:dyDescent="0.35">
      <c r="A3220">
        <v>7758987</v>
      </c>
      <c r="B3220" t="s">
        <v>2219</v>
      </c>
      <c r="D3220" t="s">
        <v>85</v>
      </c>
      <c r="E3220" t="s">
        <v>86</v>
      </c>
      <c r="F3220" t="s">
        <v>58</v>
      </c>
      <c r="G3220" t="s">
        <v>59</v>
      </c>
      <c r="H3220" t="s">
        <v>60</v>
      </c>
      <c r="J3220" t="s">
        <v>86</v>
      </c>
      <c r="L3220" t="s">
        <v>190</v>
      </c>
      <c r="M3220" t="s">
        <v>63</v>
      </c>
      <c r="N3220" t="s">
        <v>64</v>
      </c>
      <c r="P3220" t="s">
        <v>201</v>
      </c>
      <c r="R3220">
        <v>0.8</v>
      </c>
      <c r="W3220" t="s">
        <v>66</v>
      </c>
      <c r="X3220" t="s">
        <v>67</v>
      </c>
      <c r="Y3220" t="s">
        <v>67</v>
      </c>
      <c r="Z3220" t="s">
        <v>68</v>
      </c>
      <c r="AB3220">
        <v>4</v>
      </c>
      <c r="AC3220" t="s">
        <v>61</v>
      </c>
      <c r="AJ3220" t="s">
        <v>69</v>
      </c>
      <c r="AY3220" t="s">
        <v>2301</v>
      </c>
      <c r="AZ3220">
        <v>15904</v>
      </c>
      <c r="BA3220" t="s">
        <v>2302</v>
      </c>
      <c r="BB3220" t="s">
        <v>2303</v>
      </c>
      <c r="BC3220">
        <v>1995</v>
      </c>
      <c r="BD3220" t="s">
        <v>90</v>
      </c>
    </row>
    <row r="3221" spans="1:56" x14ac:dyDescent="0.35">
      <c r="A3221">
        <v>7758987</v>
      </c>
      <c r="B3221" t="s">
        <v>2219</v>
      </c>
      <c r="D3221" t="s">
        <v>57</v>
      </c>
      <c r="E3221" t="s">
        <v>86</v>
      </c>
      <c r="F3221" t="s">
        <v>58</v>
      </c>
      <c r="G3221" t="s">
        <v>59</v>
      </c>
      <c r="H3221" t="s">
        <v>60</v>
      </c>
      <c r="I3221" t="s">
        <v>177</v>
      </c>
      <c r="J3221" t="s">
        <v>505</v>
      </c>
      <c r="K3221" t="s">
        <v>61</v>
      </c>
      <c r="L3221" t="s">
        <v>62</v>
      </c>
      <c r="M3221" t="s">
        <v>63</v>
      </c>
      <c r="N3221" t="s">
        <v>64</v>
      </c>
      <c r="P3221" t="s">
        <v>201</v>
      </c>
      <c r="R3221">
        <v>4.7699999999999999E-2</v>
      </c>
      <c r="W3221" t="s">
        <v>66</v>
      </c>
      <c r="X3221" t="s">
        <v>67</v>
      </c>
      <c r="Y3221" t="s">
        <v>67</v>
      </c>
      <c r="Z3221" t="s">
        <v>68</v>
      </c>
      <c r="AB3221">
        <v>4</v>
      </c>
      <c r="AC3221" t="s">
        <v>61</v>
      </c>
      <c r="AJ3221" t="s">
        <v>69</v>
      </c>
      <c r="AY3221" t="s">
        <v>2236</v>
      </c>
      <c r="AZ3221">
        <v>8034</v>
      </c>
      <c r="BA3221" t="s">
        <v>2237</v>
      </c>
      <c r="BB3221" t="s">
        <v>2238</v>
      </c>
      <c r="BC3221">
        <v>1993</v>
      </c>
      <c r="BD3221" t="s">
        <v>73</v>
      </c>
    </row>
    <row r="3222" spans="1:56" x14ac:dyDescent="0.35">
      <c r="A3222">
        <v>7758987</v>
      </c>
      <c r="B3222" t="s">
        <v>2219</v>
      </c>
      <c r="D3222" t="s">
        <v>57</v>
      </c>
      <c r="E3222" t="s">
        <v>86</v>
      </c>
      <c r="F3222" t="s">
        <v>58</v>
      </c>
      <c r="G3222" t="s">
        <v>59</v>
      </c>
      <c r="H3222" t="s">
        <v>60</v>
      </c>
      <c r="I3222" t="s">
        <v>188</v>
      </c>
      <c r="J3222" t="s">
        <v>289</v>
      </c>
      <c r="K3222" t="s">
        <v>184</v>
      </c>
      <c r="L3222" t="s">
        <v>74</v>
      </c>
      <c r="M3222" t="s">
        <v>63</v>
      </c>
      <c r="N3222" t="s">
        <v>64</v>
      </c>
      <c r="P3222" t="s">
        <v>201</v>
      </c>
      <c r="R3222">
        <v>5.9799215000000003E-2</v>
      </c>
      <c r="W3222" t="s">
        <v>66</v>
      </c>
      <c r="X3222" t="s">
        <v>67</v>
      </c>
      <c r="Y3222" t="s">
        <v>67</v>
      </c>
      <c r="Z3222" t="s">
        <v>68</v>
      </c>
      <c r="AB3222">
        <v>4</v>
      </c>
      <c r="AC3222" t="s">
        <v>61</v>
      </c>
      <c r="AJ3222" t="s">
        <v>69</v>
      </c>
      <c r="AY3222" t="s">
        <v>2220</v>
      </c>
      <c r="AZ3222">
        <v>16342</v>
      </c>
      <c r="BA3222" t="s">
        <v>2221</v>
      </c>
      <c r="BB3222" t="s">
        <v>2222</v>
      </c>
      <c r="BC3222">
        <v>1996</v>
      </c>
      <c r="BD3222" t="s">
        <v>185</v>
      </c>
    </row>
    <row r="3223" spans="1:56" x14ac:dyDescent="0.35">
      <c r="A3223">
        <v>7758987</v>
      </c>
      <c r="B3223" t="s">
        <v>2219</v>
      </c>
      <c r="D3223" t="s">
        <v>57</v>
      </c>
      <c r="E3223" t="s">
        <v>86</v>
      </c>
      <c r="F3223" t="s">
        <v>58</v>
      </c>
      <c r="G3223" t="s">
        <v>59</v>
      </c>
      <c r="H3223" t="s">
        <v>60</v>
      </c>
      <c r="I3223" t="s">
        <v>188</v>
      </c>
      <c r="J3223" t="s">
        <v>289</v>
      </c>
      <c r="K3223" t="s">
        <v>184</v>
      </c>
      <c r="L3223" t="s">
        <v>62</v>
      </c>
      <c r="M3223" t="s">
        <v>63</v>
      </c>
      <c r="N3223" t="s">
        <v>64</v>
      </c>
      <c r="O3223">
        <v>6</v>
      </c>
      <c r="P3223" t="s">
        <v>201</v>
      </c>
      <c r="R3223">
        <v>0.42021069999999999</v>
      </c>
      <c r="T3223">
        <v>0.35556290000000002</v>
      </c>
      <c r="V3223">
        <v>0.48485850000000003</v>
      </c>
      <c r="W3223" t="s">
        <v>66</v>
      </c>
      <c r="X3223" t="s">
        <v>67</v>
      </c>
      <c r="Y3223" t="s">
        <v>67</v>
      </c>
      <c r="Z3223" t="s">
        <v>68</v>
      </c>
      <c r="AB3223">
        <v>4</v>
      </c>
      <c r="AC3223" t="s">
        <v>61</v>
      </c>
      <c r="AJ3223" t="s">
        <v>69</v>
      </c>
      <c r="AY3223" t="s">
        <v>2233</v>
      </c>
      <c r="AZ3223">
        <v>76238</v>
      </c>
      <c r="BA3223" t="s">
        <v>2234</v>
      </c>
      <c r="BB3223" t="s">
        <v>2235</v>
      </c>
      <c r="BC3223">
        <v>1996</v>
      </c>
      <c r="BD3223" t="s">
        <v>185</v>
      </c>
    </row>
    <row r="3224" spans="1:56" x14ac:dyDescent="0.35">
      <c r="A3224">
        <v>7758987</v>
      </c>
      <c r="B3224" t="s">
        <v>2219</v>
      </c>
      <c r="D3224" t="s">
        <v>57</v>
      </c>
      <c r="E3224" t="s">
        <v>86</v>
      </c>
      <c r="F3224" t="s">
        <v>58</v>
      </c>
      <c r="G3224" t="s">
        <v>59</v>
      </c>
      <c r="H3224" t="s">
        <v>60</v>
      </c>
      <c r="I3224" t="s">
        <v>188</v>
      </c>
      <c r="J3224" t="s">
        <v>289</v>
      </c>
      <c r="K3224" t="s">
        <v>184</v>
      </c>
      <c r="L3224" t="s">
        <v>74</v>
      </c>
      <c r="M3224" t="s">
        <v>63</v>
      </c>
      <c r="N3224" t="s">
        <v>64</v>
      </c>
      <c r="P3224" t="s">
        <v>201</v>
      </c>
      <c r="R3224">
        <v>5.9799215000000003E-2</v>
      </c>
      <c r="T3224">
        <v>5.1718239999999999E-2</v>
      </c>
      <c r="V3224">
        <v>6.7880190000000007E-2</v>
      </c>
      <c r="W3224" t="s">
        <v>66</v>
      </c>
      <c r="X3224" t="s">
        <v>67</v>
      </c>
      <c r="Y3224" t="s">
        <v>67</v>
      </c>
      <c r="Z3224" t="s">
        <v>68</v>
      </c>
      <c r="AB3224">
        <v>4</v>
      </c>
      <c r="AC3224" t="s">
        <v>61</v>
      </c>
      <c r="AJ3224" t="s">
        <v>69</v>
      </c>
      <c r="AY3224" t="s">
        <v>2220</v>
      </c>
      <c r="AZ3224">
        <v>16342</v>
      </c>
      <c r="BA3224" t="s">
        <v>2221</v>
      </c>
      <c r="BB3224" t="s">
        <v>2222</v>
      </c>
      <c r="BC3224">
        <v>1996</v>
      </c>
      <c r="BD3224" t="s">
        <v>185</v>
      </c>
    </row>
    <row r="3225" spans="1:56" x14ac:dyDescent="0.35">
      <c r="A3225">
        <v>7758987</v>
      </c>
      <c r="B3225" t="s">
        <v>2219</v>
      </c>
      <c r="D3225" t="s">
        <v>57</v>
      </c>
      <c r="E3225" t="s">
        <v>86</v>
      </c>
      <c r="F3225" t="s">
        <v>58</v>
      </c>
      <c r="G3225" t="s">
        <v>59</v>
      </c>
      <c r="H3225" t="s">
        <v>60</v>
      </c>
      <c r="J3225" t="s">
        <v>86</v>
      </c>
      <c r="L3225" t="s">
        <v>62</v>
      </c>
      <c r="M3225" t="s">
        <v>63</v>
      </c>
      <c r="N3225" t="s">
        <v>64</v>
      </c>
      <c r="P3225" t="s">
        <v>1296</v>
      </c>
      <c r="R3225">
        <v>0.97</v>
      </c>
      <c r="W3225" t="s">
        <v>66</v>
      </c>
      <c r="X3225" t="s">
        <v>67</v>
      </c>
      <c r="Y3225" t="s">
        <v>67</v>
      </c>
      <c r="Z3225" t="s">
        <v>68</v>
      </c>
      <c r="AB3225">
        <v>4</v>
      </c>
      <c r="AC3225" t="s">
        <v>61</v>
      </c>
      <c r="AJ3225" t="s">
        <v>69</v>
      </c>
      <c r="AQ3225" t="s">
        <v>69</v>
      </c>
      <c r="AY3225" t="s">
        <v>2223</v>
      </c>
      <c r="AZ3225">
        <v>2071</v>
      </c>
      <c r="BA3225" t="s">
        <v>2224</v>
      </c>
      <c r="BB3225" t="s">
        <v>2225</v>
      </c>
      <c r="BC3225">
        <v>1976</v>
      </c>
      <c r="BD3225" t="s">
        <v>2304</v>
      </c>
    </row>
    <row r="3226" spans="1:56" x14ac:dyDescent="0.35">
      <c r="A3226">
        <v>7758987</v>
      </c>
      <c r="B3226" t="s">
        <v>2219</v>
      </c>
      <c r="D3226" t="s">
        <v>57</v>
      </c>
      <c r="E3226" t="s">
        <v>86</v>
      </c>
      <c r="F3226" t="s">
        <v>58</v>
      </c>
      <c r="G3226" t="s">
        <v>59</v>
      </c>
      <c r="H3226" t="s">
        <v>60</v>
      </c>
      <c r="I3226" t="s">
        <v>188</v>
      </c>
      <c r="J3226" t="s">
        <v>289</v>
      </c>
      <c r="K3226" t="s">
        <v>184</v>
      </c>
      <c r="L3226" t="s">
        <v>62</v>
      </c>
      <c r="M3226" t="s">
        <v>63</v>
      </c>
      <c r="N3226" t="s">
        <v>64</v>
      </c>
      <c r="O3226">
        <v>6</v>
      </c>
      <c r="P3226" t="s">
        <v>201</v>
      </c>
      <c r="R3226">
        <v>0.323239</v>
      </c>
      <c r="T3226">
        <v>0.25859120000000002</v>
      </c>
      <c r="V3226">
        <v>0.38788679999999998</v>
      </c>
      <c r="W3226" t="s">
        <v>66</v>
      </c>
      <c r="X3226" t="s">
        <v>67</v>
      </c>
      <c r="Y3226" t="s">
        <v>67</v>
      </c>
      <c r="Z3226" t="s">
        <v>68</v>
      </c>
      <c r="AB3226">
        <v>4</v>
      </c>
      <c r="AC3226" t="s">
        <v>61</v>
      </c>
      <c r="AJ3226" t="s">
        <v>69</v>
      </c>
      <c r="AY3226" t="s">
        <v>2233</v>
      </c>
      <c r="AZ3226">
        <v>76238</v>
      </c>
      <c r="BA3226" t="s">
        <v>2234</v>
      </c>
      <c r="BB3226" t="s">
        <v>2235</v>
      </c>
      <c r="BC3226">
        <v>1996</v>
      </c>
      <c r="BD3226" t="s">
        <v>185</v>
      </c>
    </row>
    <row r="3227" spans="1:56" x14ac:dyDescent="0.35">
      <c r="A3227">
        <v>7758987</v>
      </c>
      <c r="B3227" t="s">
        <v>2219</v>
      </c>
      <c r="D3227" t="s">
        <v>57</v>
      </c>
      <c r="E3227" t="s">
        <v>86</v>
      </c>
      <c r="F3227" t="s">
        <v>58</v>
      </c>
      <c r="G3227" t="s">
        <v>59</v>
      </c>
      <c r="H3227" t="s">
        <v>60</v>
      </c>
      <c r="I3227" t="s">
        <v>177</v>
      </c>
      <c r="J3227" t="s">
        <v>505</v>
      </c>
      <c r="K3227" t="s">
        <v>61</v>
      </c>
      <c r="L3227" t="s">
        <v>62</v>
      </c>
      <c r="M3227" t="s">
        <v>63</v>
      </c>
      <c r="N3227" t="s">
        <v>64</v>
      </c>
      <c r="P3227" t="s">
        <v>201</v>
      </c>
      <c r="Q3227" t="s">
        <v>435</v>
      </c>
      <c r="R3227">
        <v>3.5000000000000001E-3</v>
      </c>
      <c r="W3227" t="s">
        <v>66</v>
      </c>
      <c r="X3227" t="s">
        <v>67</v>
      </c>
      <c r="Y3227" t="s">
        <v>67</v>
      </c>
      <c r="Z3227" t="s">
        <v>68</v>
      </c>
      <c r="AB3227">
        <v>4</v>
      </c>
      <c r="AC3227" t="s">
        <v>61</v>
      </c>
      <c r="AJ3227" t="s">
        <v>69</v>
      </c>
      <c r="AY3227" t="s">
        <v>2236</v>
      </c>
      <c r="AZ3227">
        <v>8034</v>
      </c>
      <c r="BA3227" t="s">
        <v>2237</v>
      </c>
      <c r="BB3227" t="s">
        <v>2238</v>
      </c>
      <c r="BC3227">
        <v>1993</v>
      </c>
      <c r="BD3227" t="s">
        <v>73</v>
      </c>
    </row>
    <row r="3228" spans="1:56" x14ac:dyDescent="0.35">
      <c r="A3228">
        <v>7758987</v>
      </c>
      <c r="B3228" t="s">
        <v>2219</v>
      </c>
      <c r="D3228" t="s">
        <v>85</v>
      </c>
      <c r="E3228" t="s">
        <v>86</v>
      </c>
      <c r="F3228" t="s">
        <v>58</v>
      </c>
      <c r="G3228" t="s">
        <v>59</v>
      </c>
      <c r="H3228" t="s">
        <v>60</v>
      </c>
      <c r="I3228" t="s">
        <v>188</v>
      </c>
      <c r="J3228" t="s">
        <v>289</v>
      </c>
      <c r="K3228" t="s">
        <v>184</v>
      </c>
      <c r="L3228" t="s">
        <v>190</v>
      </c>
      <c r="M3228" t="s">
        <v>63</v>
      </c>
      <c r="N3228" t="s">
        <v>64</v>
      </c>
      <c r="O3228">
        <v>6</v>
      </c>
      <c r="P3228" t="s">
        <v>1296</v>
      </c>
      <c r="R3228">
        <v>0.28360000000000002</v>
      </c>
      <c r="T3228">
        <v>0.22470000000000001</v>
      </c>
      <c r="V3228">
        <v>0.35809999999999997</v>
      </c>
      <c r="W3228" t="s">
        <v>66</v>
      </c>
      <c r="X3228" t="s">
        <v>67</v>
      </c>
      <c r="Y3228" t="s">
        <v>67</v>
      </c>
      <c r="Z3228" t="s">
        <v>68</v>
      </c>
      <c r="AB3228">
        <v>4</v>
      </c>
      <c r="AC3228" t="s">
        <v>61</v>
      </c>
      <c r="AJ3228" t="s">
        <v>69</v>
      </c>
      <c r="AY3228" t="s">
        <v>2245</v>
      </c>
      <c r="AZ3228">
        <v>80428</v>
      </c>
      <c r="BA3228" t="s">
        <v>2246</v>
      </c>
      <c r="BB3228" t="s">
        <v>2247</v>
      </c>
      <c r="BC3228">
        <v>2004</v>
      </c>
      <c r="BD3228" t="s">
        <v>185</v>
      </c>
    </row>
    <row r="3229" spans="1:56" x14ac:dyDescent="0.35">
      <c r="A3229">
        <v>7758987</v>
      </c>
      <c r="B3229" t="s">
        <v>2219</v>
      </c>
      <c r="D3229" t="s">
        <v>85</v>
      </c>
      <c r="E3229" t="s">
        <v>86</v>
      </c>
      <c r="F3229" t="s">
        <v>58</v>
      </c>
      <c r="G3229" t="s">
        <v>59</v>
      </c>
      <c r="H3229" t="s">
        <v>60</v>
      </c>
      <c r="I3229" t="s">
        <v>188</v>
      </c>
      <c r="J3229" t="s">
        <v>289</v>
      </c>
      <c r="K3229" t="s">
        <v>184</v>
      </c>
      <c r="L3229" t="s">
        <v>190</v>
      </c>
      <c r="M3229" t="s">
        <v>63</v>
      </c>
      <c r="N3229" t="s">
        <v>64</v>
      </c>
      <c r="O3229">
        <v>6</v>
      </c>
      <c r="P3229" t="s">
        <v>1296</v>
      </c>
      <c r="R3229">
        <v>0.4995</v>
      </c>
      <c r="T3229">
        <v>0.40899999999999997</v>
      </c>
      <c r="V3229">
        <v>0.61</v>
      </c>
      <c r="W3229" t="s">
        <v>66</v>
      </c>
      <c r="X3229" t="s">
        <v>67</v>
      </c>
      <c r="Y3229" t="s">
        <v>67</v>
      </c>
      <c r="Z3229" t="s">
        <v>68</v>
      </c>
      <c r="AB3229">
        <v>4</v>
      </c>
      <c r="AC3229" t="s">
        <v>61</v>
      </c>
      <c r="AJ3229" t="s">
        <v>69</v>
      </c>
      <c r="AY3229" t="s">
        <v>2245</v>
      </c>
      <c r="AZ3229">
        <v>80428</v>
      </c>
      <c r="BA3229" t="s">
        <v>2246</v>
      </c>
      <c r="BB3229" t="s">
        <v>2247</v>
      </c>
      <c r="BC3229">
        <v>2004</v>
      </c>
      <c r="BD3229" t="s">
        <v>185</v>
      </c>
    </row>
    <row r="3230" spans="1:56" x14ac:dyDescent="0.35">
      <c r="A3230">
        <v>7758987</v>
      </c>
      <c r="B3230" t="s">
        <v>2219</v>
      </c>
      <c r="D3230" t="s">
        <v>57</v>
      </c>
      <c r="E3230" t="s">
        <v>86</v>
      </c>
      <c r="F3230" t="s">
        <v>58</v>
      </c>
      <c r="G3230" t="s">
        <v>59</v>
      </c>
      <c r="H3230" t="s">
        <v>60</v>
      </c>
      <c r="I3230" t="s">
        <v>188</v>
      </c>
      <c r="J3230" t="s">
        <v>289</v>
      </c>
      <c r="K3230" t="s">
        <v>184</v>
      </c>
      <c r="L3230" t="s">
        <v>74</v>
      </c>
      <c r="M3230" t="s">
        <v>63</v>
      </c>
      <c r="N3230" t="s">
        <v>64</v>
      </c>
      <c r="P3230" t="s">
        <v>201</v>
      </c>
      <c r="R3230">
        <v>0.21980252</v>
      </c>
      <c r="W3230" t="s">
        <v>66</v>
      </c>
      <c r="X3230" t="s">
        <v>67</v>
      </c>
      <c r="Y3230" t="s">
        <v>67</v>
      </c>
      <c r="Z3230" t="s">
        <v>68</v>
      </c>
      <c r="AB3230">
        <v>4</v>
      </c>
      <c r="AC3230" t="s">
        <v>61</v>
      </c>
      <c r="AJ3230" t="s">
        <v>69</v>
      </c>
      <c r="AY3230" t="s">
        <v>2220</v>
      </c>
      <c r="AZ3230">
        <v>16342</v>
      </c>
      <c r="BA3230" t="s">
        <v>2221</v>
      </c>
      <c r="BB3230" t="s">
        <v>2222</v>
      </c>
      <c r="BC3230">
        <v>1996</v>
      </c>
      <c r="BD3230" t="s">
        <v>185</v>
      </c>
    </row>
    <row r="3231" spans="1:56" x14ac:dyDescent="0.35">
      <c r="A3231">
        <v>7758987</v>
      </c>
      <c r="B3231" t="s">
        <v>2219</v>
      </c>
      <c r="D3231" t="s">
        <v>57</v>
      </c>
      <c r="E3231" t="s">
        <v>86</v>
      </c>
      <c r="F3231" t="s">
        <v>58</v>
      </c>
      <c r="G3231" t="s">
        <v>59</v>
      </c>
      <c r="H3231" t="s">
        <v>60</v>
      </c>
      <c r="I3231" t="s">
        <v>188</v>
      </c>
      <c r="J3231" t="s">
        <v>289</v>
      </c>
      <c r="K3231" t="s">
        <v>184</v>
      </c>
      <c r="L3231" t="s">
        <v>62</v>
      </c>
      <c r="M3231" t="s">
        <v>63</v>
      </c>
      <c r="N3231" t="s">
        <v>64</v>
      </c>
      <c r="O3231">
        <v>6</v>
      </c>
      <c r="P3231" t="s">
        <v>201</v>
      </c>
      <c r="R3231">
        <v>0.27960173500000002</v>
      </c>
      <c r="T3231">
        <v>0.23919686000000001</v>
      </c>
      <c r="V3231">
        <v>0.33131997499999999</v>
      </c>
      <c r="W3231" t="s">
        <v>66</v>
      </c>
      <c r="X3231" t="s">
        <v>67</v>
      </c>
      <c r="Y3231" t="s">
        <v>67</v>
      </c>
      <c r="Z3231" t="s">
        <v>68</v>
      </c>
      <c r="AB3231">
        <v>4</v>
      </c>
      <c r="AC3231" t="s">
        <v>61</v>
      </c>
      <c r="AJ3231" t="s">
        <v>69</v>
      </c>
      <c r="AY3231" t="s">
        <v>2233</v>
      </c>
      <c r="AZ3231">
        <v>76238</v>
      </c>
      <c r="BA3231" t="s">
        <v>2234</v>
      </c>
      <c r="BB3231" t="s">
        <v>2235</v>
      </c>
      <c r="BC3231">
        <v>1996</v>
      </c>
      <c r="BD3231" t="s">
        <v>185</v>
      </c>
    </row>
    <row r="3232" spans="1:56" x14ac:dyDescent="0.35">
      <c r="A3232">
        <v>7758987</v>
      </c>
      <c r="B3232" t="s">
        <v>2219</v>
      </c>
      <c r="D3232" t="s">
        <v>57</v>
      </c>
      <c r="E3232" t="s">
        <v>86</v>
      </c>
      <c r="F3232" t="s">
        <v>58</v>
      </c>
      <c r="G3232" t="s">
        <v>59</v>
      </c>
      <c r="H3232" t="s">
        <v>60</v>
      </c>
      <c r="I3232" t="s">
        <v>188</v>
      </c>
      <c r="J3232" t="s">
        <v>289</v>
      </c>
      <c r="K3232" t="s">
        <v>184</v>
      </c>
      <c r="L3232" t="s">
        <v>74</v>
      </c>
      <c r="M3232" t="s">
        <v>63</v>
      </c>
      <c r="N3232" t="s">
        <v>64</v>
      </c>
      <c r="P3232" t="s">
        <v>201</v>
      </c>
      <c r="R3232">
        <v>5.3334434999999999E-2</v>
      </c>
      <c r="T3232">
        <v>4.6869655000000003E-2</v>
      </c>
      <c r="V3232">
        <v>5.9799215000000003E-2</v>
      </c>
      <c r="W3232" t="s">
        <v>66</v>
      </c>
      <c r="X3232" t="s">
        <v>67</v>
      </c>
      <c r="Y3232" t="s">
        <v>67</v>
      </c>
      <c r="Z3232" t="s">
        <v>68</v>
      </c>
      <c r="AB3232">
        <v>4</v>
      </c>
      <c r="AC3232" t="s">
        <v>61</v>
      </c>
      <c r="AJ3232" t="s">
        <v>69</v>
      </c>
      <c r="AY3232" t="s">
        <v>2220</v>
      </c>
      <c r="AZ3232">
        <v>16342</v>
      </c>
      <c r="BA3232" t="s">
        <v>2221</v>
      </c>
      <c r="BB3232" t="s">
        <v>2222</v>
      </c>
      <c r="BC3232">
        <v>1996</v>
      </c>
      <c r="BD3232" t="s">
        <v>185</v>
      </c>
    </row>
    <row r="3233" spans="1:56" x14ac:dyDescent="0.35">
      <c r="A3233">
        <v>7758987</v>
      </c>
      <c r="B3233" t="s">
        <v>2219</v>
      </c>
      <c r="D3233" t="s">
        <v>57</v>
      </c>
      <c r="E3233" t="s">
        <v>86</v>
      </c>
      <c r="F3233" t="s">
        <v>58</v>
      </c>
      <c r="G3233" t="s">
        <v>59</v>
      </c>
      <c r="H3233" t="s">
        <v>60</v>
      </c>
      <c r="I3233" t="s">
        <v>129</v>
      </c>
      <c r="J3233" t="s">
        <v>86</v>
      </c>
      <c r="L3233" t="s">
        <v>74</v>
      </c>
      <c r="M3233" t="s">
        <v>63</v>
      </c>
      <c r="N3233" t="s">
        <v>64</v>
      </c>
      <c r="P3233" t="s">
        <v>201</v>
      </c>
      <c r="S3233" t="s">
        <v>153</v>
      </c>
      <c r="T3233">
        <v>0.05</v>
      </c>
      <c r="U3233" t="s">
        <v>435</v>
      </c>
      <c r="V3233">
        <v>0.1</v>
      </c>
      <c r="W3233" t="s">
        <v>66</v>
      </c>
      <c r="X3233" t="s">
        <v>67</v>
      </c>
      <c r="Y3233" t="s">
        <v>67</v>
      </c>
      <c r="Z3233" t="s">
        <v>68</v>
      </c>
      <c r="AB3233">
        <v>4</v>
      </c>
      <c r="AC3233" t="s">
        <v>61</v>
      </c>
      <c r="AJ3233" t="s">
        <v>69</v>
      </c>
      <c r="AY3233" t="s">
        <v>2256</v>
      </c>
      <c r="AZ3233">
        <v>17871</v>
      </c>
      <c r="BA3233" t="s">
        <v>2257</v>
      </c>
      <c r="BB3233" t="s">
        <v>2258</v>
      </c>
      <c r="BC3233">
        <v>1997</v>
      </c>
      <c r="BD3233" t="s">
        <v>90</v>
      </c>
    </row>
    <row r="3234" spans="1:56" x14ac:dyDescent="0.35">
      <c r="A3234">
        <v>7758987</v>
      </c>
      <c r="B3234" t="s">
        <v>2219</v>
      </c>
      <c r="D3234" t="s">
        <v>57</v>
      </c>
      <c r="E3234" t="s">
        <v>86</v>
      </c>
      <c r="F3234" t="s">
        <v>58</v>
      </c>
      <c r="G3234" t="s">
        <v>59</v>
      </c>
      <c r="H3234" t="s">
        <v>60</v>
      </c>
      <c r="J3234" t="s">
        <v>86</v>
      </c>
      <c r="L3234" t="s">
        <v>62</v>
      </c>
      <c r="M3234" t="s">
        <v>63</v>
      </c>
      <c r="N3234" t="s">
        <v>64</v>
      </c>
      <c r="P3234" t="s">
        <v>1296</v>
      </c>
      <c r="R3234">
        <v>0.65</v>
      </c>
      <c r="W3234" t="s">
        <v>66</v>
      </c>
      <c r="X3234" t="s">
        <v>67</v>
      </c>
      <c r="Y3234" t="s">
        <v>67</v>
      </c>
      <c r="Z3234" t="s">
        <v>68</v>
      </c>
      <c r="AB3234">
        <v>4</v>
      </c>
      <c r="AC3234" t="s">
        <v>61</v>
      </c>
      <c r="AJ3234" t="s">
        <v>69</v>
      </c>
      <c r="AQ3234" t="s">
        <v>69</v>
      </c>
      <c r="AY3234" t="s">
        <v>2223</v>
      </c>
      <c r="AZ3234">
        <v>2071</v>
      </c>
      <c r="BA3234" t="s">
        <v>2224</v>
      </c>
      <c r="BB3234" t="s">
        <v>2225</v>
      </c>
      <c r="BC3234">
        <v>1976</v>
      </c>
      <c r="BD3234" t="s">
        <v>2305</v>
      </c>
    </row>
    <row r="3235" spans="1:56" x14ac:dyDescent="0.35">
      <c r="A3235">
        <v>7758987</v>
      </c>
      <c r="B3235" t="s">
        <v>2219</v>
      </c>
      <c r="D3235" t="s">
        <v>57</v>
      </c>
      <c r="E3235" t="s">
        <v>86</v>
      </c>
      <c r="F3235" t="s">
        <v>58</v>
      </c>
      <c r="G3235" t="s">
        <v>59</v>
      </c>
      <c r="H3235" t="s">
        <v>60</v>
      </c>
      <c r="I3235" t="s">
        <v>188</v>
      </c>
      <c r="J3235" t="s">
        <v>289</v>
      </c>
      <c r="K3235" t="s">
        <v>184</v>
      </c>
      <c r="L3235" t="s">
        <v>74</v>
      </c>
      <c r="M3235" t="s">
        <v>63</v>
      </c>
      <c r="N3235" t="s">
        <v>64</v>
      </c>
      <c r="P3235" t="s">
        <v>201</v>
      </c>
      <c r="R3235">
        <v>0.13576038000000001</v>
      </c>
      <c r="T3235">
        <v>0.108285065</v>
      </c>
      <c r="V3235">
        <v>0.16970047499999999</v>
      </c>
      <c r="W3235" t="s">
        <v>66</v>
      </c>
      <c r="X3235" t="s">
        <v>67</v>
      </c>
      <c r="Y3235" t="s">
        <v>67</v>
      </c>
      <c r="Z3235" t="s">
        <v>68</v>
      </c>
      <c r="AB3235">
        <v>4</v>
      </c>
      <c r="AC3235" t="s">
        <v>61</v>
      </c>
      <c r="AJ3235" t="s">
        <v>69</v>
      </c>
      <c r="AY3235" t="s">
        <v>2220</v>
      </c>
      <c r="AZ3235">
        <v>16342</v>
      </c>
      <c r="BA3235" t="s">
        <v>2221</v>
      </c>
      <c r="BB3235" t="s">
        <v>2222</v>
      </c>
      <c r="BC3235">
        <v>1996</v>
      </c>
      <c r="BD3235" t="s">
        <v>185</v>
      </c>
    </row>
    <row r="3236" spans="1:56" x14ac:dyDescent="0.35">
      <c r="A3236">
        <v>7758987</v>
      </c>
      <c r="B3236" t="s">
        <v>2219</v>
      </c>
      <c r="D3236" t="s">
        <v>85</v>
      </c>
      <c r="E3236" t="s">
        <v>86</v>
      </c>
      <c r="F3236" t="s">
        <v>58</v>
      </c>
      <c r="G3236" t="s">
        <v>59</v>
      </c>
      <c r="H3236" t="s">
        <v>60</v>
      </c>
      <c r="I3236" t="s">
        <v>188</v>
      </c>
      <c r="J3236" t="s">
        <v>289</v>
      </c>
      <c r="K3236" t="s">
        <v>184</v>
      </c>
      <c r="L3236" t="s">
        <v>190</v>
      </c>
      <c r="M3236" t="s">
        <v>63</v>
      </c>
      <c r="N3236" t="s">
        <v>64</v>
      </c>
      <c r="O3236">
        <v>6</v>
      </c>
      <c r="P3236" t="s">
        <v>1296</v>
      </c>
      <c r="R3236">
        <v>0.129</v>
      </c>
      <c r="T3236">
        <v>0.10680000000000001</v>
      </c>
      <c r="V3236">
        <v>0.157</v>
      </c>
      <c r="W3236" t="s">
        <v>66</v>
      </c>
      <c r="X3236" t="s">
        <v>67</v>
      </c>
      <c r="Y3236" t="s">
        <v>67</v>
      </c>
      <c r="Z3236" t="s">
        <v>68</v>
      </c>
      <c r="AB3236">
        <v>4</v>
      </c>
      <c r="AC3236" t="s">
        <v>61</v>
      </c>
      <c r="AJ3236" t="s">
        <v>69</v>
      </c>
      <c r="AY3236" t="s">
        <v>2245</v>
      </c>
      <c r="AZ3236">
        <v>80428</v>
      </c>
      <c r="BA3236" t="s">
        <v>2246</v>
      </c>
      <c r="BB3236" t="s">
        <v>2247</v>
      </c>
      <c r="BC3236">
        <v>2004</v>
      </c>
      <c r="BD3236" t="s">
        <v>185</v>
      </c>
    </row>
    <row r="3237" spans="1:56" x14ac:dyDescent="0.35">
      <c r="A3237">
        <v>7758987</v>
      </c>
      <c r="B3237" t="s">
        <v>2219</v>
      </c>
      <c r="D3237" t="s">
        <v>85</v>
      </c>
      <c r="E3237" t="s">
        <v>86</v>
      </c>
      <c r="F3237" t="s">
        <v>58</v>
      </c>
      <c r="G3237" t="s">
        <v>59</v>
      </c>
      <c r="H3237" t="s">
        <v>60</v>
      </c>
      <c r="I3237" t="s">
        <v>188</v>
      </c>
      <c r="J3237" t="s">
        <v>289</v>
      </c>
      <c r="K3237" t="s">
        <v>184</v>
      </c>
      <c r="L3237" t="s">
        <v>190</v>
      </c>
      <c r="M3237" t="s">
        <v>63</v>
      </c>
      <c r="N3237" t="s">
        <v>64</v>
      </c>
      <c r="O3237">
        <v>6</v>
      </c>
      <c r="P3237" t="s">
        <v>1296</v>
      </c>
      <c r="R3237">
        <v>0.25950000000000001</v>
      </c>
      <c r="T3237">
        <v>0.2268</v>
      </c>
      <c r="V3237">
        <v>0.2969</v>
      </c>
      <c r="W3237" t="s">
        <v>66</v>
      </c>
      <c r="X3237" t="s">
        <v>67</v>
      </c>
      <c r="Y3237" t="s">
        <v>67</v>
      </c>
      <c r="Z3237" t="s">
        <v>68</v>
      </c>
      <c r="AB3237">
        <v>4</v>
      </c>
      <c r="AC3237" t="s">
        <v>61</v>
      </c>
      <c r="AJ3237" t="s">
        <v>69</v>
      </c>
      <c r="AY3237" t="s">
        <v>2245</v>
      </c>
      <c r="AZ3237">
        <v>80428</v>
      </c>
      <c r="BA3237" t="s">
        <v>2246</v>
      </c>
      <c r="BB3237" t="s">
        <v>2247</v>
      </c>
      <c r="BC3237">
        <v>2004</v>
      </c>
      <c r="BD3237" t="s">
        <v>185</v>
      </c>
    </row>
    <row r="3238" spans="1:56" x14ac:dyDescent="0.35">
      <c r="A3238">
        <v>7758987</v>
      </c>
      <c r="B3238" t="s">
        <v>2219</v>
      </c>
      <c r="D3238" t="s">
        <v>85</v>
      </c>
      <c r="E3238" t="s">
        <v>86</v>
      </c>
      <c r="F3238" t="s">
        <v>58</v>
      </c>
      <c r="G3238" t="s">
        <v>59</v>
      </c>
      <c r="H3238" t="s">
        <v>60</v>
      </c>
      <c r="I3238" t="s">
        <v>188</v>
      </c>
      <c r="J3238" t="s">
        <v>289</v>
      </c>
      <c r="K3238" t="s">
        <v>184</v>
      </c>
      <c r="L3238" t="s">
        <v>190</v>
      </c>
      <c r="M3238" t="s">
        <v>63</v>
      </c>
      <c r="N3238" t="s">
        <v>64</v>
      </c>
      <c r="O3238">
        <v>6</v>
      </c>
      <c r="P3238" t="s">
        <v>1296</v>
      </c>
      <c r="R3238">
        <v>1.526</v>
      </c>
      <c r="T3238">
        <v>1.3089999999999999</v>
      </c>
      <c r="V3238">
        <v>1.778</v>
      </c>
      <c r="W3238" t="s">
        <v>66</v>
      </c>
      <c r="X3238" t="s">
        <v>67</v>
      </c>
      <c r="Y3238" t="s">
        <v>67</v>
      </c>
      <c r="Z3238" t="s">
        <v>68</v>
      </c>
      <c r="AB3238">
        <v>4</v>
      </c>
      <c r="AC3238" t="s">
        <v>61</v>
      </c>
      <c r="AJ3238" t="s">
        <v>69</v>
      </c>
      <c r="AY3238" t="s">
        <v>2245</v>
      </c>
      <c r="AZ3238">
        <v>80428</v>
      </c>
      <c r="BA3238" t="s">
        <v>2246</v>
      </c>
      <c r="BB3238" t="s">
        <v>2247</v>
      </c>
      <c r="BC3238">
        <v>2004</v>
      </c>
      <c r="BD3238" t="s">
        <v>185</v>
      </c>
    </row>
    <row r="3239" spans="1:56" x14ac:dyDescent="0.35">
      <c r="A3239">
        <v>7758987</v>
      </c>
      <c r="B3239" t="s">
        <v>2219</v>
      </c>
      <c r="D3239" t="s">
        <v>57</v>
      </c>
      <c r="E3239" t="s">
        <v>86</v>
      </c>
      <c r="F3239" t="s">
        <v>58</v>
      </c>
      <c r="G3239" t="s">
        <v>59</v>
      </c>
      <c r="H3239" t="s">
        <v>60</v>
      </c>
      <c r="J3239" t="s">
        <v>86</v>
      </c>
      <c r="L3239" t="s">
        <v>62</v>
      </c>
      <c r="M3239" t="s">
        <v>63</v>
      </c>
      <c r="N3239" t="s">
        <v>64</v>
      </c>
      <c r="P3239" t="s">
        <v>1296</v>
      </c>
      <c r="R3239">
        <v>0.94</v>
      </c>
      <c r="W3239" t="s">
        <v>66</v>
      </c>
      <c r="X3239" t="s">
        <v>67</v>
      </c>
      <c r="Y3239" t="s">
        <v>67</v>
      </c>
      <c r="Z3239" t="s">
        <v>68</v>
      </c>
      <c r="AB3239">
        <v>4</v>
      </c>
      <c r="AC3239" t="s">
        <v>61</v>
      </c>
      <c r="AJ3239" t="s">
        <v>69</v>
      </c>
      <c r="AQ3239" t="s">
        <v>69</v>
      </c>
      <c r="AY3239" t="s">
        <v>2223</v>
      </c>
      <c r="AZ3239">
        <v>2071</v>
      </c>
      <c r="BA3239" t="s">
        <v>2224</v>
      </c>
      <c r="BB3239" t="s">
        <v>2225</v>
      </c>
      <c r="BC3239">
        <v>1976</v>
      </c>
      <c r="BD3239" t="s">
        <v>2018</v>
      </c>
    </row>
    <row r="3240" spans="1:56" x14ac:dyDescent="0.35">
      <c r="A3240">
        <v>7758987</v>
      </c>
      <c r="B3240" t="s">
        <v>2219</v>
      </c>
      <c r="D3240" t="s">
        <v>57</v>
      </c>
      <c r="E3240" t="s">
        <v>86</v>
      </c>
      <c r="F3240" t="s">
        <v>58</v>
      </c>
      <c r="G3240" t="s">
        <v>59</v>
      </c>
      <c r="H3240" t="s">
        <v>60</v>
      </c>
      <c r="J3240" t="s">
        <v>86</v>
      </c>
      <c r="L3240" t="s">
        <v>62</v>
      </c>
      <c r="M3240" t="s">
        <v>63</v>
      </c>
      <c r="N3240" t="s">
        <v>64</v>
      </c>
      <c r="P3240" t="s">
        <v>1296</v>
      </c>
      <c r="R3240">
        <v>0.82</v>
      </c>
      <c r="W3240" t="s">
        <v>66</v>
      </c>
      <c r="X3240" t="s">
        <v>67</v>
      </c>
      <c r="Y3240" t="s">
        <v>67</v>
      </c>
      <c r="Z3240" t="s">
        <v>68</v>
      </c>
      <c r="AB3240">
        <v>4</v>
      </c>
      <c r="AC3240" t="s">
        <v>61</v>
      </c>
      <c r="AJ3240" t="s">
        <v>69</v>
      </c>
      <c r="AQ3240" t="s">
        <v>69</v>
      </c>
      <c r="AY3240" t="s">
        <v>2223</v>
      </c>
      <c r="AZ3240">
        <v>2071</v>
      </c>
      <c r="BA3240" t="s">
        <v>2224</v>
      </c>
      <c r="BB3240" t="s">
        <v>2225</v>
      </c>
      <c r="BC3240">
        <v>1976</v>
      </c>
      <c r="BD3240" t="s">
        <v>2306</v>
      </c>
    </row>
    <row r="3241" spans="1:56" x14ac:dyDescent="0.35">
      <c r="A3241">
        <v>7758987</v>
      </c>
      <c r="B3241" t="s">
        <v>2219</v>
      </c>
      <c r="D3241" t="s">
        <v>57</v>
      </c>
      <c r="E3241" t="s">
        <v>86</v>
      </c>
      <c r="F3241" t="s">
        <v>58</v>
      </c>
      <c r="G3241" t="s">
        <v>59</v>
      </c>
      <c r="H3241" t="s">
        <v>60</v>
      </c>
      <c r="J3241" t="s">
        <v>86</v>
      </c>
      <c r="L3241" t="s">
        <v>62</v>
      </c>
      <c r="M3241" t="s">
        <v>63</v>
      </c>
      <c r="N3241" t="s">
        <v>64</v>
      </c>
      <c r="P3241" t="s">
        <v>1296</v>
      </c>
      <c r="R3241">
        <v>0.81</v>
      </c>
      <c r="W3241" t="s">
        <v>66</v>
      </c>
      <c r="X3241" t="s">
        <v>67</v>
      </c>
      <c r="Y3241" t="s">
        <v>67</v>
      </c>
      <c r="Z3241" t="s">
        <v>68</v>
      </c>
      <c r="AB3241">
        <v>4</v>
      </c>
      <c r="AC3241" t="s">
        <v>61</v>
      </c>
      <c r="AJ3241" t="s">
        <v>69</v>
      </c>
      <c r="AQ3241" t="s">
        <v>69</v>
      </c>
      <c r="AY3241" t="s">
        <v>2223</v>
      </c>
      <c r="AZ3241">
        <v>2071</v>
      </c>
      <c r="BA3241" t="s">
        <v>2224</v>
      </c>
      <c r="BB3241" t="s">
        <v>2225</v>
      </c>
      <c r="BC3241">
        <v>1976</v>
      </c>
      <c r="BD3241" t="s">
        <v>2307</v>
      </c>
    </row>
    <row r="3242" spans="1:56" x14ac:dyDescent="0.35">
      <c r="A3242">
        <v>7758987</v>
      </c>
      <c r="B3242" t="s">
        <v>2219</v>
      </c>
      <c r="D3242" t="s">
        <v>57</v>
      </c>
      <c r="E3242" t="s">
        <v>86</v>
      </c>
      <c r="F3242" t="s">
        <v>58</v>
      </c>
      <c r="G3242" t="s">
        <v>59</v>
      </c>
      <c r="H3242" t="s">
        <v>60</v>
      </c>
      <c r="J3242" t="s">
        <v>289</v>
      </c>
      <c r="K3242" t="s">
        <v>184</v>
      </c>
      <c r="L3242" t="s">
        <v>62</v>
      </c>
      <c r="M3242" t="s">
        <v>63</v>
      </c>
      <c r="N3242" t="s">
        <v>64</v>
      </c>
      <c r="P3242" t="s">
        <v>201</v>
      </c>
      <c r="R3242">
        <v>4.7999999999999996E-3</v>
      </c>
      <c r="T3242">
        <v>3.3999999999999998E-3</v>
      </c>
      <c r="V3242">
        <v>6.7999999999999996E-3</v>
      </c>
      <c r="W3242" t="s">
        <v>66</v>
      </c>
      <c r="X3242" t="s">
        <v>67</v>
      </c>
      <c r="Y3242" t="s">
        <v>67</v>
      </c>
      <c r="Z3242" t="s">
        <v>68</v>
      </c>
      <c r="AB3242">
        <v>4</v>
      </c>
      <c r="AC3242" t="s">
        <v>61</v>
      </c>
      <c r="AJ3242" t="s">
        <v>69</v>
      </c>
      <c r="AY3242" t="s">
        <v>2249</v>
      </c>
      <c r="AZ3242">
        <v>45189</v>
      </c>
      <c r="BA3242" t="s">
        <v>2250</v>
      </c>
      <c r="BB3242" t="s">
        <v>2251</v>
      </c>
      <c r="BC3242">
        <v>1996</v>
      </c>
      <c r="BD3242" t="s">
        <v>185</v>
      </c>
    </row>
    <row r="3243" spans="1:56" x14ac:dyDescent="0.35">
      <c r="A3243">
        <v>7758987</v>
      </c>
      <c r="B3243" t="s">
        <v>2219</v>
      </c>
      <c r="D3243" t="s">
        <v>57</v>
      </c>
      <c r="E3243" t="s">
        <v>86</v>
      </c>
      <c r="F3243" t="s">
        <v>58</v>
      </c>
      <c r="G3243" t="s">
        <v>59</v>
      </c>
      <c r="H3243" t="s">
        <v>60</v>
      </c>
      <c r="I3243" t="s">
        <v>177</v>
      </c>
      <c r="J3243" t="s">
        <v>505</v>
      </c>
      <c r="K3243" t="s">
        <v>61</v>
      </c>
      <c r="L3243" t="s">
        <v>62</v>
      </c>
      <c r="M3243" t="s">
        <v>63</v>
      </c>
      <c r="N3243" t="s">
        <v>64</v>
      </c>
      <c r="P3243" t="s">
        <v>201</v>
      </c>
      <c r="R3243">
        <v>4.7999999999999996E-3</v>
      </c>
      <c r="T3243">
        <v>3.8999999999999998E-3</v>
      </c>
      <c r="V3243">
        <v>6.0000000000000001E-3</v>
      </c>
      <c r="W3243" t="s">
        <v>66</v>
      </c>
      <c r="X3243" t="s">
        <v>67</v>
      </c>
      <c r="Y3243" t="s">
        <v>67</v>
      </c>
      <c r="Z3243" t="s">
        <v>68</v>
      </c>
      <c r="AB3243">
        <v>4</v>
      </c>
      <c r="AC3243" t="s">
        <v>61</v>
      </c>
      <c r="AJ3243" t="s">
        <v>69</v>
      </c>
      <c r="AY3243" t="s">
        <v>2236</v>
      </c>
      <c r="AZ3243">
        <v>8034</v>
      </c>
      <c r="BA3243" t="s">
        <v>2237</v>
      </c>
      <c r="BB3243" t="s">
        <v>2238</v>
      </c>
      <c r="BC3243">
        <v>1993</v>
      </c>
      <c r="BD3243" t="s">
        <v>73</v>
      </c>
    </row>
    <row r="3244" spans="1:56" x14ac:dyDescent="0.35">
      <c r="A3244">
        <v>7758987</v>
      </c>
      <c r="B3244" t="s">
        <v>2219</v>
      </c>
      <c r="D3244" t="s">
        <v>57</v>
      </c>
      <c r="E3244" t="s">
        <v>86</v>
      </c>
      <c r="F3244" t="s">
        <v>58</v>
      </c>
      <c r="G3244" t="s">
        <v>59</v>
      </c>
      <c r="H3244" t="s">
        <v>60</v>
      </c>
      <c r="I3244" t="s">
        <v>188</v>
      </c>
      <c r="J3244" t="s">
        <v>86</v>
      </c>
      <c r="L3244" t="s">
        <v>74</v>
      </c>
      <c r="M3244" t="s">
        <v>63</v>
      </c>
      <c r="N3244" t="s">
        <v>64</v>
      </c>
      <c r="P3244" t="s">
        <v>1296</v>
      </c>
      <c r="R3244">
        <v>7.9000000000000001E-2</v>
      </c>
      <c r="T3244">
        <v>6.2E-2</v>
      </c>
      <c r="V3244">
        <v>9.9000000000000005E-2</v>
      </c>
      <c r="W3244" t="s">
        <v>66</v>
      </c>
      <c r="X3244" t="s">
        <v>67</v>
      </c>
      <c r="Y3244" t="s">
        <v>67</v>
      </c>
      <c r="Z3244" t="s">
        <v>68</v>
      </c>
      <c r="AB3244">
        <v>4</v>
      </c>
      <c r="AC3244" t="s">
        <v>61</v>
      </c>
      <c r="AJ3244" t="s">
        <v>69</v>
      </c>
      <c r="AQ3244" t="s">
        <v>69</v>
      </c>
      <c r="AY3244" t="s">
        <v>2261</v>
      </c>
      <c r="AZ3244">
        <v>5203</v>
      </c>
      <c r="BA3244" t="s">
        <v>2262</v>
      </c>
      <c r="BB3244" t="s">
        <v>2263</v>
      </c>
      <c r="BC3244">
        <v>1985</v>
      </c>
      <c r="BD3244" t="s">
        <v>2308</v>
      </c>
    </row>
    <row r="3245" spans="1:56" x14ac:dyDescent="0.35">
      <c r="A3245">
        <v>7758987</v>
      </c>
      <c r="B3245" t="s">
        <v>2219</v>
      </c>
      <c r="D3245" t="s">
        <v>57</v>
      </c>
      <c r="E3245" t="s">
        <v>86</v>
      </c>
      <c r="F3245" t="s">
        <v>58</v>
      </c>
      <c r="G3245" t="s">
        <v>59</v>
      </c>
      <c r="H3245" t="s">
        <v>60</v>
      </c>
      <c r="I3245" t="s">
        <v>188</v>
      </c>
      <c r="J3245" t="s">
        <v>289</v>
      </c>
      <c r="K3245" t="s">
        <v>184</v>
      </c>
      <c r="L3245" t="s">
        <v>62</v>
      </c>
      <c r="M3245" t="s">
        <v>63</v>
      </c>
      <c r="N3245" t="s">
        <v>64</v>
      </c>
      <c r="O3245">
        <v>6</v>
      </c>
      <c r="P3245" t="s">
        <v>201</v>
      </c>
      <c r="R3245">
        <v>0.51718240000000004</v>
      </c>
      <c r="T3245">
        <v>0.43637264999999997</v>
      </c>
      <c r="V3245">
        <v>0.58183019999999996</v>
      </c>
      <c r="W3245" t="s">
        <v>66</v>
      </c>
      <c r="X3245" t="s">
        <v>67</v>
      </c>
      <c r="Y3245" t="s">
        <v>67</v>
      </c>
      <c r="Z3245" t="s">
        <v>68</v>
      </c>
      <c r="AB3245">
        <v>4</v>
      </c>
      <c r="AC3245" t="s">
        <v>61</v>
      </c>
      <c r="AJ3245" t="s">
        <v>69</v>
      </c>
      <c r="AY3245" t="s">
        <v>2233</v>
      </c>
      <c r="AZ3245">
        <v>76238</v>
      </c>
      <c r="BA3245" t="s">
        <v>2234</v>
      </c>
      <c r="BB3245" t="s">
        <v>2235</v>
      </c>
      <c r="BC3245">
        <v>1996</v>
      </c>
      <c r="BD3245" t="s">
        <v>185</v>
      </c>
    </row>
    <row r="3246" spans="1:56" x14ac:dyDescent="0.35">
      <c r="A3246">
        <v>7758987</v>
      </c>
      <c r="B3246" t="s">
        <v>2219</v>
      </c>
      <c r="D3246" t="s">
        <v>57</v>
      </c>
      <c r="E3246" t="s">
        <v>86</v>
      </c>
      <c r="F3246" t="s">
        <v>58</v>
      </c>
      <c r="G3246" t="s">
        <v>59</v>
      </c>
      <c r="H3246" t="s">
        <v>60</v>
      </c>
      <c r="J3246" t="s">
        <v>86</v>
      </c>
      <c r="M3246" t="s">
        <v>63</v>
      </c>
      <c r="N3246" t="s">
        <v>64</v>
      </c>
      <c r="P3246" t="s">
        <v>201</v>
      </c>
      <c r="R3246">
        <v>0.45</v>
      </c>
      <c r="W3246" t="s">
        <v>66</v>
      </c>
      <c r="X3246" t="s">
        <v>67</v>
      </c>
      <c r="Y3246" t="s">
        <v>67</v>
      </c>
      <c r="Z3246" t="s">
        <v>68</v>
      </c>
      <c r="AB3246">
        <v>4</v>
      </c>
      <c r="AC3246" t="s">
        <v>61</v>
      </c>
      <c r="AJ3246" t="s">
        <v>69</v>
      </c>
      <c r="AY3246" t="s">
        <v>2269</v>
      </c>
      <c r="AZ3246">
        <v>14976</v>
      </c>
      <c r="BA3246" t="s">
        <v>2270</v>
      </c>
      <c r="BB3246" t="s">
        <v>2271</v>
      </c>
      <c r="BC3246">
        <v>1995</v>
      </c>
      <c r="BD3246" t="s">
        <v>90</v>
      </c>
    </row>
    <row r="3247" spans="1:56" x14ac:dyDescent="0.35">
      <c r="A3247">
        <v>7758987</v>
      </c>
      <c r="B3247" t="s">
        <v>2219</v>
      </c>
      <c r="D3247" t="s">
        <v>57</v>
      </c>
      <c r="E3247" t="s">
        <v>86</v>
      </c>
      <c r="F3247" t="s">
        <v>58</v>
      </c>
      <c r="G3247" t="s">
        <v>59</v>
      </c>
      <c r="H3247" t="s">
        <v>60</v>
      </c>
      <c r="I3247" t="s">
        <v>177</v>
      </c>
      <c r="J3247" t="s">
        <v>505</v>
      </c>
      <c r="K3247" t="s">
        <v>61</v>
      </c>
      <c r="L3247" t="s">
        <v>62</v>
      </c>
      <c r="M3247" t="s">
        <v>63</v>
      </c>
      <c r="N3247" t="s">
        <v>64</v>
      </c>
      <c r="P3247" t="s">
        <v>201</v>
      </c>
      <c r="R3247">
        <v>7.0300000000000001E-2</v>
      </c>
      <c r="T3247">
        <v>5.7200000000000001E-2</v>
      </c>
      <c r="V3247">
        <v>8.6400000000000005E-2</v>
      </c>
      <c r="W3247" t="s">
        <v>66</v>
      </c>
      <c r="X3247" t="s">
        <v>67</v>
      </c>
      <c r="Y3247" t="s">
        <v>67</v>
      </c>
      <c r="Z3247" t="s">
        <v>68</v>
      </c>
      <c r="AB3247">
        <v>4</v>
      </c>
      <c r="AC3247" t="s">
        <v>61</v>
      </c>
      <c r="AJ3247" t="s">
        <v>69</v>
      </c>
      <c r="AY3247" t="s">
        <v>2236</v>
      </c>
      <c r="AZ3247">
        <v>8034</v>
      </c>
      <c r="BA3247" t="s">
        <v>2237</v>
      </c>
      <c r="BB3247" t="s">
        <v>2238</v>
      </c>
      <c r="BC3247">
        <v>1993</v>
      </c>
      <c r="BD3247" t="s">
        <v>73</v>
      </c>
    </row>
    <row r="3248" spans="1:56" x14ac:dyDescent="0.35">
      <c r="A3248">
        <v>7758987</v>
      </c>
      <c r="B3248" t="s">
        <v>2219</v>
      </c>
      <c r="D3248" t="s">
        <v>57</v>
      </c>
      <c r="E3248" t="s">
        <v>86</v>
      </c>
      <c r="F3248" t="s">
        <v>58</v>
      </c>
      <c r="G3248" t="s">
        <v>59</v>
      </c>
      <c r="H3248" t="s">
        <v>60</v>
      </c>
      <c r="J3248" t="s">
        <v>86</v>
      </c>
      <c r="K3248" t="s">
        <v>1027</v>
      </c>
      <c r="L3248" t="s">
        <v>190</v>
      </c>
      <c r="M3248" t="s">
        <v>63</v>
      </c>
      <c r="N3248" t="s">
        <v>64</v>
      </c>
      <c r="O3248" t="s">
        <v>2114</v>
      </c>
      <c r="P3248" t="s">
        <v>201</v>
      </c>
      <c r="R3248">
        <v>0.39300000000000002</v>
      </c>
      <c r="T3248">
        <v>0.25800000000000001</v>
      </c>
      <c r="V3248">
        <v>0.53700000000000003</v>
      </c>
      <c r="W3248" t="s">
        <v>66</v>
      </c>
      <c r="X3248" t="s">
        <v>67</v>
      </c>
      <c r="Y3248" t="s">
        <v>67</v>
      </c>
      <c r="Z3248" t="s">
        <v>68</v>
      </c>
      <c r="AB3248">
        <v>4</v>
      </c>
      <c r="AC3248" t="s">
        <v>61</v>
      </c>
      <c r="AJ3248" t="s">
        <v>69</v>
      </c>
      <c r="AY3248" t="s">
        <v>2115</v>
      </c>
      <c r="AZ3248">
        <v>77828</v>
      </c>
      <c r="BA3248" t="s">
        <v>2116</v>
      </c>
      <c r="BB3248" t="s">
        <v>2117</v>
      </c>
      <c r="BC3248">
        <v>2002</v>
      </c>
      <c r="BD3248" t="s">
        <v>2118</v>
      </c>
    </row>
    <row r="3249" spans="1:56" x14ac:dyDescent="0.35">
      <c r="A3249">
        <v>7758987</v>
      </c>
      <c r="B3249" t="s">
        <v>2219</v>
      </c>
      <c r="D3249" t="s">
        <v>57</v>
      </c>
      <c r="E3249" t="s">
        <v>86</v>
      </c>
      <c r="F3249" t="s">
        <v>58</v>
      </c>
      <c r="G3249" t="s">
        <v>59</v>
      </c>
      <c r="H3249" t="s">
        <v>60</v>
      </c>
      <c r="I3249" t="s">
        <v>188</v>
      </c>
      <c r="J3249" t="s">
        <v>289</v>
      </c>
      <c r="K3249" t="s">
        <v>184</v>
      </c>
      <c r="L3249" t="s">
        <v>62</v>
      </c>
      <c r="M3249" t="s">
        <v>63</v>
      </c>
      <c r="N3249" t="s">
        <v>64</v>
      </c>
      <c r="O3249">
        <v>6</v>
      </c>
      <c r="P3249" t="s">
        <v>201</v>
      </c>
      <c r="R3249">
        <v>0.16970047499999999</v>
      </c>
      <c r="T3249">
        <v>0.14222515999999999</v>
      </c>
      <c r="V3249">
        <v>0.20364056999999999</v>
      </c>
      <c r="W3249" t="s">
        <v>66</v>
      </c>
      <c r="X3249" t="s">
        <v>67</v>
      </c>
      <c r="Y3249" t="s">
        <v>67</v>
      </c>
      <c r="Z3249" t="s">
        <v>68</v>
      </c>
      <c r="AB3249">
        <v>4</v>
      </c>
      <c r="AC3249" t="s">
        <v>61</v>
      </c>
      <c r="AJ3249" t="s">
        <v>69</v>
      </c>
      <c r="AY3249" t="s">
        <v>2233</v>
      </c>
      <c r="AZ3249">
        <v>76238</v>
      </c>
      <c r="BA3249" t="s">
        <v>2234</v>
      </c>
      <c r="BB3249" t="s">
        <v>2235</v>
      </c>
      <c r="BC3249">
        <v>1996</v>
      </c>
      <c r="BD3249" t="s">
        <v>185</v>
      </c>
    </row>
    <row r="3250" spans="1:56" x14ac:dyDescent="0.35">
      <c r="A3250">
        <v>7758987</v>
      </c>
      <c r="B3250" t="s">
        <v>2219</v>
      </c>
      <c r="D3250" t="s">
        <v>57</v>
      </c>
      <c r="E3250" t="s">
        <v>86</v>
      </c>
      <c r="F3250" t="s">
        <v>58</v>
      </c>
      <c r="G3250" t="s">
        <v>59</v>
      </c>
      <c r="H3250" t="s">
        <v>60</v>
      </c>
      <c r="I3250" t="s">
        <v>188</v>
      </c>
      <c r="J3250" t="s">
        <v>289</v>
      </c>
      <c r="K3250" t="s">
        <v>184</v>
      </c>
      <c r="L3250" t="s">
        <v>62</v>
      </c>
      <c r="M3250" t="s">
        <v>63</v>
      </c>
      <c r="N3250" t="s">
        <v>64</v>
      </c>
      <c r="O3250">
        <v>6</v>
      </c>
      <c r="P3250" t="s">
        <v>201</v>
      </c>
      <c r="Q3250" t="s">
        <v>172</v>
      </c>
      <c r="R3250">
        <v>8.0809750000000005</v>
      </c>
      <c r="W3250" t="s">
        <v>66</v>
      </c>
      <c r="X3250" t="s">
        <v>67</v>
      </c>
      <c r="Y3250" t="s">
        <v>67</v>
      </c>
      <c r="Z3250" t="s">
        <v>68</v>
      </c>
      <c r="AB3250">
        <v>4</v>
      </c>
      <c r="AC3250" t="s">
        <v>61</v>
      </c>
      <c r="AJ3250" t="s">
        <v>69</v>
      </c>
      <c r="AY3250" t="s">
        <v>2233</v>
      </c>
      <c r="AZ3250">
        <v>76238</v>
      </c>
      <c r="BA3250" t="s">
        <v>2234</v>
      </c>
      <c r="BB3250" t="s">
        <v>2235</v>
      </c>
      <c r="BC3250">
        <v>1996</v>
      </c>
      <c r="BD3250" t="s">
        <v>185</v>
      </c>
    </row>
    <row r="3251" spans="1:56" x14ac:dyDescent="0.35">
      <c r="A3251">
        <v>7758987</v>
      </c>
      <c r="B3251" t="s">
        <v>2219</v>
      </c>
      <c r="D3251" t="s">
        <v>57</v>
      </c>
      <c r="E3251" t="s">
        <v>86</v>
      </c>
      <c r="F3251" t="s">
        <v>58</v>
      </c>
      <c r="G3251" t="s">
        <v>59</v>
      </c>
      <c r="H3251" t="s">
        <v>60</v>
      </c>
      <c r="I3251" t="s">
        <v>188</v>
      </c>
      <c r="J3251" t="s">
        <v>289</v>
      </c>
      <c r="K3251" t="s">
        <v>184</v>
      </c>
      <c r="L3251" t="s">
        <v>74</v>
      </c>
      <c r="M3251" t="s">
        <v>63</v>
      </c>
      <c r="N3251" t="s">
        <v>64</v>
      </c>
      <c r="P3251" t="s">
        <v>201</v>
      </c>
      <c r="R3251">
        <v>0.26505598000000002</v>
      </c>
      <c r="W3251" t="s">
        <v>66</v>
      </c>
      <c r="X3251" t="s">
        <v>67</v>
      </c>
      <c r="Y3251" t="s">
        <v>67</v>
      </c>
      <c r="Z3251" t="s">
        <v>68</v>
      </c>
      <c r="AB3251">
        <v>4</v>
      </c>
      <c r="AC3251" t="s">
        <v>61</v>
      </c>
      <c r="AJ3251" t="s">
        <v>69</v>
      </c>
      <c r="AY3251" t="s">
        <v>2220</v>
      </c>
      <c r="AZ3251">
        <v>16342</v>
      </c>
      <c r="BA3251" t="s">
        <v>2221</v>
      </c>
      <c r="BB3251" t="s">
        <v>2222</v>
      </c>
      <c r="BC3251">
        <v>1996</v>
      </c>
      <c r="BD3251" t="s">
        <v>185</v>
      </c>
    </row>
    <row r="3252" spans="1:56" x14ac:dyDescent="0.35">
      <c r="A3252">
        <v>7758987</v>
      </c>
      <c r="B3252" t="s">
        <v>2219</v>
      </c>
      <c r="D3252" t="s">
        <v>57</v>
      </c>
      <c r="E3252" t="s">
        <v>86</v>
      </c>
      <c r="F3252" t="s">
        <v>58</v>
      </c>
      <c r="G3252" t="s">
        <v>59</v>
      </c>
      <c r="H3252" t="s">
        <v>60</v>
      </c>
      <c r="I3252" t="s">
        <v>188</v>
      </c>
      <c r="J3252" t="s">
        <v>289</v>
      </c>
      <c r="K3252" t="s">
        <v>184</v>
      </c>
      <c r="L3252" t="s">
        <v>74</v>
      </c>
      <c r="M3252" t="s">
        <v>63</v>
      </c>
      <c r="N3252" t="s">
        <v>64</v>
      </c>
      <c r="P3252" t="s">
        <v>201</v>
      </c>
      <c r="R3252">
        <v>1.9394339999999999E-2</v>
      </c>
      <c r="W3252" t="s">
        <v>66</v>
      </c>
      <c r="X3252" t="s">
        <v>67</v>
      </c>
      <c r="Y3252" t="s">
        <v>67</v>
      </c>
      <c r="Z3252" t="s">
        <v>68</v>
      </c>
      <c r="AB3252">
        <v>4</v>
      </c>
      <c r="AC3252" t="s">
        <v>61</v>
      </c>
      <c r="AJ3252" t="s">
        <v>69</v>
      </c>
      <c r="AY3252" t="s">
        <v>2220</v>
      </c>
      <c r="AZ3252">
        <v>16342</v>
      </c>
      <c r="BA3252" t="s">
        <v>2221</v>
      </c>
      <c r="BB3252" t="s">
        <v>2222</v>
      </c>
      <c r="BC3252">
        <v>1996</v>
      </c>
      <c r="BD3252" t="s">
        <v>185</v>
      </c>
    </row>
    <row r="3253" spans="1:56" x14ac:dyDescent="0.35">
      <c r="A3253">
        <v>7758987</v>
      </c>
      <c r="B3253" t="s">
        <v>2219</v>
      </c>
      <c r="D3253" t="s">
        <v>85</v>
      </c>
      <c r="E3253" t="s">
        <v>86</v>
      </c>
      <c r="F3253" t="s">
        <v>58</v>
      </c>
      <c r="G3253" t="s">
        <v>59</v>
      </c>
      <c r="H3253" t="s">
        <v>60</v>
      </c>
      <c r="I3253" t="s">
        <v>188</v>
      </c>
      <c r="J3253" t="s">
        <v>289</v>
      </c>
      <c r="K3253" t="s">
        <v>184</v>
      </c>
      <c r="L3253" t="s">
        <v>190</v>
      </c>
      <c r="M3253" t="s">
        <v>63</v>
      </c>
      <c r="N3253" t="s">
        <v>64</v>
      </c>
      <c r="O3253">
        <v>6</v>
      </c>
      <c r="P3253" t="s">
        <v>1296</v>
      </c>
      <c r="R3253">
        <v>0.59630000000000005</v>
      </c>
      <c r="T3253">
        <v>0.50070000000000003</v>
      </c>
      <c r="V3253">
        <v>0.71009999999999995</v>
      </c>
      <c r="W3253" t="s">
        <v>66</v>
      </c>
      <c r="X3253" t="s">
        <v>67</v>
      </c>
      <c r="Y3253" t="s">
        <v>67</v>
      </c>
      <c r="Z3253" t="s">
        <v>68</v>
      </c>
      <c r="AB3253">
        <v>4</v>
      </c>
      <c r="AC3253" t="s">
        <v>61</v>
      </c>
      <c r="AJ3253" t="s">
        <v>69</v>
      </c>
      <c r="AY3253" t="s">
        <v>2245</v>
      </c>
      <c r="AZ3253">
        <v>80428</v>
      </c>
      <c r="BA3253" t="s">
        <v>2246</v>
      </c>
      <c r="BB3253" t="s">
        <v>2247</v>
      </c>
      <c r="BC3253">
        <v>2004</v>
      </c>
      <c r="BD3253" t="s">
        <v>185</v>
      </c>
    </row>
    <row r="3254" spans="1:56" x14ac:dyDescent="0.35">
      <c r="A3254">
        <v>7758987</v>
      </c>
      <c r="B3254" t="s">
        <v>2219</v>
      </c>
      <c r="C3254" t="s">
        <v>195</v>
      </c>
      <c r="D3254" t="s">
        <v>57</v>
      </c>
      <c r="E3254" t="s">
        <v>86</v>
      </c>
      <c r="F3254" t="s">
        <v>58</v>
      </c>
      <c r="G3254" t="s">
        <v>59</v>
      </c>
      <c r="H3254" t="s">
        <v>60</v>
      </c>
      <c r="J3254" t="s">
        <v>86</v>
      </c>
      <c r="K3254" t="s">
        <v>61</v>
      </c>
      <c r="L3254" t="s">
        <v>62</v>
      </c>
      <c r="M3254" t="s">
        <v>63</v>
      </c>
      <c r="N3254" t="s">
        <v>64</v>
      </c>
      <c r="P3254" t="s">
        <v>201</v>
      </c>
      <c r="R3254">
        <v>5.4100000000000002E-2</v>
      </c>
      <c r="W3254" t="s">
        <v>66</v>
      </c>
      <c r="X3254" t="s">
        <v>67</v>
      </c>
      <c r="Y3254" t="s">
        <v>67</v>
      </c>
      <c r="Z3254" t="s">
        <v>68</v>
      </c>
      <c r="AB3254">
        <v>4</v>
      </c>
      <c r="AC3254" t="s">
        <v>61</v>
      </c>
      <c r="AJ3254" t="s">
        <v>69</v>
      </c>
      <c r="AY3254" t="s">
        <v>2282</v>
      </c>
      <c r="AZ3254">
        <v>18527</v>
      </c>
      <c r="BA3254" t="s">
        <v>2283</v>
      </c>
      <c r="BB3254" t="s">
        <v>2284</v>
      </c>
      <c r="BC3254">
        <v>1996</v>
      </c>
      <c r="BD3254" t="s">
        <v>2285</v>
      </c>
    </row>
    <row r="3255" spans="1:56" x14ac:dyDescent="0.35">
      <c r="A3255">
        <v>7758987</v>
      </c>
      <c r="B3255" t="s">
        <v>2219</v>
      </c>
      <c r="C3255" t="s">
        <v>386</v>
      </c>
      <c r="D3255" t="s">
        <v>85</v>
      </c>
      <c r="E3255" t="s">
        <v>86</v>
      </c>
      <c r="F3255" t="s">
        <v>58</v>
      </c>
      <c r="G3255" t="s">
        <v>59</v>
      </c>
      <c r="H3255" t="s">
        <v>60</v>
      </c>
      <c r="J3255" t="s">
        <v>86</v>
      </c>
      <c r="L3255" t="s">
        <v>62</v>
      </c>
      <c r="M3255" t="s">
        <v>63</v>
      </c>
      <c r="N3255" t="s">
        <v>64</v>
      </c>
      <c r="P3255" t="s">
        <v>201</v>
      </c>
      <c r="R3255">
        <v>0.36</v>
      </c>
      <c r="T3255">
        <v>0.23</v>
      </c>
      <c r="V3255">
        <v>0.45</v>
      </c>
      <c r="W3255" t="s">
        <v>66</v>
      </c>
      <c r="X3255" t="s">
        <v>67</v>
      </c>
      <c r="Y3255" t="s">
        <v>67</v>
      </c>
      <c r="Z3255" t="s">
        <v>68</v>
      </c>
      <c r="AB3255">
        <v>4</v>
      </c>
      <c r="AC3255" t="s">
        <v>61</v>
      </c>
      <c r="AJ3255" t="s">
        <v>69</v>
      </c>
      <c r="AY3255" t="s">
        <v>2131</v>
      </c>
      <c r="AZ3255">
        <v>10237</v>
      </c>
      <c r="BA3255" t="s">
        <v>2132</v>
      </c>
      <c r="BB3255" t="s">
        <v>2133</v>
      </c>
      <c r="BC3255">
        <v>1983</v>
      </c>
      <c r="BD3255" t="s">
        <v>90</v>
      </c>
    </row>
    <row r="3256" spans="1:56" x14ac:dyDescent="0.35">
      <c r="A3256">
        <v>7758987</v>
      </c>
      <c r="B3256" t="s">
        <v>2219</v>
      </c>
      <c r="D3256" t="s">
        <v>57</v>
      </c>
      <c r="E3256" t="s">
        <v>86</v>
      </c>
      <c r="F3256" t="s">
        <v>58</v>
      </c>
      <c r="G3256" t="s">
        <v>59</v>
      </c>
      <c r="H3256" t="s">
        <v>60</v>
      </c>
      <c r="I3256" t="s">
        <v>188</v>
      </c>
      <c r="J3256" t="s">
        <v>289</v>
      </c>
      <c r="K3256" t="s">
        <v>184</v>
      </c>
      <c r="L3256" t="s">
        <v>62</v>
      </c>
      <c r="M3256" t="s">
        <v>63</v>
      </c>
      <c r="N3256" t="s">
        <v>64</v>
      </c>
      <c r="O3256">
        <v>6</v>
      </c>
      <c r="P3256" t="s">
        <v>201</v>
      </c>
      <c r="R3256">
        <v>9.3739310000000006E-2</v>
      </c>
      <c r="T3256">
        <v>7.5961164999999997E-2</v>
      </c>
      <c r="V3256">
        <v>0.11636604</v>
      </c>
      <c r="W3256" t="s">
        <v>66</v>
      </c>
      <c r="X3256" t="s">
        <v>67</v>
      </c>
      <c r="Y3256" t="s">
        <v>67</v>
      </c>
      <c r="Z3256" t="s">
        <v>68</v>
      </c>
      <c r="AB3256">
        <v>4</v>
      </c>
      <c r="AC3256" t="s">
        <v>61</v>
      </c>
      <c r="AJ3256" t="s">
        <v>69</v>
      </c>
      <c r="AY3256" t="s">
        <v>2233</v>
      </c>
      <c r="AZ3256">
        <v>76238</v>
      </c>
      <c r="BA3256" t="s">
        <v>2234</v>
      </c>
      <c r="BB3256" t="s">
        <v>2235</v>
      </c>
      <c r="BC3256">
        <v>1996</v>
      </c>
      <c r="BD3256" t="s">
        <v>185</v>
      </c>
    </row>
    <row r="3257" spans="1:56" x14ac:dyDescent="0.35">
      <c r="A3257">
        <v>7758987</v>
      </c>
      <c r="B3257" t="s">
        <v>2219</v>
      </c>
      <c r="D3257" t="s">
        <v>57</v>
      </c>
      <c r="E3257" t="s">
        <v>86</v>
      </c>
      <c r="F3257" t="s">
        <v>58</v>
      </c>
      <c r="G3257" t="s">
        <v>59</v>
      </c>
      <c r="H3257" t="s">
        <v>60</v>
      </c>
      <c r="J3257" t="s">
        <v>86</v>
      </c>
      <c r="L3257" t="s">
        <v>74</v>
      </c>
      <c r="M3257" t="s">
        <v>63</v>
      </c>
      <c r="N3257" t="s">
        <v>64</v>
      </c>
      <c r="P3257" t="s">
        <v>201</v>
      </c>
      <c r="R3257">
        <v>0.114</v>
      </c>
      <c r="T3257">
        <v>9.8000000000000004E-2</v>
      </c>
      <c r="V3257">
        <v>0.13200000000000001</v>
      </c>
      <c r="W3257" t="s">
        <v>66</v>
      </c>
      <c r="X3257" t="s">
        <v>67</v>
      </c>
      <c r="Y3257" t="s">
        <v>67</v>
      </c>
      <c r="Z3257" t="s">
        <v>68</v>
      </c>
      <c r="AB3257">
        <v>4</v>
      </c>
      <c r="AC3257" t="s">
        <v>61</v>
      </c>
      <c r="AJ3257" t="s">
        <v>69</v>
      </c>
      <c r="AY3257" t="s">
        <v>2227</v>
      </c>
      <c r="AZ3257">
        <v>5081</v>
      </c>
      <c r="BA3257" t="s">
        <v>2228</v>
      </c>
      <c r="BB3257" t="s">
        <v>2229</v>
      </c>
      <c r="BC3257">
        <v>1978</v>
      </c>
      <c r="BD3257" t="s">
        <v>90</v>
      </c>
    </row>
    <row r="3258" spans="1:56" x14ac:dyDescent="0.35">
      <c r="A3258">
        <v>7758987</v>
      </c>
      <c r="B3258" t="s">
        <v>2219</v>
      </c>
      <c r="D3258" t="s">
        <v>85</v>
      </c>
      <c r="E3258" t="s">
        <v>86</v>
      </c>
      <c r="F3258" t="s">
        <v>58</v>
      </c>
      <c r="G3258" t="s">
        <v>59</v>
      </c>
      <c r="H3258" t="s">
        <v>60</v>
      </c>
      <c r="I3258" t="s">
        <v>188</v>
      </c>
      <c r="J3258" t="s">
        <v>289</v>
      </c>
      <c r="K3258" t="s">
        <v>184</v>
      </c>
      <c r="L3258" t="s">
        <v>190</v>
      </c>
      <c r="M3258" t="s">
        <v>63</v>
      </c>
      <c r="N3258" t="s">
        <v>64</v>
      </c>
      <c r="O3258">
        <v>6</v>
      </c>
      <c r="P3258" t="s">
        <v>1296</v>
      </c>
      <c r="R3258">
        <v>0.39550000000000002</v>
      </c>
      <c r="T3258">
        <v>0.31950000000000001</v>
      </c>
      <c r="V3258">
        <v>0.48970000000000002</v>
      </c>
      <c r="W3258" t="s">
        <v>66</v>
      </c>
      <c r="X3258" t="s">
        <v>67</v>
      </c>
      <c r="Y3258" t="s">
        <v>67</v>
      </c>
      <c r="Z3258" t="s">
        <v>68</v>
      </c>
      <c r="AB3258">
        <v>4</v>
      </c>
      <c r="AC3258" t="s">
        <v>61</v>
      </c>
      <c r="AJ3258" t="s">
        <v>69</v>
      </c>
      <c r="AY3258" t="s">
        <v>2245</v>
      </c>
      <c r="AZ3258">
        <v>80428</v>
      </c>
      <c r="BA3258" t="s">
        <v>2246</v>
      </c>
      <c r="BB3258" t="s">
        <v>2247</v>
      </c>
      <c r="BC3258">
        <v>2004</v>
      </c>
      <c r="BD3258" t="s">
        <v>185</v>
      </c>
    </row>
    <row r="3259" spans="1:56" x14ac:dyDescent="0.35">
      <c r="A3259">
        <v>7758987</v>
      </c>
      <c r="B3259" t="s">
        <v>2219</v>
      </c>
      <c r="D3259" t="s">
        <v>85</v>
      </c>
      <c r="E3259" t="s">
        <v>86</v>
      </c>
      <c r="F3259" t="s">
        <v>58</v>
      </c>
      <c r="G3259" t="s">
        <v>59</v>
      </c>
      <c r="H3259" t="s">
        <v>60</v>
      </c>
      <c r="J3259" t="s">
        <v>86</v>
      </c>
      <c r="L3259" t="s">
        <v>62</v>
      </c>
      <c r="M3259" t="s">
        <v>63</v>
      </c>
      <c r="N3259" t="s">
        <v>64</v>
      </c>
      <c r="P3259" t="s">
        <v>201</v>
      </c>
      <c r="R3259">
        <v>84</v>
      </c>
      <c r="W3259" t="s">
        <v>66</v>
      </c>
      <c r="X3259" t="s">
        <v>67</v>
      </c>
      <c r="Y3259" t="s">
        <v>67</v>
      </c>
      <c r="Z3259" t="s">
        <v>68</v>
      </c>
      <c r="AB3259">
        <v>4</v>
      </c>
      <c r="AC3259" t="s">
        <v>61</v>
      </c>
      <c r="AJ3259" t="s">
        <v>69</v>
      </c>
      <c r="AY3259" t="s">
        <v>2309</v>
      </c>
      <c r="AZ3259">
        <v>5075</v>
      </c>
      <c r="BA3259" t="s">
        <v>2310</v>
      </c>
      <c r="BB3259" t="s">
        <v>2311</v>
      </c>
      <c r="BC3259">
        <v>1969</v>
      </c>
      <c r="BD3259" t="s">
        <v>90</v>
      </c>
    </row>
    <row r="3260" spans="1:56" x14ac:dyDescent="0.35">
      <c r="A3260">
        <v>7758987</v>
      </c>
      <c r="B3260" t="s">
        <v>2219</v>
      </c>
      <c r="D3260" t="s">
        <v>85</v>
      </c>
      <c r="E3260">
        <v>25.5</v>
      </c>
      <c r="F3260" t="s">
        <v>58</v>
      </c>
      <c r="G3260" t="s">
        <v>59</v>
      </c>
      <c r="H3260" t="s">
        <v>60</v>
      </c>
      <c r="J3260" t="s">
        <v>86</v>
      </c>
      <c r="L3260" t="s">
        <v>62</v>
      </c>
      <c r="M3260" t="s">
        <v>63</v>
      </c>
      <c r="N3260" t="s">
        <v>64</v>
      </c>
      <c r="O3260">
        <v>7</v>
      </c>
      <c r="P3260" t="s">
        <v>201</v>
      </c>
      <c r="R3260">
        <v>0.46</v>
      </c>
      <c r="T3260">
        <v>0.4</v>
      </c>
      <c r="V3260">
        <v>0.6</v>
      </c>
      <c r="W3260" t="s">
        <v>66</v>
      </c>
      <c r="X3260" t="s">
        <v>67</v>
      </c>
      <c r="Y3260" t="s">
        <v>67</v>
      </c>
      <c r="Z3260" t="s">
        <v>68</v>
      </c>
      <c r="AB3260">
        <v>4</v>
      </c>
      <c r="AC3260" t="s">
        <v>61</v>
      </c>
      <c r="AJ3260" t="s">
        <v>69</v>
      </c>
      <c r="AY3260" t="s">
        <v>314</v>
      </c>
      <c r="AZ3260">
        <v>73668</v>
      </c>
      <c r="BA3260" t="s">
        <v>315</v>
      </c>
      <c r="BB3260" t="s">
        <v>316</v>
      </c>
      <c r="BC3260">
        <v>1995</v>
      </c>
      <c r="BD3260" t="s">
        <v>90</v>
      </c>
    </row>
    <row r="3261" spans="1:56" x14ac:dyDescent="0.35">
      <c r="A3261">
        <v>7758987</v>
      </c>
      <c r="B3261" t="s">
        <v>2219</v>
      </c>
      <c r="D3261" t="s">
        <v>57</v>
      </c>
      <c r="E3261" t="s">
        <v>86</v>
      </c>
      <c r="F3261" t="s">
        <v>58</v>
      </c>
      <c r="G3261" t="s">
        <v>59</v>
      </c>
      <c r="H3261" t="s">
        <v>60</v>
      </c>
      <c r="J3261" t="s">
        <v>86</v>
      </c>
      <c r="L3261" t="s">
        <v>62</v>
      </c>
      <c r="M3261" t="s">
        <v>63</v>
      </c>
      <c r="N3261" t="s">
        <v>64</v>
      </c>
      <c r="P3261" t="s">
        <v>1296</v>
      </c>
      <c r="R3261">
        <v>0.69</v>
      </c>
      <c r="W3261" t="s">
        <v>66</v>
      </c>
      <c r="X3261" t="s">
        <v>67</v>
      </c>
      <c r="Y3261" t="s">
        <v>67</v>
      </c>
      <c r="Z3261" t="s">
        <v>68</v>
      </c>
      <c r="AB3261">
        <v>4</v>
      </c>
      <c r="AC3261" t="s">
        <v>61</v>
      </c>
      <c r="AJ3261" t="s">
        <v>69</v>
      </c>
      <c r="AQ3261" t="s">
        <v>69</v>
      </c>
      <c r="AY3261" t="s">
        <v>2223</v>
      </c>
      <c r="AZ3261">
        <v>2071</v>
      </c>
      <c r="BA3261" t="s">
        <v>2224</v>
      </c>
      <c r="BB3261" t="s">
        <v>2225</v>
      </c>
      <c r="BC3261">
        <v>1976</v>
      </c>
      <c r="BD3261" t="s">
        <v>2312</v>
      </c>
    </row>
    <row r="3262" spans="1:56" x14ac:dyDescent="0.35">
      <c r="A3262">
        <v>7758987</v>
      </c>
      <c r="B3262" t="s">
        <v>2219</v>
      </c>
      <c r="D3262" t="s">
        <v>57</v>
      </c>
      <c r="E3262" t="s">
        <v>86</v>
      </c>
      <c r="F3262" t="s">
        <v>58</v>
      </c>
      <c r="G3262" t="s">
        <v>59</v>
      </c>
      <c r="H3262" t="s">
        <v>60</v>
      </c>
      <c r="I3262" t="s">
        <v>188</v>
      </c>
      <c r="J3262" t="s">
        <v>289</v>
      </c>
      <c r="K3262" t="s">
        <v>184</v>
      </c>
      <c r="L3262" t="s">
        <v>62</v>
      </c>
      <c r="M3262" t="s">
        <v>63</v>
      </c>
      <c r="N3262" t="s">
        <v>64</v>
      </c>
      <c r="O3262">
        <v>6</v>
      </c>
      <c r="P3262" t="s">
        <v>201</v>
      </c>
      <c r="R3262">
        <v>0.11636604</v>
      </c>
      <c r="T3262">
        <v>9.6971699999999994E-2</v>
      </c>
      <c r="V3262">
        <v>0.140608965</v>
      </c>
      <c r="W3262" t="s">
        <v>66</v>
      </c>
      <c r="X3262" t="s">
        <v>67</v>
      </c>
      <c r="Y3262" t="s">
        <v>67</v>
      </c>
      <c r="Z3262" t="s">
        <v>68</v>
      </c>
      <c r="AB3262">
        <v>4</v>
      </c>
      <c r="AC3262" t="s">
        <v>61</v>
      </c>
      <c r="AJ3262" t="s">
        <v>69</v>
      </c>
      <c r="AY3262" t="s">
        <v>2233</v>
      </c>
      <c r="AZ3262">
        <v>76238</v>
      </c>
      <c r="BA3262" t="s">
        <v>2234</v>
      </c>
      <c r="BB3262" t="s">
        <v>2235</v>
      </c>
      <c r="BC3262">
        <v>1996</v>
      </c>
      <c r="BD3262" t="s">
        <v>185</v>
      </c>
    </row>
    <row r="3263" spans="1:56" x14ac:dyDescent="0.35">
      <c r="A3263">
        <v>7758987</v>
      </c>
      <c r="B3263" t="s">
        <v>2219</v>
      </c>
      <c r="D3263" t="s">
        <v>57</v>
      </c>
      <c r="E3263" t="s">
        <v>86</v>
      </c>
      <c r="F3263" t="s">
        <v>58</v>
      </c>
      <c r="G3263" t="s">
        <v>59</v>
      </c>
      <c r="H3263" t="s">
        <v>60</v>
      </c>
      <c r="J3263" t="s">
        <v>86</v>
      </c>
      <c r="L3263" t="s">
        <v>62</v>
      </c>
      <c r="M3263" t="s">
        <v>63</v>
      </c>
      <c r="N3263" t="s">
        <v>64</v>
      </c>
      <c r="P3263" t="s">
        <v>1296</v>
      </c>
      <c r="R3263">
        <v>0.96</v>
      </c>
      <c r="W3263" t="s">
        <v>66</v>
      </c>
      <c r="X3263" t="s">
        <v>67</v>
      </c>
      <c r="Y3263" t="s">
        <v>67</v>
      </c>
      <c r="Z3263" t="s">
        <v>68</v>
      </c>
      <c r="AB3263">
        <v>4</v>
      </c>
      <c r="AC3263" t="s">
        <v>61</v>
      </c>
      <c r="AJ3263" t="s">
        <v>69</v>
      </c>
      <c r="AQ3263" t="s">
        <v>69</v>
      </c>
      <c r="AY3263" t="s">
        <v>2223</v>
      </c>
      <c r="AZ3263">
        <v>2071</v>
      </c>
      <c r="BA3263" t="s">
        <v>2224</v>
      </c>
      <c r="BB3263" t="s">
        <v>2225</v>
      </c>
      <c r="BC3263">
        <v>1976</v>
      </c>
      <c r="BD3263" t="s">
        <v>2313</v>
      </c>
    </row>
    <row r="3264" spans="1:56" x14ac:dyDescent="0.35">
      <c r="A3264">
        <v>7758987</v>
      </c>
      <c r="B3264" t="s">
        <v>2219</v>
      </c>
      <c r="D3264" t="s">
        <v>57</v>
      </c>
      <c r="E3264" t="s">
        <v>86</v>
      </c>
      <c r="F3264" t="s">
        <v>58</v>
      </c>
      <c r="G3264" t="s">
        <v>59</v>
      </c>
      <c r="H3264" t="s">
        <v>60</v>
      </c>
      <c r="I3264" t="s">
        <v>188</v>
      </c>
      <c r="J3264" t="s">
        <v>289</v>
      </c>
      <c r="K3264" t="s">
        <v>184</v>
      </c>
      <c r="L3264" t="s">
        <v>62</v>
      </c>
      <c r="M3264" t="s">
        <v>63</v>
      </c>
      <c r="N3264" t="s">
        <v>64</v>
      </c>
      <c r="P3264" t="s">
        <v>201</v>
      </c>
      <c r="R3264">
        <v>2.12E-2</v>
      </c>
      <c r="W3264" t="s">
        <v>66</v>
      </c>
      <c r="X3264" t="s">
        <v>67</v>
      </c>
      <c r="Y3264" t="s">
        <v>67</v>
      </c>
      <c r="Z3264" t="s">
        <v>68</v>
      </c>
      <c r="AB3264">
        <v>4</v>
      </c>
      <c r="AC3264" t="s">
        <v>61</v>
      </c>
      <c r="AJ3264" t="s">
        <v>69</v>
      </c>
      <c r="AY3264" t="s">
        <v>2230</v>
      </c>
      <c r="AZ3264">
        <v>17105</v>
      </c>
      <c r="BA3264" t="s">
        <v>2231</v>
      </c>
      <c r="BB3264" t="s">
        <v>2232</v>
      </c>
      <c r="BC3264">
        <v>1996</v>
      </c>
      <c r="BD3264" t="s">
        <v>185</v>
      </c>
    </row>
    <row r="3265" spans="1:56" x14ac:dyDescent="0.35">
      <c r="A3265">
        <v>7758987</v>
      </c>
      <c r="B3265" t="s">
        <v>2219</v>
      </c>
      <c r="D3265" t="s">
        <v>57</v>
      </c>
      <c r="E3265" t="s">
        <v>86</v>
      </c>
      <c r="F3265" t="s">
        <v>58</v>
      </c>
      <c r="G3265" t="s">
        <v>59</v>
      </c>
      <c r="H3265" t="s">
        <v>60</v>
      </c>
      <c r="I3265" t="s">
        <v>211</v>
      </c>
      <c r="J3265" t="s">
        <v>86</v>
      </c>
      <c r="L3265" t="s">
        <v>62</v>
      </c>
      <c r="M3265" t="s">
        <v>63</v>
      </c>
      <c r="N3265" t="s">
        <v>64</v>
      </c>
      <c r="P3265" t="s">
        <v>201</v>
      </c>
      <c r="R3265">
        <v>0.21</v>
      </c>
      <c r="T3265">
        <v>0.16</v>
      </c>
      <c r="V3265">
        <v>0.28000000000000003</v>
      </c>
      <c r="W3265" t="s">
        <v>66</v>
      </c>
      <c r="X3265" t="s">
        <v>67</v>
      </c>
      <c r="Y3265" t="s">
        <v>67</v>
      </c>
      <c r="Z3265" t="s">
        <v>68</v>
      </c>
      <c r="AB3265">
        <v>4</v>
      </c>
      <c r="AC3265" t="s">
        <v>61</v>
      </c>
      <c r="AJ3265" t="s">
        <v>69</v>
      </c>
      <c r="AY3265" t="s">
        <v>2137</v>
      </c>
      <c r="AZ3265">
        <v>10551</v>
      </c>
      <c r="BA3265" t="s">
        <v>2138</v>
      </c>
      <c r="BB3265" t="s">
        <v>2139</v>
      </c>
      <c r="BC3265">
        <v>1983</v>
      </c>
      <c r="BD3265" t="s">
        <v>90</v>
      </c>
    </row>
    <row r="3266" spans="1:56" x14ac:dyDescent="0.35">
      <c r="A3266">
        <v>7758987</v>
      </c>
      <c r="B3266" t="s">
        <v>2219</v>
      </c>
      <c r="D3266" t="s">
        <v>57</v>
      </c>
      <c r="E3266" t="s">
        <v>86</v>
      </c>
      <c r="F3266" t="s">
        <v>58</v>
      </c>
      <c r="G3266" t="s">
        <v>59</v>
      </c>
      <c r="H3266" t="s">
        <v>60</v>
      </c>
      <c r="I3266" t="s">
        <v>188</v>
      </c>
      <c r="J3266" t="s">
        <v>289</v>
      </c>
      <c r="K3266" t="s">
        <v>184</v>
      </c>
      <c r="L3266" t="s">
        <v>74</v>
      </c>
      <c r="M3266" t="s">
        <v>63</v>
      </c>
      <c r="N3266" t="s">
        <v>64</v>
      </c>
      <c r="P3266" t="s">
        <v>201</v>
      </c>
      <c r="R3266">
        <v>0.16485189</v>
      </c>
      <c r="T3266">
        <v>0.14868993999999999</v>
      </c>
      <c r="V3266">
        <v>0.18747862000000001</v>
      </c>
      <c r="W3266" t="s">
        <v>66</v>
      </c>
      <c r="X3266" t="s">
        <v>67</v>
      </c>
      <c r="Y3266" t="s">
        <v>67</v>
      </c>
      <c r="Z3266" t="s">
        <v>68</v>
      </c>
      <c r="AB3266">
        <v>4</v>
      </c>
      <c r="AC3266" t="s">
        <v>61</v>
      </c>
      <c r="AJ3266" t="s">
        <v>69</v>
      </c>
      <c r="AY3266" t="s">
        <v>2220</v>
      </c>
      <c r="AZ3266">
        <v>16342</v>
      </c>
      <c r="BA3266" t="s">
        <v>2221</v>
      </c>
      <c r="BB3266" t="s">
        <v>2222</v>
      </c>
      <c r="BC3266">
        <v>1996</v>
      </c>
      <c r="BD3266" t="s">
        <v>185</v>
      </c>
    </row>
    <row r="3267" spans="1:56" x14ac:dyDescent="0.35">
      <c r="A3267">
        <v>7758987</v>
      </c>
      <c r="B3267" t="s">
        <v>2219</v>
      </c>
      <c r="D3267" t="s">
        <v>57</v>
      </c>
      <c r="E3267" t="s">
        <v>86</v>
      </c>
      <c r="F3267" t="s">
        <v>58</v>
      </c>
      <c r="G3267" t="s">
        <v>59</v>
      </c>
      <c r="H3267" t="s">
        <v>60</v>
      </c>
      <c r="I3267" t="s">
        <v>177</v>
      </c>
      <c r="J3267" t="s">
        <v>505</v>
      </c>
      <c r="K3267" t="s">
        <v>61</v>
      </c>
      <c r="L3267" t="s">
        <v>62</v>
      </c>
      <c r="M3267" t="s">
        <v>63</v>
      </c>
      <c r="N3267" t="s">
        <v>64</v>
      </c>
      <c r="P3267" t="s">
        <v>201</v>
      </c>
      <c r="R3267">
        <v>3.5999999999999997E-2</v>
      </c>
      <c r="T3267">
        <v>3.1300000000000001E-2</v>
      </c>
      <c r="V3267">
        <v>4.1300000000000003E-2</v>
      </c>
      <c r="W3267" t="s">
        <v>66</v>
      </c>
      <c r="X3267" t="s">
        <v>67</v>
      </c>
      <c r="Y3267" t="s">
        <v>67</v>
      </c>
      <c r="Z3267" t="s">
        <v>68</v>
      </c>
      <c r="AB3267">
        <v>4</v>
      </c>
      <c r="AC3267" t="s">
        <v>61</v>
      </c>
      <c r="AJ3267" t="s">
        <v>69</v>
      </c>
      <c r="AY3267" t="s">
        <v>2236</v>
      </c>
      <c r="AZ3267">
        <v>8034</v>
      </c>
      <c r="BA3267" t="s">
        <v>2237</v>
      </c>
      <c r="BB3267" t="s">
        <v>2238</v>
      </c>
      <c r="BC3267">
        <v>1993</v>
      </c>
      <c r="BD3267" t="s">
        <v>73</v>
      </c>
    </row>
    <row r="3268" spans="1:56" x14ac:dyDescent="0.35">
      <c r="A3268">
        <v>7758987</v>
      </c>
      <c r="B3268" t="s">
        <v>2219</v>
      </c>
      <c r="D3268" t="s">
        <v>57</v>
      </c>
      <c r="E3268" t="s">
        <v>86</v>
      </c>
      <c r="F3268" t="s">
        <v>58</v>
      </c>
      <c r="G3268" t="s">
        <v>59</v>
      </c>
      <c r="H3268" t="s">
        <v>60</v>
      </c>
      <c r="I3268" t="s">
        <v>211</v>
      </c>
      <c r="J3268" t="s">
        <v>86</v>
      </c>
      <c r="L3268" t="s">
        <v>62</v>
      </c>
      <c r="M3268" t="s">
        <v>63</v>
      </c>
      <c r="N3268" t="s">
        <v>64</v>
      </c>
      <c r="P3268" t="s">
        <v>201</v>
      </c>
      <c r="R3268">
        <v>0.39</v>
      </c>
      <c r="T3268">
        <v>0.26</v>
      </c>
      <c r="V3268">
        <v>0.54</v>
      </c>
      <c r="W3268" t="s">
        <v>66</v>
      </c>
      <c r="X3268" t="s">
        <v>67</v>
      </c>
      <c r="Y3268" t="s">
        <v>67</v>
      </c>
      <c r="Z3268" t="s">
        <v>68</v>
      </c>
      <c r="AB3268">
        <v>4</v>
      </c>
      <c r="AC3268" t="s">
        <v>61</v>
      </c>
      <c r="AJ3268" t="s">
        <v>69</v>
      </c>
      <c r="AY3268" t="s">
        <v>2137</v>
      </c>
      <c r="AZ3268">
        <v>10551</v>
      </c>
      <c r="BA3268" t="s">
        <v>2138</v>
      </c>
      <c r="BB3268" t="s">
        <v>2139</v>
      </c>
      <c r="BC3268">
        <v>1983</v>
      </c>
      <c r="BD3268" t="s">
        <v>90</v>
      </c>
    </row>
    <row r="3269" spans="1:56" x14ac:dyDescent="0.35">
      <c r="A3269">
        <v>7758987</v>
      </c>
      <c r="B3269" t="s">
        <v>2219</v>
      </c>
      <c r="D3269" t="s">
        <v>57</v>
      </c>
      <c r="E3269" t="s">
        <v>86</v>
      </c>
      <c r="F3269" t="s">
        <v>58</v>
      </c>
      <c r="G3269" t="s">
        <v>59</v>
      </c>
      <c r="H3269" t="s">
        <v>60</v>
      </c>
      <c r="I3269" t="s">
        <v>188</v>
      </c>
      <c r="J3269" t="s">
        <v>289</v>
      </c>
      <c r="K3269" t="s">
        <v>184</v>
      </c>
      <c r="L3269" t="s">
        <v>62</v>
      </c>
      <c r="M3269" t="s">
        <v>63</v>
      </c>
      <c r="N3269" t="s">
        <v>64</v>
      </c>
      <c r="O3269">
        <v>6</v>
      </c>
      <c r="P3269" t="s">
        <v>201</v>
      </c>
      <c r="R3269">
        <v>2.5535880999999998</v>
      </c>
      <c r="T3269">
        <v>2.1818632500000001</v>
      </c>
      <c r="V3269">
        <v>2.9899607499999998</v>
      </c>
      <c r="W3269" t="s">
        <v>66</v>
      </c>
      <c r="X3269" t="s">
        <v>67</v>
      </c>
      <c r="Y3269" t="s">
        <v>67</v>
      </c>
      <c r="Z3269" t="s">
        <v>68</v>
      </c>
      <c r="AB3269">
        <v>4</v>
      </c>
      <c r="AC3269" t="s">
        <v>61</v>
      </c>
      <c r="AJ3269" t="s">
        <v>69</v>
      </c>
      <c r="AY3269" t="s">
        <v>2233</v>
      </c>
      <c r="AZ3269">
        <v>76238</v>
      </c>
      <c r="BA3269" t="s">
        <v>2234</v>
      </c>
      <c r="BB3269" t="s">
        <v>2235</v>
      </c>
      <c r="BC3269">
        <v>1996</v>
      </c>
      <c r="BD3269" t="s">
        <v>185</v>
      </c>
    </row>
    <row r="3270" spans="1:56" x14ac:dyDescent="0.35">
      <c r="A3270">
        <v>7758987</v>
      </c>
      <c r="B3270" t="s">
        <v>2219</v>
      </c>
      <c r="D3270" t="s">
        <v>57</v>
      </c>
      <c r="E3270" t="s">
        <v>86</v>
      </c>
      <c r="F3270" t="s">
        <v>58</v>
      </c>
      <c r="G3270" t="s">
        <v>59</v>
      </c>
      <c r="H3270" t="s">
        <v>60</v>
      </c>
      <c r="I3270" t="s">
        <v>177</v>
      </c>
      <c r="J3270" t="s">
        <v>505</v>
      </c>
      <c r="K3270" t="s">
        <v>61</v>
      </c>
      <c r="L3270" t="s">
        <v>62</v>
      </c>
      <c r="M3270" t="s">
        <v>63</v>
      </c>
      <c r="N3270" t="s">
        <v>64</v>
      </c>
      <c r="P3270" t="s">
        <v>201</v>
      </c>
      <c r="R3270">
        <v>2.8E-3</v>
      </c>
      <c r="T3270">
        <v>2.5000000000000001E-3</v>
      </c>
      <c r="V3270">
        <v>3.0999999999999999E-3</v>
      </c>
      <c r="W3270" t="s">
        <v>66</v>
      </c>
      <c r="X3270" t="s">
        <v>67</v>
      </c>
      <c r="Y3270" t="s">
        <v>67</v>
      </c>
      <c r="Z3270" t="s">
        <v>68</v>
      </c>
      <c r="AB3270">
        <v>4</v>
      </c>
      <c r="AC3270" t="s">
        <v>61</v>
      </c>
      <c r="AJ3270" t="s">
        <v>69</v>
      </c>
      <c r="AY3270" t="s">
        <v>2236</v>
      </c>
      <c r="AZ3270">
        <v>8034</v>
      </c>
      <c r="BA3270" t="s">
        <v>2237</v>
      </c>
      <c r="BB3270" t="s">
        <v>2238</v>
      </c>
      <c r="BC3270">
        <v>1993</v>
      </c>
      <c r="BD3270" t="s">
        <v>73</v>
      </c>
    </row>
    <row r="3271" spans="1:56" x14ac:dyDescent="0.35">
      <c r="A3271">
        <v>7758987</v>
      </c>
      <c r="B3271" t="s">
        <v>2219</v>
      </c>
      <c r="D3271" t="s">
        <v>57</v>
      </c>
      <c r="E3271" t="s">
        <v>86</v>
      </c>
      <c r="F3271" t="s">
        <v>58</v>
      </c>
      <c r="G3271" t="s">
        <v>59</v>
      </c>
      <c r="H3271" t="s">
        <v>60</v>
      </c>
      <c r="I3271" t="s">
        <v>188</v>
      </c>
      <c r="J3271" t="s">
        <v>289</v>
      </c>
      <c r="K3271" t="s">
        <v>184</v>
      </c>
      <c r="L3271" t="s">
        <v>74</v>
      </c>
      <c r="M3271" t="s">
        <v>63</v>
      </c>
      <c r="N3271" t="s">
        <v>64</v>
      </c>
      <c r="P3271" t="s">
        <v>201</v>
      </c>
      <c r="R3271">
        <v>0.20364056999999999</v>
      </c>
      <c r="T3271">
        <v>0.17131667</v>
      </c>
      <c r="V3271">
        <v>0.24242925000000001</v>
      </c>
      <c r="W3271" t="s">
        <v>66</v>
      </c>
      <c r="X3271" t="s">
        <v>67</v>
      </c>
      <c r="Y3271" t="s">
        <v>67</v>
      </c>
      <c r="Z3271" t="s">
        <v>68</v>
      </c>
      <c r="AB3271">
        <v>4</v>
      </c>
      <c r="AC3271" t="s">
        <v>61</v>
      </c>
      <c r="AJ3271" t="s">
        <v>69</v>
      </c>
      <c r="AY3271" t="s">
        <v>2220</v>
      </c>
      <c r="AZ3271">
        <v>16342</v>
      </c>
      <c r="BA3271" t="s">
        <v>2221</v>
      </c>
      <c r="BB3271" t="s">
        <v>2222</v>
      </c>
      <c r="BC3271">
        <v>1996</v>
      </c>
      <c r="BD3271" t="s">
        <v>185</v>
      </c>
    </row>
    <row r="3272" spans="1:56" x14ac:dyDescent="0.35">
      <c r="A3272">
        <v>7758987</v>
      </c>
      <c r="B3272" t="s">
        <v>2219</v>
      </c>
      <c r="D3272" t="s">
        <v>57</v>
      </c>
      <c r="E3272" t="s">
        <v>86</v>
      </c>
      <c r="F3272" t="s">
        <v>58</v>
      </c>
      <c r="G3272" t="s">
        <v>59</v>
      </c>
      <c r="H3272" t="s">
        <v>60</v>
      </c>
      <c r="J3272" t="s">
        <v>86</v>
      </c>
      <c r="L3272" t="s">
        <v>74</v>
      </c>
      <c r="M3272" t="s">
        <v>63</v>
      </c>
      <c r="N3272" t="s">
        <v>64</v>
      </c>
      <c r="P3272" t="s">
        <v>1296</v>
      </c>
      <c r="R3272">
        <v>0.95</v>
      </c>
      <c r="W3272" t="s">
        <v>66</v>
      </c>
      <c r="X3272" t="s">
        <v>67</v>
      </c>
      <c r="Y3272" t="s">
        <v>67</v>
      </c>
      <c r="Z3272" t="s">
        <v>68</v>
      </c>
      <c r="AB3272">
        <v>4</v>
      </c>
      <c r="AC3272" t="s">
        <v>61</v>
      </c>
      <c r="AJ3272" t="s">
        <v>69</v>
      </c>
      <c r="AQ3272" t="s">
        <v>69</v>
      </c>
      <c r="AY3272" t="s">
        <v>2223</v>
      </c>
      <c r="AZ3272">
        <v>2071</v>
      </c>
      <c r="BA3272" t="s">
        <v>2224</v>
      </c>
      <c r="BB3272" t="s">
        <v>2225</v>
      </c>
      <c r="BC3272">
        <v>1976</v>
      </c>
      <c r="BD3272" t="s">
        <v>2314</v>
      </c>
    </row>
    <row r="3273" spans="1:56" x14ac:dyDescent="0.35">
      <c r="A3273">
        <v>7758987</v>
      </c>
      <c r="B3273" t="s">
        <v>2219</v>
      </c>
      <c r="D3273" t="s">
        <v>57</v>
      </c>
      <c r="E3273" t="s">
        <v>86</v>
      </c>
      <c r="F3273" t="s">
        <v>58</v>
      </c>
      <c r="G3273" t="s">
        <v>59</v>
      </c>
      <c r="H3273" t="s">
        <v>60</v>
      </c>
      <c r="I3273" t="s">
        <v>177</v>
      </c>
      <c r="J3273">
        <v>6</v>
      </c>
      <c r="K3273" t="s">
        <v>196</v>
      </c>
      <c r="L3273" t="s">
        <v>74</v>
      </c>
      <c r="M3273" t="s">
        <v>63</v>
      </c>
      <c r="N3273" t="s">
        <v>64</v>
      </c>
      <c r="P3273" t="s">
        <v>201</v>
      </c>
      <c r="R3273">
        <v>0.49</v>
      </c>
      <c r="T3273">
        <v>0.41</v>
      </c>
      <c r="V3273">
        <v>0.63</v>
      </c>
      <c r="W3273" t="s">
        <v>66</v>
      </c>
      <c r="X3273" t="s">
        <v>67</v>
      </c>
      <c r="Y3273" t="s">
        <v>67</v>
      </c>
      <c r="Z3273" t="s">
        <v>68</v>
      </c>
      <c r="AB3273">
        <v>4</v>
      </c>
      <c r="AC3273" t="s">
        <v>61</v>
      </c>
      <c r="AJ3273" t="s">
        <v>69</v>
      </c>
      <c r="AY3273" t="s">
        <v>2279</v>
      </c>
      <c r="AZ3273">
        <v>2004</v>
      </c>
      <c r="BA3273" t="s">
        <v>2280</v>
      </c>
      <c r="BB3273" t="s">
        <v>2281</v>
      </c>
      <c r="BC3273">
        <v>1977</v>
      </c>
      <c r="BD3273" t="s">
        <v>200</v>
      </c>
    </row>
    <row r="3274" spans="1:56" x14ac:dyDescent="0.35">
      <c r="A3274">
        <v>7758987</v>
      </c>
      <c r="B3274" t="s">
        <v>2219</v>
      </c>
      <c r="D3274" t="s">
        <v>85</v>
      </c>
      <c r="E3274" t="s">
        <v>86</v>
      </c>
      <c r="F3274" t="s">
        <v>58</v>
      </c>
      <c r="G3274" t="s">
        <v>59</v>
      </c>
      <c r="H3274" t="s">
        <v>60</v>
      </c>
      <c r="I3274" t="s">
        <v>188</v>
      </c>
      <c r="J3274" t="s">
        <v>289</v>
      </c>
      <c r="K3274" t="s">
        <v>184</v>
      </c>
      <c r="L3274" t="s">
        <v>190</v>
      </c>
      <c r="M3274" t="s">
        <v>63</v>
      </c>
      <c r="N3274" t="s">
        <v>64</v>
      </c>
      <c r="O3274">
        <v>6</v>
      </c>
      <c r="P3274" t="s">
        <v>1296</v>
      </c>
      <c r="R3274">
        <v>1.681</v>
      </c>
      <c r="T3274">
        <v>1.4870000000000001</v>
      </c>
      <c r="V3274">
        <v>1.9</v>
      </c>
      <c r="W3274" t="s">
        <v>66</v>
      </c>
      <c r="X3274" t="s">
        <v>67</v>
      </c>
      <c r="Y3274" t="s">
        <v>67</v>
      </c>
      <c r="Z3274" t="s">
        <v>68</v>
      </c>
      <c r="AB3274">
        <v>4</v>
      </c>
      <c r="AC3274" t="s">
        <v>61</v>
      </c>
      <c r="AJ3274" t="s">
        <v>69</v>
      </c>
      <c r="AY3274" t="s">
        <v>2245</v>
      </c>
      <c r="AZ3274">
        <v>80428</v>
      </c>
      <c r="BA3274" t="s">
        <v>2246</v>
      </c>
      <c r="BB3274" t="s">
        <v>2247</v>
      </c>
      <c r="BC3274">
        <v>2004</v>
      </c>
      <c r="BD3274" t="s">
        <v>185</v>
      </c>
    </row>
    <row r="3275" spans="1:56" x14ac:dyDescent="0.35">
      <c r="A3275">
        <v>7758987</v>
      </c>
      <c r="B3275" t="s">
        <v>2219</v>
      </c>
      <c r="D3275" t="s">
        <v>85</v>
      </c>
      <c r="E3275" t="s">
        <v>86</v>
      </c>
      <c r="F3275" t="s">
        <v>58</v>
      </c>
      <c r="G3275" t="s">
        <v>59</v>
      </c>
      <c r="H3275" t="s">
        <v>60</v>
      </c>
      <c r="J3275" t="s">
        <v>86</v>
      </c>
      <c r="L3275" t="s">
        <v>62</v>
      </c>
      <c r="M3275" t="s">
        <v>63</v>
      </c>
      <c r="N3275" t="s">
        <v>64</v>
      </c>
      <c r="P3275" t="s">
        <v>201</v>
      </c>
      <c r="R3275">
        <v>2.5000000000000001E-2</v>
      </c>
      <c r="T3275">
        <v>1.6E-2</v>
      </c>
      <c r="V3275">
        <v>3.4000000000000002E-2</v>
      </c>
      <c r="W3275" t="s">
        <v>66</v>
      </c>
      <c r="X3275" t="s">
        <v>67</v>
      </c>
      <c r="Y3275" t="s">
        <v>67</v>
      </c>
      <c r="Z3275" t="s">
        <v>68</v>
      </c>
      <c r="AB3275">
        <v>4</v>
      </c>
      <c r="AC3275" t="s">
        <v>61</v>
      </c>
      <c r="AJ3275" t="s">
        <v>69</v>
      </c>
      <c r="AY3275" t="s">
        <v>168</v>
      </c>
      <c r="AZ3275">
        <v>2033</v>
      </c>
      <c r="BA3275" t="s">
        <v>1385</v>
      </c>
      <c r="BB3275" t="s">
        <v>1386</v>
      </c>
      <c r="BC3275">
        <v>1966</v>
      </c>
      <c r="BD3275" t="s">
        <v>90</v>
      </c>
    </row>
    <row r="3276" spans="1:56" x14ac:dyDescent="0.35">
      <c r="A3276">
        <v>7758987</v>
      </c>
      <c r="B3276" t="s">
        <v>2219</v>
      </c>
      <c r="D3276" t="s">
        <v>57</v>
      </c>
      <c r="E3276" t="s">
        <v>86</v>
      </c>
      <c r="F3276" t="s">
        <v>58</v>
      </c>
      <c r="G3276" t="s">
        <v>59</v>
      </c>
      <c r="H3276" t="s">
        <v>60</v>
      </c>
      <c r="I3276" t="s">
        <v>188</v>
      </c>
      <c r="J3276" t="s">
        <v>289</v>
      </c>
      <c r="K3276" t="s">
        <v>184</v>
      </c>
      <c r="L3276" t="s">
        <v>74</v>
      </c>
      <c r="M3276" t="s">
        <v>63</v>
      </c>
      <c r="N3276" t="s">
        <v>64</v>
      </c>
      <c r="P3276" t="s">
        <v>201</v>
      </c>
      <c r="R3276">
        <v>0.60607312499999999</v>
      </c>
      <c r="T3276">
        <v>0.5495063</v>
      </c>
      <c r="V3276">
        <v>0.67072092500000002</v>
      </c>
      <c r="W3276" t="s">
        <v>66</v>
      </c>
      <c r="X3276" t="s">
        <v>67</v>
      </c>
      <c r="Y3276" t="s">
        <v>67</v>
      </c>
      <c r="Z3276" t="s">
        <v>68</v>
      </c>
      <c r="AB3276">
        <v>4</v>
      </c>
      <c r="AC3276" t="s">
        <v>61</v>
      </c>
      <c r="AJ3276" t="s">
        <v>69</v>
      </c>
      <c r="AY3276" t="s">
        <v>2220</v>
      </c>
      <c r="AZ3276">
        <v>16342</v>
      </c>
      <c r="BA3276" t="s">
        <v>2221</v>
      </c>
      <c r="BB3276" t="s">
        <v>2222</v>
      </c>
      <c r="BC3276">
        <v>1996</v>
      </c>
      <c r="BD3276" t="s">
        <v>185</v>
      </c>
    </row>
    <row r="3277" spans="1:56" x14ac:dyDescent="0.35">
      <c r="A3277">
        <v>7758987</v>
      </c>
      <c r="B3277" t="s">
        <v>2219</v>
      </c>
      <c r="D3277" t="s">
        <v>57</v>
      </c>
      <c r="E3277" t="s">
        <v>86</v>
      </c>
      <c r="F3277" t="s">
        <v>58</v>
      </c>
      <c r="G3277" t="s">
        <v>59</v>
      </c>
      <c r="H3277" t="s">
        <v>60</v>
      </c>
      <c r="I3277" t="s">
        <v>188</v>
      </c>
      <c r="J3277" t="s">
        <v>289</v>
      </c>
      <c r="K3277" t="s">
        <v>184</v>
      </c>
      <c r="L3277" t="s">
        <v>62</v>
      </c>
      <c r="M3277" t="s">
        <v>63</v>
      </c>
      <c r="N3277" t="s">
        <v>64</v>
      </c>
      <c r="O3277">
        <v>6</v>
      </c>
      <c r="P3277" t="s">
        <v>201</v>
      </c>
      <c r="R3277">
        <v>1.7939764499999999</v>
      </c>
      <c r="T3277">
        <v>1.40608965</v>
      </c>
      <c r="V3277">
        <v>2.2788349499999998</v>
      </c>
      <c r="W3277" t="s">
        <v>66</v>
      </c>
      <c r="X3277" t="s">
        <v>67</v>
      </c>
      <c r="Y3277" t="s">
        <v>67</v>
      </c>
      <c r="Z3277" t="s">
        <v>68</v>
      </c>
      <c r="AB3277">
        <v>4</v>
      </c>
      <c r="AC3277" t="s">
        <v>61</v>
      </c>
      <c r="AJ3277" t="s">
        <v>69</v>
      </c>
      <c r="AY3277" t="s">
        <v>2233</v>
      </c>
      <c r="AZ3277">
        <v>76238</v>
      </c>
      <c r="BA3277" t="s">
        <v>2234</v>
      </c>
      <c r="BB3277" t="s">
        <v>2235</v>
      </c>
      <c r="BC3277">
        <v>1996</v>
      </c>
      <c r="BD3277" t="s">
        <v>185</v>
      </c>
    </row>
    <row r="3278" spans="1:56" x14ac:dyDescent="0.35">
      <c r="A3278">
        <v>7758987</v>
      </c>
      <c r="B3278" t="s">
        <v>2219</v>
      </c>
      <c r="D3278" t="s">
        <v>57</v>
      </c>
      <c r="E3278" t="s">
        <v>86</v>
      </c>
      <c r="F3278" t="s">
        <v>58</v>
      </c>
      <c r="G3278" t="s">
        <v>59</v>
      </c>
      <c r="H3278" t="s">
        <v>60</v>
      </c>
      <c r="I3278" t="s">
        <v>188</v>
      </c>
      <c r="J3278" t="s">
        <v>289</v>
      </c>
      <c r="K3278" t="s">
        <v>184</v>
      </c>
      <c r="L3278" t="s">
        <v>62</v>
      </c>
      <c r="M3278" t="s">
        <v>63</v>
      </c>
      <c r="N3278" t="s">
        <v>64</v>
      </c>
      <c r="O3278">
        <v>6</v>
      </c>
      <c r="P3278" t="s">
        <v>201</v>
      </c>
      <c r="R3278">
        <v>0.26667217500000001</v>
      </c>
      <c r="T3278">
        <v>0.21657013</v>
      </c>
      <c r="V3278">
        <v>0.32808758500000001</v>
      </c>
      <c r="W3278" t="s">
        <v>66</v>
      </c>
      <c r="X3278" t="s">
        <v>67</v>
      </c>
      <c r="Y3278" t="s">
        <v>67</v>
      </c>
      <c r="Z3278" t="s">
        <v>68</v>
      </c>
      <c r="AB3278">
        <v>4</v>
      </c>
      <c r="AC3278" t="s">
        <v>61</v>
      </c>
      <c r="AJ3278" t="s">
        <v>69</v>
      </c>
      <c r="AY3278" t="s">
        <v>2233</v>
      </c>
      <c r="AZ3278">
        <v>76238</v>
      </c>
      <c r="BA3278" t="s">
        <v>2234</v>
      </c>
      <c r="BB3278" t="s">
        <v>2235</v>
      </c>
      <c r="BC3278">
        <v>1996</v>
      </c>
      <c r="BD3278" t="s">
        <v>185</v>
      </c>
    </row>
    <row r="3279" spans="1:56" x14ac:dyDescent="0.35">
      <c r="A3279">
        <v>7758987</v>
      </c>
      <c r="B3279" t="s">
        <v>2219</v>
      </c>
      <c r="D3279" t="s">
        <v>85</v>
      </c>
      <c r="E3279" t="s">
        <v>86</v>
      </c>
      <c r="F3279" t="s">
        <v>58</v>
      </c>
      <c r="G3279" t="s">
        <v>59</v>
      </c>
      <c r="H3279" t="s">
        <v>60</v>
      </c>
      <c r="I3279" t="s">
        <v>188</v>
      </c>
      <c r="J3279" t="s">
        <v>289</v>
      </c>
      <c r="K3279" t="s">
        <v>184</v>
      </c>
      <c r="L3279" t="s">
        <v>190</v>
      </c>
      <c r="M3279" t="s">
        <v>63</v>
      </c>
      <c r="N3279" t="s">
        <v>64</v>
      </c>
      <c r="O3279">
        <v>6</v>
      </c>
      <c r="P3279" t="s">
        <v>1296</v>
      </c>
      <c r="R3279">
        <v>0.1061</v>
      </c>
      <c r="T3279">
        <v>8.2000000000000003E-2</v>
      </c>
      <c r="V3279">
        <v>0.13789999999999999</v>
      </c>
      <c r="W3279" t="s">
        <v>66</v>
      </c>
      <c r="X3279" t="s">
        <v>67</v>
      </c>
      <c r="Y3279" t="s">
        <v>67</v>
      </c>
      <c r="Z3279" t="s">
        <v>68</v>
      </c>
      <c r="AB3279">
        <v>4</v>
      </c>
      <c r="AC3279" t="s">
        <v>61</v>
      </c>
      <c r="AJ3279" t="s">
        <v>69</v>
      </c>
      <c r="AY3279" t="s">
        <v>2245</v>
      </c>
      <c r="AZ3279">
        <v>80428</v>
      </c>
      <c r="BA3279" t="s">
        <v>2246</v>
      </c>
      <c r="BB3279" t="s">
        <v>2247</v>
      </c>
      <c r="BC3279">
        <v>2004</v>
      </c>
      <c r="BD3279" t="s">
        <v>185</v>
      </c>
    </row>
    <row r="3280" spans="1:56" x14ac:dyDescent="0.35">
      <c r="A3280">
        <v>7758987</v>
      </c>
      <c r="B3280" t="s">
        <v>2219</v>
      </c>
      <c r="D3280" t="s">
        <v>57</v>
      </c>
      <c r="E3280" t="s">
        <v>86</v>
      </c>
      <c r="F3280" t="s">
        <v>58</v>
      </c>
      <c r="G3280" t="s">
        <v>59</v>
      </c>
      <c r="H3280" t="s">
        <v>60</v>
      </c>
      <c r="I3280" t="s">
        <v>188</v>
      </c>
      <c r="J3280" t="s">
        <v>289</v>
      </c>
      <c r="K3280" t="s">
        <v>184</v>
      </c>
      <c r="L3280" t="s">
        <v>62</v>
      </c>
      <c r="M3280" t="s">
        <v>63</v>
      </c>
      <c r="N3280" t="s">
        <v>64</v>
      </c>
      <c r="P3280" t="s">
        <v>201</v>
      </c>
      <c r="R3280">
        <v>1.0699999999999999E-2</v>
      </c>
      <c r="T3280">
        <v>8.9999999999999993E-3</v>
      </c>
      <c r="V3280">
        <v>1.2699999999999999E-2</v>
      </c>
      <c r="W3280" t="s">
        <v>66</v>
      </c>
      <c r="X3280" t="s">
        <v>67</v>
      </c>
      <c r="Y3280" t="s">
        <v>67</v>
      </c>
      <c r="Z3280" t="s">
        <v>68</v>
      </c>
      <c r="AB3280">
        <v>4</v>
      </c>
      <c r="AC3280" t="s">
        <v>61</v>
      </c>
      <c r="AJ3280" t="s">
        <v>69</v>
      </c>
      <c r="AY3280" t="s">
        <v>2230</v>
      </c>
      <c r="AZ3280">
        <v>17105</v>
      </c>
      <c r="BA3280" t="s">
        <v>2231</v>
      </c>
      <c r="BB3280" t="s">
        <v>2232</v>
      </c>
      <c r="BC3280">
        <v>1996</v>
      </c>
      <c r="BD3280" t="s">
        <v>185</v>
      </c>
    </row>
    <row r="3281" spans="1:56" x14ac:dyDescent="0.35">
      <c r="A3281">
        <v>7758987</v>
      </c>
      <c r="B3281" t="s">
        <v>2219</v>
      </c>
      <c r="D3281" t="s">
        <v>57</v>
      </c>
      <c r="E3281" t="s">
        <v>86</v>
      </c>
      <c r="F3281" t="s">
        <v>58</v>
      </c>
      <c r="G3281" t="s">
        <v>59</v>
      </c>
      <c r="H3281" t="s">
        <v>60</v>
      </c>
      <c r="J3281" t="s">
        <v>86</v>
      </c>
      <c r="L3281" t="s">
        <v>62</v>
      </c>
      <c r="M3281" t="s">
        <v>63</v>
      </c>
      <c r="N3281" t="s">
        <v>64</v>
      </c>
      <c r="P3281" t="s">
        <v>1296</v>
      </c>
      <c r="R3281">
        <v>0.75</v>
      </c>
      <c r="W3281" t="s">
        <v>66</v>
      </c>
      <c r="X3281" t="s">
        <v>67</v>
      </c>
      <c r="Y3281" t="s">
        <v>67</v>
      </c>
      <c r="Z3281" t="s">
        <v>68</v>
      </c>
      <c r="AB3281">
        <v>4</v>
      </c>
      <c r="AC3281" t="s">
        <v>61</v>
      </c>
      <c r="AJ3281" t="s">
        <v>69</v>
      </c>
      <c r="AQ3281" t="s">
        <v>69</v>
      </c>
      <c r="AY3281" t="s">
        <v>2223</v>
      </c>
      <c r="AZ3281">
        <v>2071</v>
      </c>
      <c r="BA3281" t="s">
        <v>2224</v>
      </c>
      <c r="BB3281" t="s">
        <v>2225</v>
      </c>
      <c r="BC3281">
        <v>1976</v>
      </c>
      <c r="BD3281" t="s">
        <v>2042</v>
      </c>
    </row>
    <row r="3282" spans="1:56" x14ac:dyDescent="0.35">
      <c r="A3282">
        <v>7758987</v>
      </c>
      <c r="B3282" t="s">
        <v>2219</v>
      </c>
      <c r="D3282" t="s">
        <v>57</v>
      </c>
      <c r="E3282" t="s">
        <v>86</v>
      </c>
      <c r="F3282" t="s">
        <v>58</v>
      </c>
      <c r="G3282" t="s">
        <v>59</v>
      </c>
      <c r="H3282" t="s">
        <v>60</v>
      </c>
      <c r="J3282" t="s">
        <v>86</v>
      </c>
      <c r="L3282" t="s">
        <v>62</v>
      </c>
      <c r="M3282" t="s">
        <v>63</v>
      </c>
      <c r="N3282" t="s">
        <v>64</v>
      </c>
      <c r="P3282" t="s">
        <v>1296</v>
      </c>
      <c r="Q3282" t="s">
        <v>153</v>
      </c>
      <c r="R3282">
        <v>0.78</v>
      </c>
      <c r="W3282" t="s">
        <v>66</v>
      </c>
      <c r="X3282" t="s">
        <v>67</v>
      </c>
      <c r="Y3282" t="s">
        <v>67</v>
      </c>
      <c r="Z3282" t="s">
        <v>68</v>
      </c>
      <c r="AB3282">
        <v>4</v>
      </c>
      <c r="AC3282" t="s">
        <v>61</v>
      </c>
      <c r="AJ3282" t="s">
        <v>69</v>
      </c>
      <c r="AQ3282" t="s">
        <v>69</v>
      </c>
      <c r="AY3282" t="s">
        <v>2223</v>
      </c>
      <c r="AZ3282">
        <v>2071</v>
      </c>
      <c r="BA3282" t="s">
        <v>2224</v>
      </c>
      <c r="BB3282" t="s">
        <v>2225</v>
      </c>
      <c r="BC3282">
        <v>1976</v>
      </c>
      <c r="BD3282" t="s">
        <v>2315</v>
      </c>
    </row>
    <row r="3283" spans="1:56" x14ac:dyDescent="0.35">
      <c r="A3283">
        <v>7758987</v>
      </c>
      <c r="B3283" t="s">
        <v>2219</v>
      </c>
      <c r="D3283" t="s">
        <v>57</v>
      </c>
      <c r="E3283" t="s">
        <v>86</v>
      </c>
      <c r="F3283" t="s">
        <v>58</v>
      </c>
      <c r="G3283" t="s">
        <v>59</v>
      </c>
      <c r="H3283" t="s">
        <v>60</v>
      </c>
      <c r="I3283" t="s">
        <v>188</v>
      </c>
      <c r="J3283" t="s">
        <v>289</v>
      </c>
      <c r="K3283" t="s">
        <v>184</v>
      </c>
      <c r="L3283" t="s">
        <v>62</v>
      </c>
      <c r="M3283" t="s">
        <v>63</v>
      </c>
      <c r="N3283" t="s">
        <v>64</v>
      </c>
      <c r="O3283">
        <v>6</v>
      </c>
      <c r="P3283" t="s">
        <v>201</v>
      </c>
      <c r="R3283">
        <v>0.21657013</v>
      </c>
      <c r="T3283">
        <v>0.18101384000000001</v>
      </c>
      <c r="V3283">
        <v>0.25697500499999998</v>
      </c>
      <c r="W3283" t="s">
        <v>66</v>
      </c>
      <c r="X3283" t="s">
        <v>67</v>
      </c>
      <c r="Y3283" t="s">
        <v>67</v>
      </c>
      <c r="Z3283" t="s">
        <v>68</v>
      </c>
      <c r="AB3283">
        <v>4</v>
      </c>
      <c r="AC3283" t="s">
        <v>61</v>
      </c>
      <c r="AJ3283" t="s">
        <v>69</v>
      </c>
      <c r="AY3283" t="s">
        <v>2233</v>
      </c>
      <c r="AZ3283">
        <v>76238</v>
      </c>
      <c r="BA3283" t="s">
        <v>2234</v>
      </c>
      <c r="BB3283" t="s">
        <v>2235</v>
      </c>
      <c r="BC3283">
        <v>1996</v>
      </c>
      <c r="BD3283" t="s">
        <v>185</v>
      </c>
    </row>
    <row r="3284" spans="1:56" x14ac:dyDescent="0.35">
      <c r="A3284">
        <v>7758987</v>
      </c>
      <c r="B3284" t="s">
        <v>2219</v>
      </c>
      <c r="D3284" t="s">
        <v>57</v>
      </c>
      <c r="E3284" t="s">
        <v>86</v>
      </c>
      <c r="F3284" t="s">
        <v>58</v>
      </c>
      <c r="G3284" t="s">
        <v>59</v>
      </c>
      <c r="H3284" t="s">
        <v>60</v>
      </c>
      <c r="I3284" t="s">
        <v>188</v>
      </c>
      <c r="J3284" t="s">
        <v>289</v>
      </c>
      <c r="K3284" t="s">
        <v>184</v>
      </c>
      <c r="L3284" t="s">
        <v>62</v>
      </c>
      <c r="M3284" t="s">
        <v>63</v>
      </c>
      <c r="N3284" t="s">
        <v>64</v>
      </c>
      <c r="O3284">
        <v>6</v>
      </c>
      <c r="P3284" t="s">
        <v>201</v>
      </c>
      <c r="R3284">
        <v>0.69496385000000005</v>
      </c>
      <c r="T3284">
        <v>0.63031605000000002</v>
      </c>
      <c r="V3284">
        <v>0.75961164999999997</v>
      </c>
      <c r="W3284" t="s">
        <v>66</v>
      </c>
      <c r="X3284" t="s">
        <v>67</v>
      </c>
      <c r="Y3284" t="s">
        <v>67</v>
      </c>
      <c r="Z3284" t="s">
        <v>68</v>
      </c>
      <c r="AB3284">
        <v>4</v>
      </c>
      <c r="AC3284" t="s">
        <v>61</v>
      </c>
      <c r="AJ3284" t="s">
        <v>69</v>
      </c>
      <c r="AY3284" t="s">
        <v>2233</v>
      </c>
      <c r="AZ3284">
        <v>76238</v>
      </c>
      <c r="BA3284" t="s">
        <v>2234</v>
      </c>
      <c r="BB3284" t="s">
        <v>2235</v>
      </c>
      <c r="BC3284">
        <v>1996</v>
      </c>
      <c r="BD3284" t="s">
        <v>185</v>
      </c>
    </row>
    <row r="3285" spans="1:56" x14ac:dyDescent="0.35">
      <c r="A3285">
        <v>7758987</v>
      </c>
      <c r="B3285" t="s">
        <v>2219</v>
      </c>
      <c r="D3285" t="s">
        <v>57</v>
      </c>
      <c r="E3285" t="s">
        <v>86</v>
      </c>
      <c r="F3285" t="s">
        <v>58</v>
      </c>
      <c r="G3285" t="s">
        <v>59</v>
      </c>
      <c r="H3285" t="s">
        <v>60</v>
      </c>
      <c r="I3285" t="s">
        <v>188</v>
      </c>
      <c r="J3285" t="s">
        <v>289</v>
      </c>
      <c r="K3285" t="s">
        <v>184</v>
      </c>
      <c r="L3285" t="s">
        <v>62</v>
      </c>
      <c r="M3285" t="s">
        <v>63</v>
      </c>
      <c r="N3285" t="s">
        <v>64</v>
      </c>
      <c r="O3285">
        <v>6</v>
      </c>
      <c r="P3285" t="s">
        <v>201</v>
      </c>
      <c r="R3285">
        <v>0.51718240000000004</v>
      </c>
      <c r="T3285">
        <v>0.37172485</v>
      </c>
      <c r="V3285">
        <v>0.71112580000000003</v>
      </c>
      <c r="W3285" t="s">
        <v>66</v>
      </c>
      <c r="X3285" t="s">
        <v>67</v>
      </c>
      <c r="Y3285" t="s">
        <v>67</v>
      </c>
      <c r="Z3285" t="s">
        <v>68</v>
      </c>
      <c r="AB3285">
        <v>4</v>
      </c>
      <c r="AC3285" t="s">
        <v>61</v>
      </c>
      <c r="AJ3285" t="s">
        <v>69</v>
      </c>
      <c r="AY3285" t="s">
        <v>2233</v>
      </c>
      <c r="AZ3285">
        <v>76238</v>
      </c>
      <c r="BA3285" t="s">
        <v>2234</v>
      </c>
      <c r="BB3285" t="s">
        <v>2235</v>
      </c>
      <c r="BC3285">
        <v>1996</v>
      </c>
      <c r="BD3285" t="s">
        <v>185</v>
      </c>
    </row>
    <row r="3286" spans="1:56" x14ac:dyDescent="0.35">
      <c r="A3286">
        <v>7758987</v>
      </c>
      <c r="B3286" t="s">
        <v>2219</v>
      </c>
      <c r="D3286" t="s">
        <v>57</v>
      </c>
      <c r="E3286" t="s">
        <v>86</v>
      </c>
      <c r="F3286" t="s">
        <v>58</v>
      </c>
      <c r="G3286" t="s">
        <v>59</v>
      </c>
      <c r="H3286" t="s">
        <v>60</v>
      </c>
      <c r="I3286" t="s">
        <v>188</v>
      </c>
      <c r="J3286" t="s">
        <v>289</v>
      </c>
      <c r="K3286" t="s">
        <v>184</v>
      </c>
      <c r="L3286" t="s">
        <v>62</v>
      </c>
      <c r="M3286" t="s">
        <v>63</v>
      </c>
      <c r="N3286" t="s">
        <v>64</v>
      </c>
      <c r="O3286">
        <v>6</v>
      </c>
      <c r="P3286" t="s">
        <v>201</v>
      </c>
      <c r="R3286">
        <v>0.35556290000000002</v>
      </c>
      <c r="T3286">
        <v>0.27475315</v>
      </c>
      <c r="V3286">
        <v>0.43637264999999997</v>
      </c>
      <c r="W3286" t="s">
        <v>66</v>
      </c>
      <c r="X3286" t="s">
        <v>67</v>
      </c>
      <c r="Y3286" t="s">
        <v>67</v>
      </c>
      <c r="Z3286" t="s">
        <v>68</v>
      </c>
      <c r="AB3286">
        <v>4</v>
      </c>
      <c r="AC3286" t="s">
        <v>61</v>
      </c>
      <c r="AJ3286" t="s">
        <v>69</v>
      </c>
      <c r="AY3286" t="s">
        <v>2233</v>
      </c>
      <c r="AZ3286">
        <v>76238</v>
      </c>
      <c r="BA3286" t="s">
        <v>2234</v>
      </c>
      <c r="BB3286" t="s">
        <v>2235</v>
      </c>
      <c r="BC3286">
        <v>1996</v>
      </c>
      <c r="BD3286" t="s">
        <v>185</v>
      </c>
    </row>
    <row r="3287" spans="1:56" x14ac:dyDescent="0.35">
      <c r="A3287">
        <v>7758987</v>
      </c>
      <c r="B3287" t="s">
        <v>2219</v>
      </c>
      <c r="D3287" t="s">
        <v>85</v>
      </c>
      <c r="E3287" t="s">
        <v>86</v>
      </c>
      <c r="F3287" t="s">
        <v>58</v>
      </c>
      <c r="G3287" t="s">
        <v>59</v>
      </c>
      <c r="H3287" t="s">
        <v>60</v>
      </c>
      <c r="I3287" t="s">
        <v>188</v>
      </c>
      <c r="J3287" t="s">
        <v>289</v>
      </c>
      <c r="K3287" t="s">
        <v>184</v>
      </c>
      <c r="L3287" t="s">
        <v>190</v>
      </c>
      <c r="M3287" t="s">
        <v>63</v>
      </c>
      <c r="N3287" t="s">
        <v>64</v>
      </c>
      <c r="O3287">
        <v>6</v>
      </c>
      <c r="P3287" t="s">
        <v>1296</v>
      </c>
      <c r="R3287">
        <v>1.5640000000000001</v>
      </c>
      <c r="T3287">
        <v>1.1990000000000001</v>
      </c>
      <c r="V3287">
        <v>2.04</v>
      </c>
      <c r="W3287" t="s">
        <v>66</v>
      </c>
      <c r="X3287" t="s">
        <v>67</v>
      </c>
      <c r="Y3287" t="s">
        <v>67</v>
      </c>
      <c r="Z3287" t="s">
        <v>68</v>
      </c>
      <c r="AB3287">
        <v>4</v>
      </c>
      <c r="AC3287" t="s">
        <v>61</v>
      </c>
      <c r="AJ3287" t="s">
        <v>69</v>
      </c>
      <c r="AY3287" t="s">
        <v>2245</v>
      </c>
      <c r="AZ3287">
        <v>80428</v>
      </c>
      <c r="BA3287" t="s">
        <v>2246</v>
      </c>
      <c r="BB3287" t="s">
        <v>2247</v>
      </c>
      <c r="BC3287">
        <v>2004</v>
      </c>
      <c r="BD3287" t="s">
        <v>185</v>
      </c>
    </row>
    <row r="3288" spans="1:56" x14ac:dyDescent="0.35">
      <c r="A3288">
        <v>7758987</v>
      </c>
      <c r="B3288" t="s">
        <v>2219</v>
      </c>
      <c r="D3288" t="s">
        <v>57</v>
      </c>
      <c r="E3288" t="s">
        <v>86</v>
      </c>
      <c r="F3288" t="s">
        <v>58</v>
      </c>
      <c r="G3288" t="s">
        <v>59</v>
      </c>
      <c r="H3288" t="s">
        <v>60</v>
      </c>
      <c r="J3288" t="s">
        <v>86</v>
      </c>
      <c r="L3288" t="s">
        <v>74</v>
      </c>
      <c r="M3288" t="s">
        <v>63</v>
      </c>
      <c r="N3288" t="s">
        <v>64</v>
      </c>
      <c r="P3288" t="s">
        <v>201</v>
      </c>
      <c r="R3288">
        <v>0.121</v>
      </c>
      <c r="T3288">
        <v>0.105</v>
      </c>
      <c r="V3288">
        <v>0.13900000000000001</v>
      </c>
      <c r="W3288" t="s">
        <v>66</v>
      </c>
      <c r="X3288" t="s">
        <v>67</v>
      </c>
      <c r="Y3288" t="s">
        <v>67</v>
      </c>
      <c r="Z3288" t="s">
        <v>68</v>
      </c>
      <c r="AB3288">
        <v>4</v>
      </c>
      <c r="AC3288" t="s">
        <v>61</v>
      </c>
      <c r="AJ3288" t="s">
        <v>69</v>
      </c>
      <c r="AY3288" t="s">
        <v>2227</v>
      </c>
      <c r="AZ3288">
        <v>5081</v>
      </c>
      <c r="BA3288" t="s">
        <v>2228</v>
      </c>
      <c r="BB3288" t="s">
        <v>2229</v>
      </c>
      <c r="BC3288">
        <v>1978</v>
      </c>
      <c r="BD3288" t="s">
        <v>90</v>
      </c>
    </row>
    <row r="3289" spans="1:56" x14ac:dyDescent="0.35">
      <c r="A3289">
        <v>7758987</v>
      </c>
      <c r="B3289" t="s">
        <v>2219</v>
      </c>
      <c r="C3289" t="s">
        <v>386</v>
      </c>
      <c r="D3289" t="s">
        <v>85</v>
      </c>
      <c r="E3289" t="s">
        <v>86</v>
      </c>
      <c r="F3289" t="s">
        <v>58</v>
      </c>
      <c r="G3289" t="s">
        <v>59</v>
      </c>
      <c r="H3289" t="s">
        <v>60</v>
      </c>
      <c r="J3289" t="s">
        <v>86</v>
      </c>
      <c r="L3289" t="s">
        <v>62</v>
      </c>
      <c r="M3289" t="s">
        <v>63</v>
      </c>
      <c r="N3289" t="s">
        <v>64</v>
      </c>
      <c r="P3289" t="s">
        <v>201</v>
      </c>
      <c r="R3289">
        <v>0.76</v>
      </c>
      <c r="T3289">
        <v>0.42</v>
      </c>
      <c r="V3289">
        <v>1.34</v>
      </c>
      <c r="W3289" t="s">
        <v>66</v>
      </c>
      <c r="X3289" t="s">
        <v>67</v>
      </c>
      <c r="Y3289" t="s">
        <v>67</v>
      </c>
      <c r="Z3289" t="s">
        <v>68</v>
      </c>
      <c r="AB3289">
        <v>4</v>
      </c>
      <c r="AC3289" t="s">
        <v>61</v>
      </c>
      <c r="AJ3289" t="s">
        <v>69</v>
      </c>
      <c r="AY3289" t="s">
        <v>2131</v>
      </c>
      <c r="AZ3289">
        <v>10237</v>
      </c>
      <c r="BA3289" t="s">
        <v>2132</v>
      </c>
      <c r="BB3289" t="s">
        <v>2133</v>
      </c>
      <c r="BC3289">
        <v>1983</v>
      </c>
      <c r="BD3289" t="s">
        <v>90</v>
      </c>
    </row>
    <row r="3290" spans="1:56" x14ac:dyDescent="0.35">
      <c r="A3290">
        <v>7758987</v>
      </c>
      <c r="B3290" t="s">
        <v>2219</v>
      </c>
      <c r="D3290" t="s">
        <v>57</v>
      </c>
      <c r="E3290" t="s">
        <v>86</v>
      </c>
      <c r="F3290" t="s">
        <v>58</v>
      </c>
      <c r="G3290" t="s">
        <v>59</v>
      </c>
      <c r="H3290" t="s">
        <v>60</v>
      </c>
      <c r="I3290" t="s">
        <v>188</v>
      </c>
      <c r="J3290" t="s">
        <v>289</v>
      </c>
      <c r="K3290" t="s">
        <v>184</v>
      </c>
      <c r="L3290" t="s">
        <v>62</v>
      </c>
      <c r="M3290" t="s">
        <v>63</v>
      </c>
      <c r="N3290" t="s">
        <v>64</v>
      </c>
      <c r="O3290">
        <v>6</v>
      </c>
      <c r="P3290" t="s">
        <v>201</v>
      </c>
      <c r="R3290">
        <v>0.42021069999999999</v>
      </c>
      <c r="T3290">
        <v>0.35556290000000002</v>
      </c>
      <c r="V3290">
        <v>0.51718240000000004</v>
      </c>
      <c r="W3290" t="s">
        <v>66</v>
      </c>
      <c r="X3290" t="s">
        <v>67</v>
      </c>
      <c r="Y3290" t="s">
        <v>67</v>
      </c>
      <c r="Z3290" t="s">
        <v>68</v>
      </c>
      <c r="AB3290">
        <v>4</v>
      </c>
      <c r="AC3290" t="s">
        <v>61</v>
      </c>
      <c r="AJ3290" t="s">
        <v>69</v>
      </c>
      <c r="AY3290" t="s">
        <v>2233</v>
      </c>
      <c r="AZ3290">
        <v>76238</v>
      </c>
      <c r="BA3290" t="s">
        <v>2234</v>
      </c>
      <c r="BB3290" t="s">
        <v>2235</v>
      </c>
      <c r="BC3290">
        <v>1996</v>
      </c>
      <c r="BD3290" t="s">
        <v>185</v>
      </c>
    </row>
    <row r="3291" spans="1:56" x14ac:dyDescent="0.35">
      <c r="A3291">
        <v>7758987</v>
      </c>
      <c r="B3291" t="s">
        <v>2219</v>
      </c>
      <c r="C3291" t="s">
        <v>195</v>
      </c>
      <c r="D3291" t="s">
        <v>85</v>
      </c>
      <c r="E3291" t="s">
        <v>86</v>
      </c>
      <c r="F3291" t="s">
        <v>58</v>
      </c>
      <c r="G3291" t="s">
        <v>59</v>
      </c>
      <c r="H3291" t="s">
        <v>60</v>
      </c>
      <c r="I3291" t="s">
        <v>129</v>
      </c>
      <c r="J3291" t="s">
        <v>86</v>
      </c>
      <c r="L3291" t="s">
        <v>62</v>
      </c>
      <c r="M3291" t="s">
        <v>63</v>
      </c>
      <c r="N3291" t="s">
        <v>64</v>
      </c>
      <c r="O3291">
        <v>5</v>
      </c>
      <c r="P3291" t="s">
        <v>201</v>
      </c>
      <c r="R3291">
        <v>2.1</v>
      </c>
      <c r="W3291" t="s">
        <v>66</v>
      </c>
      <c r="X3291" t="s">
        <v>67</v>
      </c>
      <c r="Y3291" t="s">
        <v>67</v>
      </c>
      <c r="Z3291" t="s">
        <v>68</v>
      </c>
      <c r="AB3291">
        <v>4</v>
      </c>
      <c r="AC3291" t="s">
        <v>61</v>
      </c>
      <c r="AJ3291" t="s">
        <v>69</v>
      </c>
      <c r="AY3291" t="s">
        <v>298</v>
      </c>
      <c r="AZ3291">
        <v>11951</v>
      </c>
      <c r="BA3291" t="s">
        <v>299</v>
      </c>
      <c r="BB3291" t="s">
        <v>300</v>
      </c>
      <c r="BC3291">
        <v>1986</v>
      </c>
      <c r="BD3291" t="s">
        <v>90</v>
      </c>
    </row>
    <row r="3292" spans="1:56" x14ac:dyDescent="0.35">
      <c r="A3292">
        <v>7758987</v>
      </c>
      <c r="B3292" t="s">
        <v>2219</v>
      </c>
      <c r="C3292" t="s">
        <v>386</v>
      </c>
      <c r="D3292" t="s">
        <v>85</v>
      </c>
      <c r="E3292" t="s">
        <v>86</v>
      </c>
      <c r="F3292" t="s">
        <v>58</v>
      </c>
      <c r="G3292" t="s">
        <v>59</v>
      </c>
      <c r="H3292" t="s">
        <v>60</v>
      </c>
      <c r="J3292" t="s">
        <v>86</v>
      </c>
      <c r="L3292" t="s">
        <v>62</v>
      </c>
      <c r="M3292" t="s">
        <v>63</v>
      </c>
      <c r="P3292" t="s">
        <v>201</v>
      </c>
      <c r="R3292">
        <v>0.12</v>
      </c>
      <c r="T3292">
        <v>0.09</v>
      </c>
      <c r="V3292">
        <v>0.16</v>
      </c>
      <c r="W3292" t="s">
        <v>66</v>
      </c>
      <c r="X3292" t="s">
        <v>67</v>
      </c>
      <c r="Y3292" t="s">
        <v>67</v>
      </c>
      <c r="Z3292" t="s">
        <v>68</v>
      </c>
      <c r="AB3292">
        <v>4</v>
      </c>
      <c r="AC3292" t="s">
        <v>61</v>
      </c>
      <c r="AJ3292" t="s">
        <v>69</v>
      </c>
      <c r="AY3292" t="s">
        <v>2131</v>
      </c>
      <c r="AZ3292">
        <v>10237</v>
      </c>
      <c r="BA3292" t="s">
        <v>2132</v>
      </c>
      <c r="BB3292" t="s">
        <v>2133</v>
      </c>
      <c r="BC3292">
        <v>1983</v>
      </c>
      <c r="BD3292" t="s">
        <v>90</v>
      </c>
    </row>
    <row r="3293" spans="1:56" x14ac:dyDescent="0.35">
      <c r="A3293">
        <v>7758987</v>
      </c>
      <c r="B3293" t="s">
        <v>2219</v>
      </c>
      <c r="D3293" t="s">
        <v>57</v>
      </c>
      <c r="E3293" t="s">
        <v>86</v>
      </c>
      <c r="F3293" t="s">
        <v>58</v>
      </c>
      <c r="G3293" t="s">
        <v>59</v>
      </c>
      <c r="H3293" t="s">
        <v>60</v>
      </c>
      <c r="I3293" t="s">
        <v>188</v>
      </c>
      <c r="J3293" t="s">
        <v>289</v>
      </c>
      <c r="K3293" t="s">
        <v>184</v>
      </c>
      <c r="L3293" t="s">
        <v>62</v>
      </c>
      <c r="M3293" t="s">
        <v>63</v>
      </c>
      <c r="N3293" t="s">
        <v>64</v>
      </c>
      <c r="P3293" t="s">
        <v>201</v>
      </c>
      <c r="R3293">
        <v>0.36364387500000001</v>
      </c>
      <c r="T3293">
        <v>0.27475315</v>
      </c>
      <c r="V3293">
        <v>0.48485850000000003</v>
      </c>
      <c r="W3293" t="s">
        <v>66</v>
      </c>
      <c r="X3293" t="s">
        <v>67</v>
      </c>
      <c r="Y3293" t="s">
        <v>67</v>
      </c>
      <c r="Z3293" t="s">
        <v>68</v>
      </c>
      <c r="AB3293">
        <v>4</v>
      </c>
      <c r="AC3293" t="s">
        <v>61</v>
      </c>
      <c r="AJ3293" t="s">
        <v>69</v>
      </c>
      <c r="AY3293" t="s">
        <v>2220</v>
      </c>
      <c r="AZ3293">
        <v>16342</v>
      </c>
      <c r="BA3293" t="s">
        <v>2221</v>
      </c>
      <c r="BB3293" t="s">
        <v>2222</v>
      </c>
      <c r="BC3293">
        <v>1996</v>
      </c>
      <c r="BD3293" t="s">
        <v>185</v>
      </c>
    </row>
    <row r="3294" spans="1:56" x14ac:dyDescent="0.35">
      <c r="A3294">
        <v>7758987</v>
      </c>
      <c r="B3294" t="s">
        <v>2219</v>
      </c>
      <c r="D3294" t="s">
        <v>57</v>
      </c>
      <c r="E3294" t="s">
        <v>86</v>
      </c>
      <c r="F3294" t="s">
        <v>58</v>
      </c>
      <c r="G3294" t="s">
        <v>59</v>
      </c>
      <c r="H3294" t="s">
        <v>60</v>
      </c>
      <c r="I3294" t="s">
        <v>188</v>
      </c>
      <c r="J3294" t="s">
        <v>289</v>
      </c>
      <c r="K3294" t="s">
        <v>184</v>
      </c>
      <c r="L3294" t="s">
        <v>62</v>
      </c>
      <c r="M3294" t="s">
        <v>63</v>
      </c>
      <c r="N3294" t="s">
        <v>64</v>
      </c>
      <c r="P3294" t="s">
        <v>201</v>
      </c>
      <c r="R3294">
        <v>4.3637265000000001E-2</v>
      </c>
      <c r="T3294">
        <v>3.3940095000000003E-2</v>
      </c>
      <c r="V3294">
        <v>5.495063E-2</v>
      </c>
      <c r="W3294" t="s">
        <v>66</v>
      </c>
      <c r="X3294" t="s">
        <v>67</v>
      </c>
      <c r="Y3294" t="s">
        <v>67</v>
      </c>
      <c r="Z3294" t="s">
        <v>68</v>
      </c>
      <c r="AB3294">
        <v>4</v>
      </c>
      <c r="AC3294" t="s">
        <v>61</v>
      </c>
      <c r="AJ3294" t="s">
        <v>69</v>
      </c>
      <c r="AY3294" t="s">
        <v>2220</v>
      </c>
      <c r="AZ3294">
        <v>16342</v>
      </c>
      <c r="BA3294" t="s">
        <v>2221</v>
      </c>
      <c r="BB3294" t="s">
        <v>2222</v>
      </c>
      <c r="BC3294">
        <v>1996</v>
      </c>
      <c r="BD3294" t="s">
        <v>185</v>
      </c>
    </row>
    <row r="3295" spans="1:56" x14ac:dyDescent="0.35">
      <c r="A3295">
        <v>7758987</v>
      </c>
      <c r="B3295" t="s">
        <v>2219</v>
      </c>
      <c r="D3295" t="s">
        <v>85</v>
      </c>
      <c r="E3295" t="s">
        <v>86</v>
      </c>
      <c r="F3295" t="s">
        <v>58</v>
      </c>
      <c r="G3295" t="s">
        <v>59</v>
      </c>
      <c r="H3295" t="s">
        <v>60</v>
      </c>
      <c r="J3295" t="s">
        <v>86</v>
      </c>
      <c r="L3295" t="s">
        <v>62</v>
      </c>
      <c r="M3295" t="s">
        <v>63</v>
      </c>
      <c r="N3295" t="s">
        <v>64</v>
      </c>
      <c r="P3295" t="s">
        <v>201</v>
      </c>
      <c r="R3295">
        <v>2.3E-2</v>
      </c>
      <c r="T3295">
        <v>1.4999999999999999E-2</v>
      </c>
      <c r="V3295">
        <v>3.5999999999999997E-2</v>
      </c>
      <c r="W3295" t="s">
        <v>66</v>
      </c>
      <c r="X3295" t="s">
        <v>67</v>
      </c>
      <c r="Y3295" t="s">
        <v>67</v>
      </c>
      <c r="Z3295" t="s">
        <v>68</v>
      </c>
      <c r="AB3295">
        <v>4</v>
      </c>
      <c r="AC3295" t="s">
        <v>61</v>
      </c>
      <c r="AJ3295" t="s">
        <v>69</v>
      </c>
      <c r="AY3295" t="s">
        <v>168</v>
      </c>
      <c r="AZ3295">
        <v>2033</v>
      </c>
      <c r="BA3295" t="s">
        <v>1385</v>
      </c>
      <c r="BB3295" t="s">
        <v>1386</v>
      </c>
      <c r="BC3295">
        <v>1966</v>
      </c>
      <c r="BD3295" t="s">
        <v>90</v>
      </c>
    </row>
    <row r="3296" spans="1:56" x14ac:dyDescent="0.35">
      <c r="A3296">
        <v>7758987</v>
      </c>
      <c r="B3296" t="s">
        <v>2219</v>
      </c>
      <c r="D3296" t="s">
        <v>57</v>
      </c>
      <c r="E3296" t="s">
        <v>86</v>
      </c>
      <c r="F3296" t="s">
        <v>58</v>
      </c>
      <c r="G3296" t="s">
        <v>59</v>
      </c>
      <c r="H3296" t="s">
        <v>60</v>
      </c>
      <c r="J3296" t="s">
        <v>86</v>
      </c>
      <c r="L3296" t="s">
        <v>62</v>
      </c>
      <c r="M3296" t="s">
        <v>63</v>
      </c>
      <c r="N3296" t="s">
        <v>64</v>
      </c>
      <c r="P3296" t="s">
        <v>1296</v>
      </c>
      <c r="R3296">
        <v>0.64</v>
      </c>
      <c r="W3296" t="s">
        <v>66</v>
      </c>
      <c r="X3296" t="s">
        <v>67</v>
      </c>
      <c r="Y3296" t="s">
        <v>67</v>
      </c>
      <c r="Z3296" t="s">
        <v>68</v>
      </c>
      <c r="AB3296">
        <v>4</v>
      </c>
      <c r="AC3296" t="s">
        <v>61</v>
      </c>
      <c r="AJ3296" t="s">
        <v>69</v>
      </c>
      <c r="AQ3296" t="s">
        <v>69</v>
      </c>
      <c r="AY3296" t="s">
        <v>2223</v>
      </c>
      <c r="AZ3296">
        <v>2071</v>
      </c>
      <c r="BA3296" t="s">
        <v>2224</v>
      </c>
      <c r="BB3296" t="s">
        <v>2225</v>
      </c>
      <c r="BC3296">
        <v>1976</v>
      </c>
      <c r="BD3296" t="s">
        <v>2314</v>
      </c>
    </row>
    <row r="3297" spans="1:56" x14ac:dyDescent="0.35">
      <c r="A3297">
        <v>7758987</v>
      </c>
      <c r="B3297" t="s">
        <v>2219</v>
      </c>
      <c r="D3297" t="s">
        <v>57</v>
      </c>
      <c r="E3297" t="s">
        <v>86</v>
      </c>
      <c r="F3297" t="s">
        <v>58</v>
      </c>
      <c r="G3297" t="s">
        <v>59</v>
      </c>
      <c r="H3297" t="s">
        <v>60</v>
      </c>
      <c r="I3297" t="s">
        <v>188</v>
      </c>
      <c r="J3297" t="s">
        <v>289</v>
      </c>
      <c r="K3297" t="s">
        <v>184</v>
      </c>
      <c r="L3297" t="s">
        <v>62</v>
      </c>
      <c r="M3297" t="s">
        <v>63</v>
      </c>
      <c r="N3297" t="s">
        <v>64</v>
      </c>
      <c r="O3297">
        <v>6</v>
      </c>
      <c r="P3297" t="s">
        <v>201</v>
      </c>
      <c r="R3297">
        <v>0.35556290000000002</v>
      </c>
      <c r="T3297">
        <v>0.29091509999999998</v>
      </c>
      <c r="V3297">
        <v>0.42021069999999999</v>
      </c>
      <c r="W3297" t="s">
        <v>66</v>
      </c>
      <c r="X3297" t="s">
        <v>67</v>
      </c>
      <c r="Y3297" t="s">
        <v>67</v>
      </c>
      <c r="Z3297" t="s">
        <v>68</v>
      </c>
      <c r="AB3297">
        <v>4</v>
      </c>
      <c r="AC3297" t="s">
        <v>61</v>
      </c>
      <c r="AJ3297" t="s">
        <v>69</v>
      </c>
      <c r="AY3297" t="s">
        <v>2233</v>
      </c>
      <c r="AZ3297">
        <v>76238</v>
      </c>
      <c r="BA3297" t="s">
        <v>2234</v>
      </c>
      <c r="BB3297" t="s">
        <v>2235</v>
      </c>
      <c r="BC3297">
        <v>1996</v>
      </c>
      <c r="BD3297" t="s">
        <v>185</v>
      </c>
    </row>
    <row r="3298" spans="1:56" x14ac:dyDescent="0.35">
      <c r="A3298">
        <v>7758987</v>
      </c>
      <c r="B3298" t="s">
        <v>2219</v>
      </c>
      <c r="D3298" t="s">
        <v>57</v>
      </c>
      <c r="E3298" t="s">
        <v>86</v>
      </c>
      <c r="F3298" t="s">
        <v>58</v>
      </c>
      <c r="G3298" t="s">
        <v>59</v>
      </c>
      <c r="H3298" t="s">
        <v>60</v>
      </c>
      <c r="J3298" t="s">
        <v>86</v>
      </c>
      <c r="L3298" t="s">
        <v>62</v>
      </c>
      <c r="M3298" t="s">
        <v>63</v>
      </c>
      <c r="N3298" t="s">
        <v>64</v>
      </c>
      <c r="P3298" t="s">
        <v>1296</v>
      </c>
      <c r="Q3298" t="s">
        <v>153</v>
      </c>
      <c r="R3298">
        <v>0.83</v>
      </c>
      <c r="W3298" t="s">
        <v>66</v>
      </c>
      <c r="X3298" t="s">
        <v>67</v>
      </c>
      <c r="Y3298" t="s">
        <v>67</v>
      </c>
      <c r="Z3298" t="s">
        <v>68</v>
      </c>
      <c r="AB3298">
        <v>4</v>
      </c>
      <c r="AC3298" t="s">
        <v>61</v>
      </c>
      <c r="AJ3298" t="s">
        <v>69</v>
      </c>
      <c r="AQ3298" t="s">
        <v>69</v>
      </c>
      <c r="AY3298" t="s">
        <v>2223</v>
      </c>
      <c r="AZ3298">
        <v>2071</v>
      </c>
      <c r="BA3298" t="s">
        <v>2224</v>
      </c>
      <c r="BB3298" t="s">
        <v>2225</v>
      </c>
      <c r="BC3298">
        <v>1976</v>
      </c>
      <c r="BD3298" t="s">
        <v>2316</v>
      </c>
    </row>
    <row r="3299" spans="1:56" x14ac:dyDescent="0.35">
      <c r="A3299">
        <v>7758987</v>
      </c>
      <c r="B3299" t="s">
        <v>2219</v>
      </c>
      <c r="D3299" t="s">
        <v>57</v>
      </c>
      <c r="E3299" t="s">
        <v>86</v>
      </c>
      <c r="F3299" t="s">
        <v>58</v>
      </c>
      <c r="G3299" t="s">
        <v>59</v>
      </c>
      <c r="H3299" t="s">
        <v>60</v>
      </c>
      <c r="I3299" t="s">
        <v>188</v>
      </c>
      <c r="J3299" t="s">
        <v>289</v>
      </c>
      <c r="K3299" t="s">
        <v>184</v>
      </c>
      <c r="L3299" t="s">
        <v>74</v>
      </c>
      <c r="M3299" t="s">
        <v>63</v>
      </c>
      <c r="N3299" t="s">
        <v>64</v>
      </c>
      <c r="P3299" t="s">
        <v>201</v>
      </c>
      <c r="R3299">
        <v>0.22465110499999999</v>
      </c>
      <c r="W3299" t="s">
        <v>66</v>
      </c>
      <c r="X3299" t="s">
        <v>67</v>
      </c>
      <c r="Y3299" t="s">
        <v>67</v>
      </c>
      <c r="Z3299" t="s">
        <v>68</v>
      </c>
      <c r="AB3299">
        <v>4</v>
      </c>
      <c r="AC3299" t="s">
        <v>61</v>
      </c>
      <c r="AJ3299" t="s">
        <v>69</v>
      </c>
      <c r="AY3299" t="s">
        <v>2220</v>
      </c>
      <c r="AZ3299">
        <v>16342</v>
      </c>
      <c r="BA3299" t="s">
        <v>2221</v>
      </c>
      <c r="BB3299" t="s">
        <v>2222</v>
      </c>
      <c r="BC3299">
        <v>1996</v>
      </c>
      <c r="BD3299" t="s">
        <v>185</v>
      </c>
    </row>
    <row r="3300" spans="1:56" x14ac:dyDescent="0.35">
      <c r="A3300">
        <v>7758987</v>
      </c>
      <c r="B3300" t="s">
        <v>2219</v>
      </c>
      <c r="D3300" t="s">
        <v>85</v>
      </c>
      <c r="E3300" t="s">
        <v>86</v>
      </c>
      <c r="F3300" t="s">
        <v>58</v>
      </c>
      <c r="G3300" t="s">
        <v>59</v>
      </c>
      <c r="H3300" t="s">
        <v>60</v>
      </c>
      <c r="I3300" t="s">
        <v>188</v>
      </c>
      <c r="J3300" t="s">
        <v>289</v>
      </c>
      <c r="K3300" t="s">
        <v>184</v>
      </c>
      <c r="L3300" t="s">
        <v>190</v>
      </c>
      <c r="M3300" t="s">
        <v>63</v>
      </c>
      <c r="N3300" t="s">
        <v>64</v>
      </c>
      <c r="O3300">
        <v>6</v>
      </c>
      <c r="P3300" t="s">
        <v>1296</v>
      </c>
      <c r="R3300">
        <v>0.40239999999999998</v>
      </c>
      <c r="T3300">
        <v>0.32469999999999999</v>
      </c>
      <c r="V3300">
        <v>0.49869999999999998</v>
      </c>
      <c r="W3300" t="s">
        <v>66</v>
      </c>
      <c r="X3300" t="s">
        <v>67</v>
      </c>
      <c r="Y3300" t="s">
        <v>67</v>
      </c>
      <c r="Z3300" t="s">
        <v>68</v>
      </c>
      <c r="AB3300">
        <v>4</v>
      </c>
      <c r="AC3300" t="s">
        <v>61</v>
      </c>
      <c r="AJ3300" t="s">
        <v>69</v>
      </c>
      <c r="AY3300" t="s">
        <v>2245</v>
      </c>
      <c r="AZ3300">
        <v>80428</v>
      </c>
      <c r="BA3300" t="s">
        <v>2246</v>
      </c>
      <c r="BB3300" t="s">
        <v>2247</v>
      </c>
      <c r="BC3300">
        <v>2004</v>
      </c>
      <c r="BD3300" t="s">
        <v>185</v>
      </c>
    </row>
    <row r="3301" spans="1:56" x14ac:dyDescent="0.35">
      <c r="A3301">
        <v>7758987</v>
      </c>
      <c r="B3301" t="s">
        <v>2219</v>
      </c>
      <c r="D3301" t="s">
        <v>85</v>
      </c>
      <c r="E3301" t="s">
        <v>86</v>
      </c>
      <c r="F3301" t="s">
        <v>58</v>
      </c>
      <c r="G3301" t="s">
        <v>59</v>
      </c>
      <c r="H3301" t="s">
        <v>60</v>
      </c>
      <c r="I3301" t="s">
        <v>188</v>
      </c>
      <c r="J3301" t="s">
        <v>289</v>
      </c>
      <c r="K3301" t="s">
        <v>184</v>
      </c>
      <c r="L3301" t="s">
        <v>190</v>
      </c>
      <c r="M3301" t="s">
        <v>63</v>
      </c>
      <c r="N3301" t="s">
        <v>64</v>
      </c>
      <c r="O3301">
        <v>6</v>
      </c>
      <c r="P3301" t="s">
        <v>1296</v>
      </c>
      <c r="R3301">
        <v>0.42899999999999999</v>
      </c>
      <c r="T3301">
        <v>0.33079999999999998</v>
      </c>
      <c r="V3301">
        <v>0.55640000000000001</v>
      </c>
      <c r="W3301" t="s">
        <v>66</v>
      </c>
      <c r="X3301" t="s">
        <v>67</v>
      </c>
      <c r="Y3301" t="s">
        <v>67</v>
      </c>
      <c r="Z3301" t="s">
        <v>68</v>
      </c>
      <c r="AB3301">
        <v>4</v>
      </c>
      <c r="AC3301" t="s">
        <v>61</v>
      </c>
      <c r="AJ3301" t="s">
        <v>69</v>
      </c>
      <c r="AY3301" t="s">
        <v>2245</v>
      </c>
      <c r="AZ3301">
        <v>80428</v>
      </c>
      <c r="BA3301" t="s">
        <v>2246</v>
      </c>
      <c r="BB3301" t="s">
        <v>2247</v>
      </c>
      <c r="BC3301">
        <v>2004</v>
      </c>
      <c r="BD3301" t="s">
        <v>185</v>
      </c>
    </row>
    <row r="3302" spans="1:56" x14ac:dyDescent="0.35">
      <c r="A3302">
        <v>7758987</v>
      </c>
      <c r="B3302" t="s">
        <v>2219</v>
      </c>
      <c r="C3302" t="s">
        <v>195</v>
      </c>
      <c r="D3302" t="s">
        <v>57</v>
      </c>
      <c r="E3302" t="s">
        <v>86</v>
      </c>
      <c r="F3302" t="s">
        <v>58</v>
      </c>
      <c r="G3302" t="s">
        <v>59</v>
      </c>
      <c r="H3302" t="s">
        <v>60</v>
      </c>
      <c r="J3302" t="s">
        <v>86</v>
      </c>
      <c r="K3302" t="s">
        <v>61</v>
      </c>
      <c r="L3302" t="s">
        <v>62</v>
      </c>
      <c r="M3302" t="s">
        <v>63</v>
      </c>
      <c r="N3302" t="s">
        <v>64</v>
      </c>
      <c r="P3302" t="s">
        <v>201</v>
      </c>
      <c r="R3302">
        <v>1.2800000000000001E-2</v>
      </c>
      <c r="W3302" t="s">
        <v>66</v>
      </c>
      <c r="X3302" t="s">
        <v>67</v>
      </c>
      <c r="Y3302" t="s">
        <v>67</v>
      </c>
      <c r="Z3302" t="s">
        <v>68</v>
      </c>
      <c r="AB3302">
        <v>4</v>
      </c>
      <c r="AC3302" t="s">
        <v>61</v>
      </c>
      <c r="AJ3302" t="s">
        <v>69</v>
      </c>
      <c r="AY3302" t="s">
        <v>2282</v>
      </c>
      <c r="AZ3302">
        <v>18527</v>
      </c>
      <c r="BA3302" t="s">
        <v>2283</v>
      </c>
      <c r="BB3302" t="s">
        <v>2284</v>
      </c>
      <c r="BC3302">
        <v>1996</v>
      </c>
      <c r="BD3302" t="s">
        <v>2285</v>
      </c>
    </row>
    <row r="3303" spans="1:56" x14ac:dyDescent="0.35">
      <c r="A3303">
        <v>7758987</v>
      </c>
      <c r="B3303" t="s">
        <v>2219</v>
      </c>
      <c r="D3303" t="s">
        <v>57</v>
      </c>
      <c r="E3303" t="s">
        <v>86</v>
      </c>
      <c r="F3303" t="s">
        <v>58</v>
      </c>
      <c r="G3303" t="s">
        <v>59</v>
      </c>
      <c r="H3303" t="s">
        <v>60</v>
      </c>
      <c r="I3303" t="s">
        <v>177</v>
      </c>
      <c r="J3303" t="s">
        <v>505</v>
      </c>
      <c r="K3303" t="s">
        <v>61</v>
      </c>
      <c r="L3303" t="s">
        <v>62</v>
      </c>
      <c r="M3303" t="s">
        <v>63</v>
      </c>
      <c r="N3303" t="s">
        <v>64</v>
      </c>
      <c r="P3303" t="s">
        <v>201</v>
      </c>
      <c r="R3303">
        <v>9.9000000000000008E-3</v>
      </c>
      <c r="T3303">
        <v>8.0000000000000002E-3</v>
      </c>
      <c r="V3303">
        <v>1.21E-2</v>
      </c>
      <c r="W3303" t="s">
        <v>66</v>
      </c>
      <c r="X3303" t="s">
        <v>67</v>
      </c>
      <c r="Y3303" t="s">
        <v>67</v>
      </c>
      <c r="Z3303" t="s">
        <v>68</v>
      </c>
      <c r="AB3303">
        <v>4</v>
      </c>
      <c r="AC3303" t="s">
        <v>61</v>
      </c>
      <c r="AJ3303" t="s">
        <v>69</v>
      </c>
      <c r="AY3303" t="s">
        <v>2236</v>
      </c>
      <c r="AZ3303">
        <v>8034</v>
      </c>
      <c r="BA3303" t="s">
        <v>2237</v>
      </c>
      <c r="BB3303" t="s">
        <v>2238</v>
      </c>
      <c r="BC3303">
        <v>1993</v>
      </c>
      <c r="BD3303" t="s">
        <v>73</v>
      </c>
    </row>
    <row r="3304" spans="1:56" x14ac:dyDescent="0.35">
      <c r="A3304">
        <v>7758987</v>
      </c>
      <c r="B3304" t="s">
        <v>2219</v>
      </c>
      <c r="D3304" t="s">
        <v>57</v>
      </c>
      <c r="E3304" t="s">
        <v>86</v>
      </c>
      <c r="F3304" t="s">
        <v>58</v>
      </c>
      <c r="G3304" t="s">
        <v>59</v>
      </c>
      <c r="H3304" t="s">
        <v>60</v>
      </c>
      <c r="J3304" t="s">
        <v>86</v>
      </c>
      <c r="L3304" t="s">
        <v>74</v>
      </c>
      <c r="M3304" t="s">
        <v>63</v>
      </c>
      <c r="N3304" t="s">
        <v>64</v>
      </c>
      <c r="P3304" t="s">
        <v>201</v>
      </c>
      <c r="R3304">
        <v>0.42</v>
      </c>
      <c r="W3304" t="s">
        <v>66</v>
      </c>
      <c r="X3304" t="s">
        <v>67</v>
      </c>
      <c r="Y3304" t="s">
        <v>67</v>
      </c>
      <c r="Z3304" t="s">
        <v>68</v>
      </c>
      <c r="AB3304">
        <v>4</v>
      </c>
      <c r="AC3304" t="s">
        <v>61</v>
      </c>
      <c r="AJ3304" t="s">
        <v>69</v>
      </c>
      <c r="AY3304" t="s">
        <v>2223</v>
      </c>
      <c r="AZ3304">
        <v>2071</v>
      </c>
      <c r="BA3304" t="s">
        <v>2224</v>
      </c>
      <c r="BB3304" t="s">
        <v>2225</v>
      </c>
      <c r="BC3304">
        <v>1976</v>
      </c>
      <c r="BD3304" t="s">
        <v>90</v>
      </c>
    </row>
    <row r="3305" spans="1:56" x14ac:dyDescent="0.35">
      <c r="A3305">
        <v>7758987</v>
      </c>
      <c r="B3305" t="s">
        <v>2219</v>
      </c>
      <c r="D3305" t="s">
        <v>57</v>
      </c>
      <c r="E3305" t="s">
        <v>86</v>
      </c>
      <c r="F3305" t="s">
        <v>58</v>
      </c>
      <c r="G3305" t="s">
        <v>59</v>
      </c>
      <c r="H3305" t="s">
        <v>60</v>
      </c>
      <c r="J3305" t="s">
        <v>86</v>
      </c>
      <c r="L3305" t="s">
        <v>62</v>
      </c>
      <c r="M3305" t="s">
        <v>63</v>
      </c>
      <c r="N3305" t="s">
        <v>64</v>
      </c>
      <c r="P3305" t="s">
        <v>1296</v>
      </c>
      <c r="R3305">
        <v>0.66</v>
      </c>
      <c r="W3305" t="s">
        <v>66</v>
      </c>
      <c r="X3305" t="s">
        <v>67</v>
      </c>
      <c r="Y3305" t="s">
        <v>67</v>
      </c>
      <c r="Z3305" t="s">
        <v>68</v>
      </c>
      <c r="AB3305">
        <v>4</v>
      </c>
      <c r="AC3305" t="s">
        <v>61</v>
      </c>
      <c r="AJ3305" t="s">
        <v>69</v>
      </c>
      <c r="AQ3305" t="s">
        <v>69</v>
      </c>
      <c r="AY3305" t="s">
        <v>2223</v>
      </c>
      <c r="AZ3305">
        <v>2071</v>
      </c>
      <c r="BA3305" t="s">
        <v>2224</v>
      </c>
      <c r="BB3305" t="s">
        <v>2225</v>
      </c>
      <c r="BC3305">
        <v>1976</v>
      </c>
      <c r="BD3305" t="s">
        <v>2035</v>
      </c>
    </row>
    <row r="3306" spans="1:56" x14ac:dyDescent="0.35">
      <c r="A3306">
        <v>7758987</v>
      </c>
      <c r="B3306" t="s">
        <v>2219</v>
      </c>
      <c r="D3306" t="s">
        <v>57</v>
      </c>
      <c r="E3306" t="s">
        <v>86</v>
      </c>
      <c r="F3306" t="s">
        <v>58</v>
      </c>
      <c r="G3306" t="s">
        <v>59</v>
      </c>
      <c r="H3306" t="s">
        <v>60</v>
      </c>
      <c r="I3306" t="s">
        <v>188</v>
      </c>
      <c r="J3306" t="s">
        <v>289</v>
      </c>
      <c r="K3306" t="s">
        <v>184</v>
      </c>
      <c r="L3306" t="s">
        <v>62</v>
      </c>
      <c r="M3306" t="s">
        <v>63</v>
      </c>
      <c r="N3306" t="s">
        <v>64</v>
      </c>
      <c r="P3306" t="s">
        <v>201</v>
      </c>
      <c r="R3306">
        <v>0.23596447000000001</v>
      </c>
      <c r="T3306">
        <v>0.19394339999999999</v>
      </c>
      <c r="V3306">
        <v>0.28445031999999998</v>
      </c>
      <c r="W3306" t="s">
        <v>66</v>
      </c>
      <c r="X3306" t="s">
        <v>67</v>
      </c>
      <c r="Y3306" t="s">
        <v>67</v>
      </c>
      <c r="Z3306" t="s">
        <v>68</v>
      </c>
      <c r="AB3306">
        <v>4</v>
      </c>
      <c r="AC3306" t="s">
        <v>61</v>
      </c>
      <c r="AJ3306" t="s">
        <v>69</v>
      </c>
      <c r="AY3306" t="s">
        <v>2220</v>
      </c>
      <c r="AZ3306">
        <v>16342</v>
      </c>
      <c r="BA3306" t="s">
        <v>2221</v>
      </c>
      <c r="BB3306" t="s">
        <v>2222</v>
      </c>
      <c r="BC3306">
        <v>1996</v>
      </c>
      <c r="BD3306" t="s">
        <v>185</v>
      </c>
    </row>
    <row r="3307" spans="1:56" x14ac:dyDescent="0.35">
      <c r="A3307">
        <v>7758987</v>
      </c>
      <c r="B3307" t="s">
        <v>2219</v>
      </c>
      <c r="D3307" t="s">
        <v>57</v>
      </c>
      <c r="E3307" t="s">
        <v>86</v>
      </c>
      <c r="F3307" t="s">
        <v>58</v>
      </c>
      <c r="G3307" t="s">
        <v>59</v>
      </c>
      <c r="H3307" t="s">
        <v>60</v>
      </c>
      <c r="J3307" t="s">
        <v>86</v>
      </c>
      <c r="L3307" t="s">
        <v>62</v>
      </c>
      <c r="M3307" t="s">
        <v>63</v>
      </c>
      <c r="N3307" t="s">
        <v>64</v>
      </c>
      <c r="P3307" t="s">
        <v>1296</v>
      </c>
      <c r="Q3307" t="s">
        <v>153</v>
      </c>
      <c r="R3307">
        <v>0.8</v>
      </c>
      <c r="W3307" t="s">
        <v>66</v>
      </c>
      <c r="X3307" t="s">
        <v>67</v>
      </c>
      <c r="Y3307" t="s">
        <v>67</v>
      </c>
      <c r="Z3307" t="s">
        <v>68</v>
      </c>
      <c r="AB3307">
        <v>4</v>
      </c>
      <c r="AC3307" t="s">
        <v>61</v>
      </c>
      <c r="AJ3307" t="s">
        <v>69</v>
      </c>
      <c r="AQ3307" t="s">
        <v>69</v>
      </c>
      <c r="AY3307" t="s">
        <v>2223</v>
      </c>
      <c r="AZ3307">
        <v>2071</v>
      </c>
      <c r="BA3307" t="s">
        <v>2224</v>
      </c>
      <c r="BB3307" t="s">
        <v>2225</v>
      </c>
      <c r="BC3307">
        <v>1976</v>
      </c>
      <c r="BD3307" t="s">
        <v>2029</v>
      </c>
    </row>
    <row r="3308" spans="1:56" x14ac:dyDescent="0.35">
      <c r="A3308">
        <v>7758987</v>
      </c>
      <c r="B3308" t="s">
        <v>2219</v>
      </c>
      <c r="D3308" t="s">
        <v>57</v>
      </c>
      <c r="E3308" t="s">
        <v>86</v>
      </c>
      <c r="F3308" t="s">
        <v>58</v>
      </c>
      <c r="G3308" t="s">
        <v>59</v>
      </c>
      <c r="H3308" t="s">
        <v>60</v>
      </c>
      <c r="I3308" t="s">
        <v>188</v>
      </c>
      <c r="J3308" t="s">
        <v>289</v>
      </c>
      <c r="K3308" t="s">
        <v>184</v>
      </c>
      <c r="L3308" t="s">
        <v>62</v>
      </c>
      <c r="M3308" t="s">
        <v>63</v>
      </c>
      <c r="N3308" t="s">
        <v>64</v>
      </c>
      <c r="P3308" t="s">
        <v>201</v>
      </c>
      <c r="R3308">
        <v>1.9800000000000002E-2</v>
      </c>
      <c r="T3308">
        <v>1.7399999999999999E-2</v>
      </c>
      <c r="V3308">
        <v>2.23E-2</v>
      </c>
      <c r="W3308" t="s">
        <v>66</v>
      </c>
      <c r="X3308" t="s">
        <v>67</v>
      </c>
      <c r="Y3308" t="s">
        <v>67</v>
      </c>
      <c r="Z3308" t="s">
        <v>68</v>
      </c>
      <c r="AB3308">
        <v>4</v>
      </c>
      <c r="AC3308" t="s">
        <v>61</v>
      </c>
      <c r="AJ3308" t="s">
        <v>69</v>
      </c>
      <c r="AY3308" t="s">
        <v>2230</v>
      </c>
      <c r="AZ3308">
        <v>17105</v>
      </c>
      <c r="BA3308" t="s">
        <v>2231</v>
      </c>
      <c r="BB3308" t="s">
        <v>2232</v>
      </c>
      <c r="BC3308">
        <v>1996</v>
      </c>
      <c r="BD3308" t="s">
        <v>185</v>
      </c>
    </row>
    <row r="3309" spans="1:56" x14ac:dyDescent="0.35">
      <c r="A3309">
        <v>7758987</v>
      </c>
      <c r="B3309" t="s">
        <v>2219</v>
      </c>
      <c r="D3309" t="s">
        <v>57</v>
      </c>
      <c r="E3309" t="s">
        <v>86</v>
      </c>
      <c r="F3309" t="s">
        <v>58</v>
      </c>
      <c r="G3309" t="s">
        <v>59</v>
      </c>
      <c r="H3309" t="s">
        <v>60</v>
      </c>
      <c r="I3309" t="s">
        <v>188</v>
      </c>
      <c r="J3309" t="s">
        <v>289</v>
      </c>
      <c r="K3309" t="s">
        <v>184</v>
      </c>
      <c r="L3309" t="s">
        <v>62</v>
      </c>
      <c r="M3309" t="s">
        <v>63</v>
      </c>
      <c r="N3309" t="s">
        <v>64</v>
      </c>
      <c r="P3309" t="s">
        <v>201</v>
      </c>
      <c r="R3309">
        <v>0.31354183000000002</v>
      </c>
      <c r="T3309">
        <v>0.16485189</v>
      </c>
      <c r="V3309">
        <v>0.60122454000000003</v>
      </c>
      <c r="W3309" t="s">
        <v>66</v>
      </c>
      <c r="X3309" t="s">
        <v>67</v>
      </c>
      <c r="Y3309" t="s">
        <v>67</v>
      </c>
      <c r="Z3309" t="s">
        <v>68</v>
      </c>
      <c r="AB3309">
        <v>4</v>
      </c>
      <c r="AC3309" t="s">
        <v>61</v>
      </c>
      <c r="AJ3309" t="s">
        <v>69</v>
      </c>
      <c r="AY3309" t="s">
        <v>2220</v>
      </c>
      <c r="AZ3309">
        <v>16342</v>
      </c>
      <c r="BA3309" t="s">
        <v>2221</v>
      </c>
      <c r="BB3309" t="s">
        <v>2222</v>
      </c>
      <c r="BC3309">
        <v>1996</v>
      </c>
      <c r="BD3309" t="s">
        <v>185</v>
      </c>
    </row>
    <row r="3310" spans="1:56" x14ac:dyDescent="0.35">
      <c r="A3310">
        <v>7758987</v>
      </c>
      <c r="B3310" t="s">
        <v>2219</v>
      </c>
      <c r="D3310" t="s">
        <v>57</v>
      </c>
      <c r="E3310" t="s">
        <v>86</v>
      </c>
      <c r="F3310" t="s">
        <v>58</v>
      </c>
      <c r="G3310" t="s">
        <v>59</v>
      </c>
      <c r="H3310" t="s">
        <v>60</v>
      </c>
      <c r="I3310" t="s">
        <v>188</v>
      </c>
      <c r="J3310" t="s">
        <v>289</v>
      </c>
      <c r="K3310" t="s">
        <v>184</v>
      </c>
      <c r="L3310" t="s">
        <v>74</v>
      </c>
      <c r="M3310" t="s">
        <v>63</v>
      </c>
      <c r="N3310" t="s">
        <v>64</v>
      </c>
      <c r="P3310" t="s">
        <v>201</v>
      </c>
      <c r="R3310">
        <v>0.35556290000000002</v>
      </c>
      <c r="W3310" t="s">
        <v>66</v>
      </c>
      <c r="X3310" t="s">
        <v>67</v>
      </c>
      <c r="Y3310" t="s">
        <v>67</v>
      </c>
      <c r="Z3310" t="s">
        <v>68</v>
      </c>
      <c r="AB3310">
        <v>4</v>
      </c>
      <c r="AC3310" t="s">
        <v>61</v>
      </c>
      <c r="AJ3310" t="s">
        <v>69</v>
      </c>
      <c r="AY3310" t="s">
        <v>2220</v>
      </c>
      <c r="AZ3310">
        <v>16342</v>
      </c>
      <c r="BA3310" t="s">
        <v>2221</v>
      </c>
      <c r="BB3310" t="s">
        <v>2222</v>
      </c>
      <c r="BC3310">
        <v>1996</v>
      </c>
      <c r="BD3310" t="s">
        <v>185</v>
      </c>
    </row>
    <row r="3311" spans="1:56" x14ac:dyDescent="0.35">
      <c r="A3311">
        <v>7758987</v>
      </c>
      <c r="B3311" t="s">
        <v>2219</v>
      </c>
      <c r="D3311" t="s">
        <v>57</v>
      </c>
      <c r="E3311" t="s">
        <v>86</v>
      </c>
      <c r="F3311" t="s">
        <v>58</v>
      </c>
      <c r="G3311" t="s">
        <v>59</v>
      </c>
      <c r="H3311" t="s">
        <v>60</v>
      </c>
      <c r="I3311" t="s">
        <v>188</v>
      </c>
      <c r="J3311" t="s">
        <v>289</v>
      </c>
      <c r="K3311" t="s">
        <v>184</v>
      </c>
      <c r="L3311" t="s">
        <v>74</v>
      </c>
      <c r="M3311" t="s">
        <v>63</v>
      </c>
      <c r="N3311" t="s">
        <v>64</v>
      </c>
      <c r="P3311" t="s">
        <v>201</v>
      </c>
      <c r="R3311">
        <v>0.17293286499999999</v>
      </c>
      <c r="W3311" t="s">
        <v>66</v>
      </c>
      <c r="X3311" t="s">
        <v>67</v>
      </c>
      <c r="Y3311" t="s">
        <v>67</v>
      </c>
      <c r="Z3311" t="s">
        <v>68</v>
      </c>
      <c r="AB3311">
        <v>4</v>
      </c>
      <c r="AC3311" t="s">
        <v>61</v>
      </c>
      <c r="AJ3311" t="s">
        <v>69</v>
      </c>
      <c r="AY3311" t="s">
        <v>2220</v>
      </c>
      <c r="AZ3311">
        <v>16342</v>
      </c>
      <c r="BA3311" t="s">
        <v>2221</v>
      </c>
      <c r="BB3311" t="s">
        <v>2222</v>
      </c>
      <c r="BC3311">
        <v>1996</v>
      </c>
      <c r="BD3311" t="s">
        <v>185</v>
      </c>
    </row>
    <row r="3312" spans="1:56" x14ac:dyDescent="0.35">
      <c r="A3312">
        <v>7758987</v>
      </c>
      <c r="B3312" t="s">
        <v>2219</v>
      </c>
      <c r="D3312" t="s">
        <v>57</v>
      </c>
      <c r="E3312" t="s">
        <v>86</v>
      </c>
      <c r="F3312" t="s">
        <v>58</v>
      </c>
      <c r="G3312" t="s">
        <v>59</v>
      </c>
      <c r="H3312" t="s">
        <v>60</v>
      </c>
      <c r="I3312" t="s">
        <v>188</v>
      </c>
      <c r="J3312" t="s">
        <v>289</v>
      </c>
      <c r="K3312" t="s">
        <v>184</v>
      </c>
      <c r="L3312" t="s">
        <v>74</v>
      </c>
      <c r="M3312" t="s">
        <v>63</v>
      </c>
      <c r="N3312" t="s">
        <v>64</v>
      </c>
      <c r="P3312" t="s">
        <v>201</v>
      </c>
      <c r="R3312">
        <v>5.8183020000000002E-2</v>
      </c>
      <c r="T3312">
        <v>5.0102044999999998E-2</v>
      </c>
      <c r="V3312">
        <v>6.7880190000000007E-2</v>
      </c>
      <c r="W3312" t="s">
        <v>66</v>
      </c>
      <c r="X3312" t="s">
        <v>67</v>
      </c>
      <c r="Y3312" t="s">
        <v>67</v>
      </c>
      <c r="Z3312" t="s">
        <v>68</v>
      </c>
      <c r="AB3312">
        <v>4</v>
      </c>
      <c r="AC3312" t="s">
        <v>61</v>
      </c>
      <c r="AJ3312" t="s">
        <v>69</v>
      </c>
      <c r="AY3312" t="s">
        <v>2220</v>
      </c>
      <c r="AZ3312">
        <v>16342</v>
      </c>
      <c r="BA3312" t="s">
        <v>2221</v>
      </c>
      <c r="BB3312" t="s">
        <v>2222</v>
      </c>
      <c r="BC3312">
        <v>1996</v>
      </c>
      <c r="BD3312" t="s">
        <v>185</v>
      </c>
    </row>
    <row r="3313" spans="1:56" x14ac:dyDescent="0.35">
      <c r="A3313">
        <v>7758987</v>
      </c>
      <c r="B3313" t="s">
        <v>2219</v>
      </c>
      <c r="D3313" t="s">
        <v>57</v>
      </c>
      <c r="E3313" t="s">
        <v>86</v>
      </c>
      <c r="F3313" t="s">
        <v>58</v>
      </c>
      <c r="G3313" t="s">
        <v>59</v>
      </c>
      <c r="H3313" t="s">
        <v>60</v>
      </c>
      <c r="I3313" t="s">
        <v>188</v>
      </c>
      <c r="J3313" t="s">
        <v>289</v>
      </c>
      <c r="K3313" t="s">
        <v>184</v>
      </c>
      <c r="L3313" t="s">
        <v>62</v>
      </c>
      <c r="M3313" t="s">
        <v>63</v>
      </c>
      <c r="N3313" t="s">
        <v>64</v>
      </c>
      <c r="O3313">
        <v>6</v>
      </c>
      <c r="P3313" t="s">
        <v>201</v>
      </c>
      <c r="R3313">
        <v>0.35556290000000002</v>
      </c>
      <c r="T3313">
        <v>0.29091509999999998</v>
      </c>
      <c r="V3313">
        <v>0.40404875000000001</v>
      </c>
      <c r="W3313" t="s">
        <v>66</v>
      </c>
      <c r="X3313" t="s">
        <v>67</v>
      </c>
      <c r="Y3313" t="s">
        <v>67</v>
      </c>
      <c r="Z3313" t="s">
        <v>68</v>
      </c>
      <c r="AB3313">
        <v>4</v>
      </c>
      <c r="AC3313" t="s">
        <v>61</v>
      </c>
      <c r="AJ3313" t="s">
        <v>69</v>
      </c>
      <c r="AY3313" t="s">
        <v>2233</v>
      </c>
      <c r="AZ3313">
        <v>76238</v>
      </c>
      <c r="BA3313" t="s">
        <v>2234</v>
      </c>
      <c r="BB3313" t="s">
        <v>2235</v>
      </c>
      <c r="BC3313">
        <v>1996</v>
      </c>
      <c r="BD3313" t="s">
        <v>185</v>
      </c>
    </row>
    <row r="3314" spans="1:56" x14ac:dyDescent="0.35">
      <c r="A3314">
        <v>7758987</v>
      </c>
      <c r="B3314" t="s">
        <v>2219</v>
      </c>
      <c r="D3314" t="s">
        <v>57</v>
      </c>
      <c r="E3314" t="s">
        <v>86</v>
      </c>
      <c r="F3314" t="s">
        <v>58</v>
      </c>
      <c r="G3314" t="s">
        <v>59</v>
      </c>
      <c r="H3314" t="s">
        <v>60</v>
      </c>
      <c r="I3314" t="s">
        <v>188</v>
      </c>
      <c r="J3314" t="s">
        <v>86</v>
      </c>
      <c r="L3314" t="s">
        <v>74</v>
      </c>
      <c r="M3314" t="s">
        <v>63</v>
      </c>
      <c r="N3314" t="s">
        <v>64</v>
      </c>
      <c r="P3314" t="s">
        <v>1296</v>
      </c>
      <c r="R3314">
        <v>8.6999999999999994E-2</v>
      </c>
      <c r="T3314">
        <v>5.7000000000000002E-2</v>
      </c>
      <c r="V3314">
        <v>0.13500000000000001</v>
      </c>
      <c r="W3314" t="s">
        <v>66</v>
      </c>
      <c r="X3314" t="s">
        <v>67</v>
      </c>
      <c r="Y3314" t="s">
        <v>67</v>
      </c>
      <c r="Z3314" t="s">
        <v>68</v>
      </c>
      <c r="AB3314">
        <v>4</v>
      </c>
      <c r="AC3314" t="s">
        <v>61</v>
      </c>
      <c r="AJ3314" t="s">
        <v>69</v>
      </c>
      <c r="AQ3314" t="s">
        <v>69</v>
      </c>
      <c r="AY3314" t="s">
        <v>2261</v>
      </c>
      <c r="AZ3314">
        <v>5203</v>
      </c>
      <c r="BA3314" t="s">
        <v>2262</v>
      </c>
      <c r="BB3314" t="s">
        <v>2263</v>
      </c>
      <c r="BC3314">
        <v>1985</v>
      </c>
      <c r="BD3314" t="s">
        <v>2317</v>
      </c>
    </row>
    <row r="3315" spans="1:56" x14ac:dyDescent="0.35">
      <c r="A3315">
        <v>7758987</v>
      </c>
      <c r="B3315" t="s">
        <v>2219</v>
      </c>
      <c r="D3315" t="s">
        <v>57</v>
      </c>
      <c r="E3315" t="s">
        <v>86</v>
      </c>
      <c r="F3315" t="s">
        <v>58</v>
      </c>
      <c r="G3315" t="s">
        <v>59</v>
      </c>
      <c r="H3315" t="s">
        <v>60</v>
      </c>
      <c r="I3315" t="s">
        <v>188</v>
      </c>
      <c r="J3315" t="s">
        <v>289</v>
      </c>
      <c r="K3315" t="s">
        <v>184</v>
      </c>
      <c r="L3315" t="s">
        <v>62</v>
      </c>
      <c r="M3315" t="s">
        <v>63</v>
      </c>
      <c r="N3315" t="s">
        <v>64</v>
      </c>
      <c r="O3315">
        <v>6</v>
      </c>
      <c r="P3315" t="s">
        <v>201</v>
      </c>
      <c r="R3315">
        <v>0.31354183000000002</v>
      </c>
      <c r="T3315">
        <v>0.26505598000000002</v>
      </c>
      <c r="V3315">
        <v>0.37334104499999998</v>
      </c>
      <c r="W3315" t="s">
        <v>66</v>
      </c>
      <c r="X3315" t="s">
        <v>67</v>
      </c>
      <c r="Y3315" t="s">
        <v>67</v>
      </c>
      <c r="Z3315" t="s">
        <v>68</v>
      </c>
      <c r="AB3315">
        <v>4</v>
      </c>
      <c r="AC3315" t="s">
        <v>61</v>
      </c>
      <c r="AJ3315" t="s">
        <v>69</v>
      </c>
      <c r="AY3315" t="s">
        <v>2233</v>
      </c>
      <c r="AZ3315">
        <v>76238</v>
      </c>
      <c r="BA3315" t="s">
        <v>2234</v>
      </c>
      <c r="BB3315" t="s">
        <v>2235</v>
      </c>
      <c r="BC3315">
        <v>1996</v>
      </c>
      <c r="BD3315" t="s">
        <v>185</v>
      </c>
    </row>
    <row r="3316" spans="1:56" x14ac:dyDescent="0.35">
      <c r="A3316">
        <v>7758987</v>
      </c>
      <c r="B3316" t="s">
        <v>2219</v>
      </c>
      <c r="D3316" t="s">
        <v>57</v>
      </c>
      <c r="E3316" t="s">
        <v>86</v>
      </c>
      <c r="F3316" t="s">
        <v>58</v>
      </c>
      <c r="G3316" t="s">
        <v>59</v>
      </c>
      <c r="H3316" t="s">
        <v>60</v>
      </c>
      <c r="I3316" t="s">
        <v>188</v>
      </c>
      <c r="J3316" t="s">
        <v>289</v>
      </c>
      <c r="K3316" t="s">
        <v>184</v>
      </c>
      <c r="L3316" t="s">
        <v>62</v>
      </c>
      <c r="M3316" t="s">
        <v>63</v>
      </c>
      <c r="N3316" t="s">
        <v>64</v>
      </c>
      <c r="O3316">
        <v>6</v>
      </c>
      <c r="P3316" t="s">
        <v>201</v>
      </c>
      <c r="R3316">
        <v>4.7839371999999996</v>
      </c>
      <c r="T3316">
        <v>3.1354183</v>
      </c>
      <c r="V3316">
        <v>7.2728774999999999</v>
      </c>
      <c r="W3316" t="s">
        <v>66</v>
      </c>
      <c r="X3316" t="s">
        <v>67</v>
      </c>
      <c r="Y3316" t="s">
        <v>67</v>
      </c>
      <c r="Z3316" t="s">
        <v>68</v>
      </c>
      <c r="AB3316">
        <v>4</v>
      </c>
      <c r="AC3316" t="s">
        <v>61</v>
      </c>
      <c r="AJ3316" t="s">
        <v>69</v>
      </c>
      <c r="AY3316" t="s">
        <v>2233</v>
      </c>
      <c r="AZ3316">
        <v>76238</v>
      </c>
      <c r="BA3316" t="s">
        <v>2234</v>
      </c>
      <c r="BB3316" t="s">
        <v>2235</v>
      </c>
      <c r="BC3316">
        <v>1996</v>
      </c>
      <c r="BD3316" t="s">
        <v>185</v>
      </c>
    </row>
    <row r="3317" spans="1:56" x14ac:dyDescent="0.35">
      <c r="A3317">
        <v>7758987</v>
      </c>
      <c r="B3317" t="s">
        <v>2219</v>
      </c>
      <c r="D3317" t="s">
        <v>57</v>
      </c>
      <c r="E3317" t="s">
        <v>86</v>
      </c>
      <c r="F3317" t="s">
        <v>58</v>
      </c>
      <c r="G3317" t="s">
        <v>59</v>
      </c>
      <c r="H3317" t="s">
        <v>60</v>
      </c>
      <c r="J3317" t="s">
        <v>86</v>
      </c>
      <c r="L3317" t="s">
        <v>74</v>
      </c>
      <c r="M3317" t="s">
        <v>63</v>
      </c>
      <c r="N3317" t="s">
        <v>64</v>
      </c>
      <c r="P3317" t="s">
        <v>1296</v>
      </c>
      <c r="R3317">
        <v>1</v>
      </c>
      <c r="W3317" t="s">
        <v>66</v>
      </c>
      <c r="X3317" t="s">
        <v>67</v>
      </c>
      <c r="Y3317" t="s">
        <v>67</v>
      </c>
      <c r="Z3317" t="s">
        <v>68</v>
      </c>
      <c r="AB3317">
        <v>4</v>
      </c>
      <c r="AC3317" t="s">
        <v>61</v>
      </c>
      <c r="AJ3317" t="s">
        <v>69</v>
      </c>
      <c r="AQ3317" t="s">
        <v>69</v>
      </c>
      <c r="AY3317" t="s">
        <v>2223</v>
      </c>
      <c r="AZ3317">
        <v>2071</v>
      </c>
      <c r="BA3317" t="s">
        <v>2224</v>
      </c>
      <c r="BB3317" t="s">
        <v>2225</v>
      </c>
      <c r="BC3317">
        <v>1976</v>
      </c>
      <c r="BD3317" t="s">
        <v>2318</v>
      </c>
    </row>
    <row r="3318" spans="1:56" x14ac:dyDescent="0.35">
      <c r="A3318">
        <v>7758987</v>
      </c>
      <c r="B3318" t="s">
        <v>2219</v>
      </c>
      <c r="D3318" t="s">
        <v>85</v>
      </c>
      <c r="E3318" t="s">
        <v>86</v>
      </c>
      <c r="F3318" t="s">
        <v>58</v>
      </c>
      <c r="G3318" t="s">
        <v>59</v>
      </c>
      <c r="H3318" t="s">
        <v>60</v>
      </c>
      <c r="I3318" t="s">
        <v>188</v>
      </c>
      <c r="J3318" t="s">
        <v>289</v>
      </c>
      <c r="K3318" t="s">
        <v>184</v>
      </c>
      <c r="L3318" t="s">
        <v>190</v>
      </c>
      <c r="M3318" t="s">
        <v>63</v>
      </c>
      <c r="N3318" t="s">
        <v>64</v>
      </c>
      <c r="O3318">
        <v>6</v>
      </c>
      <c r="P3318" t="s">
        <v>1296</v>
      </c>
      <c r="R3318">
        <v>0.77429999999999999</v>
      </c>
      <c r="T3318">
        <v>0.64100000000000001</v>
      </c>
      <c r="V3318">
        <v>0.93530000000000002</v>
      </c>
      <c r="W3318" t="s">
        <v>66</v>
      </c>
      <c r="X3318" t="s">
        <v>67</v>
      </c>
      <c r="Y3318" t="s">
        <v>67</v>
      </c>
      <c r="Z3318" t="s">
        <v>68</v>
      </c>
      <c r="AB3318">
        <v>4</v>
      </c>
      <c r="AC3318" t="s">
        <v>61</v>
      </c>
      <c r="AJ3318" t="s">
        <v>69</v>
      </c>
      <c r="AY3318" t="s">
        <v>2245</v>
      </c>
      <c r="AZ3318">
        <v>80428</v>
      </c>
      <c r="BA3318" t="s">
        <v>2246</v>
      </c>
      <c r="BB3318" t="s">
        <v>2247</v>
      </c>
      <c r="BC3318">
        <v>2004</v>
      </c>
      <c r="BD3318" t="s">
        <v>185</v>
      </c>
    </row>
    <row r="3319" spans="1:56" x14ac:dyDescent="0.35">
      <c r="A3319">
        <v>7758987</v>
      </c>
      <c r="B3319" t="s">
        <v>2219</v>
      </c>
      <c r="D3319" t="s">
        <v>57</v>
      </c>
      <c r="E3319" t="s">
        <v>86</v>
      </c>
      <c r="F3319" t="s">
        <v>58</v>
      </c>
      <c r="G3319" t="s">
        <v>59</v>
      </c>
      <c r="H3319" t="s">
        <v>60</v>
      </c>
      <c r="I3319" t="s">
        <v>188</v>
      </c>
      <c r="J3319" t="s">
        <v>86</v>
      </c>
      <c r="K3319" t="s">
        <v>184</v>
      </c>
      <c r="L3319" t="s">
        <v>74</v>
      </c>
      <c r="M3319" t="s">
        <v>63</v>
      </c>
      <c r="N3319" t="s">
        <v>64</v>
      </c>
      <c r="P3319" t="s">
        <v>201</v>
      </c>
      <c r="S3319" t="s">
        <v>153</v>
      </c>
      <c r="T3319">
        <v>0.01</v>
      </c>
      <c r="U3319" t="s">
        <v>435</v>
      </c>
      <c r="V3319">
        <v>1.4999999999999999E-2</v>
      </c>
      <c r="W3319" t="s">
        <v>66</v>
      </c>
      <c r="X3319" t="s">
        <v>67</v>
      </c>
      <c r="Y3319" t="s">
        <v>67</v>
      </c>
      <c r="Z3319" t="s">
        <v>68</v>
      </c>
      <c r="AB3319">
        <v>4</v>
      </c>
      <c r="AC3319" t="s">
        <v>61</v>
      </c>
      <c r="AJ3319" t="s">
        <v>69</v>
      </c>
      <c r="AY3319" t="s">
        <v>2249</v>
      </c>
      <c r="AZ3319">
        <v>45189</v>
      </c>
      <c r="BA3319" t="s">
        <v>2250</v>
      </c>
      <c r="BB3319" t="s">
        <v>2251</v>
      </c>
      <c r="BC3319">
        <v>1996</v>
      </c>
      <c r="BD3319" t="s">
        <v>2252</v>
      </c>
    </row>
    <row r="3320" spans="1:56" x14ac:dyDescent="0.35">
      <c r="A3320">
        <v>7758987</v>
      </c>
      <c r="B3320" t="s">
        <v>2219</v>
      </c>
      <c r="D3320" t="s">
        <v>57</v>
      </c>
      <c r="E3320" t="s">
        <v>86</v>
      </c>
      <c r="F3320" t="s">
        <v>58</v>
      </c>
      <c r="G3320" t="s">
        <v>59</v>
      </c>
      <c r="H3320" t="s">
        <v>60</v>
      </c>
      <c r="I3320" t="s">
        <v>188</v>
      </c>
      <c r="J3320" t="s">
        <v>289</v>
      </c>
      <c r="K3320" t="s">
        <v>184</v>
      </c>
      <c r="L3320" t="s">
        <v>62</v>
      </c>
      <c r="M3320" t="s">
        <v>63</v>
      </c>
      <c r="N3320" t="s">
        <v>64</v>
      </c>
      <c r="P3320" t="s">
        <v>201</v>
      </c>
      <c r="R3320">
        <v>9.4000000000000004E-3</v>
      </c>
      <c r="W3320" t="s">
        <v>66</v>
      </c>
      <c r="X3320" t="s">
        <v>67</v>
      </c>
      <c r="Y3320" t="s">
        <v>67</v>
      </c>
      <c r="Z3320" t="s">
        <v>68</v>
      </c>
      <c r="AB3320">
        <v>4</v>
      </c>
      <c r="AC3320" t="s">
        <v>61</v>
      </c>
      <c r="AJ3320" t="s">
        <v>69</v>
      </c>
      <c r="AY3320" t="s">
        <v>2230</v>
      </c>
      <c r="AZ3320">
        <v>17105</v>
      </c>
      <c r="BA3320" t="s">
        <v>2231</v>
      </c>
      <c r="BB3320" t="s">
        <v>2232</v>
      </c>
      <c r="BC3320">
        <v>1996</v>
      </c>
      <c r="BD3320" t="s">
        <v>185</v>
      </c>
    </row>
    <row r="3321" spans="1:56" x14ac:dyDescent="0.35">
      <c r="A3321">
        <v>7758987</v>
      </c>
      <c r="B3321" t="s">
        <v>2219</v>
      </c>
      <c r="D3321" t="s">
        <v>57</v>
      </c>
      <c r="E3321" t="s">
        <v>86</v>
      </c>
      <c r="F3321" t="s">
        <v>58</v>
      </c>
      <c r="G3321" t="s">
        <v>59</v>
      </c>
      <c r="H3321" t="s">
        <v>60</v>
      </c>
      <c r="I3321" t="s">
        <v>188</v>
      </c>
      <c r="J3321" t="s">
        <v>289</v>
      </c>
      <c r="K3321" t="s">
        <v>184</v>
      </c>
      <c r="L3321" t="s">
        <v>74</v>
      </c>
      <c r="M3321" t="s">
        <v>63</v>
      </c>
      <c r="N3321" t="s">
        <v>64</v>
      </c>
      <c r="P3321" t="s">
        <v>201</v>
      </c>
      <c r="R3321">
        <v>1.7778144999999999E-2</v>
      </c>
      <c r="T3321">
        <v>1.6161950000000001E-2</v>
      </c>
      <c r="V3321">
        <v>1.9394339999999999E-2</v>
      </c>
      <c r="W3321" t="s">
        <v>66</v>
      </c>
      <c r="X3321" t="s">
        <v>67</v>
      </c>
      <c r="Y3321" t="s">
        <v>67</v>
      </c>
      <c r="Z3321" t="s">
        <v>68</v>
      </c>
      <c r="AB3321">
        <v>4</v>
      </c>
      <c r="AC3321" t="s">
        <v>61</v>
      </c>
      <c r="AJ3321" t="s">
        <v>69</v>
      </c>
      <c r="AY3321" t="s">
        <v>2220</v>
      </c>
      <c r="AZ3321">
        <v>16342</v>
      </c>
      <c r="BA3321" t="s">
        <v>2221</v>
      </c>
      <c r="BB3321" t="s">
        <v>2222</v>
      </c>
      <c r="BC3321">
        <v>1996</v>
      </c>
      <c r="BD3321" t="s">
        <v>185</v>
      </c>
    </row>
    <row r="3322" spans="1:56" x14ac:dyDescent="0.35">
      <c r="A3322">
        <v>7758987</v>
      </c>
      <c r="B3322" t="s">
        <v>2219</v>
      </c>
      <c r="D3322" t="s">
        <v>57</v>
      </c>
      <c r="E3322" t="s">
        <v>86</v>
      </c>
      <c r="F3322" t="s">
        <v>58</v>
      </c>
      <c r="G3322" t="s">
        <v>59</v>
      </c>
      <c r="H3322" t="s">
        <v>60</v>
      </c>
      <c r="I3322" t="s">
        <v>177</v>
      </c>
      <c r="J3322" t="s">
        <v>505</v>
      </c>
      <c r="K3322" t="s">
        <v>61</v>
      </c>
      <c r="L3322" t="s">
        <v>62</v>
      </c>
      <c r="M3322" t="s">
        <v>63</v>
      </c>
      <c r="N3322" t="s">
        <v>64</v>
      </c>
      <c r="P3322" t="s">
        <v>201</v>
      </c>
      <c r="R3322">
        <v>4.8999999999999998E-3</v>
      </c>
      <c r="T3322">
        <v>3.5999999999999999E-3</v>
      </c>
      <c r="V3322">
        <v>6.4999999999999997E-3</v>
      </c>
      <c r="W3322" t="s">
        <v>66</v>
      </c>
      <c r="X3322" t="s">
        <v>67</v>
      </c>
      <c r="Y3322" t="s">
        <v>67</v>
      </c>
      <c r="Z3322" t="s">
        <v>68</v>
      </c>
      <c r="AB3322">
        <v>4</v>
      </c>
      <c r="AC3322" t="s">
        <v>61</v>
      </c>
      <c r="AJ3322" t="s">
        <v>69</v>
      </c>
      <c r="AY3322" t="s">
        <v>2236</v>
      </c>
      <c r="AZ3322">
        <v>8034</v>
      </c>
      <c r="BA3322" t="s">
        <v>2237</v>
      </c>
      <c r="BB3322" t="s">
        <v>2238</v>
      </c>
      <c r="BC3322">
        <v>1993</v>
      </c>
      <c r="BD3322" t="s">
        <v>73</v>
      </c>
    </row>
    <row r="3323" spans="1:56" x14ac:dyDescent="0.35">
      <c r="A3323">
        <v>7758987</v>
      </c>
      <c r="B3323" t="s">
        <v>2219</v>
      </c>
      <c r="D3323" t="s">
        <v>57</v>
      </c>
      <c r="E3323" t="s">
        <v>86</v>
      </c>
      <c r="F3323" t="s">
        <v>58</v>
      </c>
      <c r="G3323" t="s">
        <v>59</v>
      </c>
      <c r="H3323" t="s">
        <v>60</v>
      </c>
      <c r="J3323" t="s">
        <v>86</v>
      </c>
      <c r="L3323" t="s">
        <v>62</v>
      </c>
      <c r="M3323" t="s">
        <v>63</v>
      </c>
      <c r="N3323" t="s">
        <v>64</v>
      </c>
      <c r="P3323" t="s">
        <v>1296</v>
      </c>
      <c r="R3323">
        <v>1.4</v>
      </c>
      <c r="W3323" t="s">
        <v>66</v>
      </c>
      <c r="X3323" t="s">
        <v>67</v>
      </c>
      <c r="Y3323" t="s">
        <v>67</v>
      </c>
      <c r="Z3323" t="s">
        <v>68</v>
      </c>
      <c r="AB3323">
        <v>4</v>
      </c>
      <c r="AC3323" t="s">
        <v>61</v>
      </c>
      <c r="AJ3323" t="s">
        <v>69</v>
      </c>
      <c r="AQ3323" t="s">
        <v>69</v>
      </c>
      <c r="AY3323" t="s">
        <v>2223</v>
      </c>
      <c r="AZ3323">
        <v>2071</v>
      </c>
      <c r="BA3323" t="s">
        <v>2224</v>
      </c>
      <c r="BB3323" t="s">
        <v>2225</v>
      </c>
      <c r="BC3323">
        <v>1976</v>
      </c>
      <c r="BD3323" t="s">
        <v>2297</v>
      </c>
    </row>
    <row r="3324" spans="1:56" x14ac:dyDescent="0.35">
      <c r="A3324">
        <v>7758987</v>
      </c>
      <c r="B3324" t="s">
        <v>2219</v>
      </c>
      <c r="D3324" t="s">
        <v>57</v>
      </c>
      <c r="E3324" t="s">
        <v>86</v>
      </c>
      <c r="F3324" t="s">
        <v>58</v>
      </c>
      <c r="G3324" t="s">
        <v>59</v>
      </c>
      <c r="H3324" t="s">
        <v>60</v>
      </c>
      <c r="I3324" t="s">
        <v>188</v>
      </c>
      <c r="J3324" t="s">
        <v>289</v>
      </c>
      <c r="K3324" t="s">
        <v>184</v>
      </c>
      <c r="L3324" t="s">
        <v>62</v>
      </c>
      <c r="M3324" t="s">
        <v>63</v>
      </c>
      <c r="N3324" t="s">
        <v>64</v>
      </c>
      <c r="P3324" t="s">
        <v>201</v>
      </c>
      <c r="R3324">
        <v>0.33940094999999998</v>
      </c>
      <c r="T3324">
        <v>0.29091509999999998</v>
      </c>
      <c r="V3324">
        <v>0.39596777500000002</v>
      </c>
      <c r="W3324" t="s">
        <v>66</v>
      </c>
      <c r="X3324" t="s">
        <v>67</v>
      </c>
      <c r="Y3324" t="s">
        <v>67</v>
      </c>
      <c r="Z3324" t="s">
        <v>68</v>
      </c>
      <c r="AB3324">
        <v>4</v>
      </c>
      <c r="AC3324" t="s">
        <v>61</v>
      </c>
      <c r="AJ3324" t="s">
        <v>69</v>
      </c>
      <c r="AY3324" t="s">
        <v>2220</v>
      </c>
      <c r="AZ3324">
        <v>16342</v>
      </c>
      <c r="BA3324" t="s">
        <v>2221</v>
      </c>
      <c r="BB3324" t="s">
        <v>2222</v>
      </c>
      <c r="BC3324">
        <v>1996</v>
      </c>
      <c r="BD3324" t="s">
        <v>185</v>
      </c>
    </row>
    <row r="3325" spans="1:56" x14ac:dyDescent="0.35">
      <c r="A3325">
        <v>7758987</v>
      </c>
      <c r="B3325" t="s">
        <v>2219</v>
      </c>
      <c r="D3325" t="s">
        <v>57</v>
      </c>
      <c r="E3325" t="s">
        <v>86</v>
      </c>
      <c r="F3325" t="s">
        <v>58</v>
      </c>
      <c r="G3325" t="s">
        <v>59</v>
      </c>
      <c r="H3325" t="s">
        <v>60</v>
      </c>
      <c r="I3325" t="s">
        <v>188</v>
      </c>
      <c r="J3325" t="s">
        <v>289</v>
      </c>
      <c r="K3325" t="s">
        <v>184</v>
      </c>
      <c r="L3325" t="s">
        <v>62</v>
      </c>
      <c r="M3325" t="s">
        <v>63</v>
      </c>
      <c r="N3325" t="s">
        <v>64</v>
      </c>
      <c r="O3325">
        <v>6</v>
      </c>
      <c r="P3325" t="s">
        <v>201</v>
      </c>
      <c r="R3325">
        <v>3.5556289999999997E-2</v>
      </c>
      <c r="T3325">
        <v>2.7475315E-2</v>
      </c>
      <c r="V3325">
        <v>4.5253460000000002E-2</v>
      </c>
      <c r="W3325" t="s">
        <v>66</v>
      </c>
      <c r="X3325" t="s">
        <v>67</v>
      </c>
      <c r="Y3325" t="s">
        <v>67</v>
      </c>
      <c r="Z3325" t="s">
        <v>68</v>
      </c>
      <c r="AB3325">
        <v>4</v>
      </c>
      <c r="AC3325" t="s">
        <v>61</v>
      </c>
      <c r="AJ3325" t="s">
        <v>69</v>
      </c>
      <c r="AY3325" t="s">
        <v>2233</v>
      </c>
      <c r="AZ3325">
        <v>76238</v>
      </c>
      <c r="BA3325" t="s">
        <v>2234</v>
      </c>
      <c r="BB3325" t="s">
        <v>2235</v>
      </c>
      <c r="BC3325">
        <v>1996</v>
      </c>
      <c r="BD3325" t="s">
        <v>185</v>
      </c>
    </row>
    <row r="3326" spans="1:56" x14ac:dyDescent="0.35">
      <c r="A3326">
        <v>7758987</v>
      </c>
      <c r="B3326" t="s">
        <v>2219</v>
      </c>
      <c r="D3326" t="s">
        <v>57</v>
      </c>
      <c r="E3326" t="s">
        <v>86</v>
      </c>
      <c r="F3326" t="s">
        <v>58</v>
      </c>
      <c r="G3326" t="s">
        <v>59</v>
      </c>
      <c r="H3326" t="s">
        <v>60</v>
      </c>
      <c r="I3326" t="s">
        <v>188</v>
      </c>
      <c r="J3326" t="s">
        <v>289</v>
      </c>
      <c r="K3326" t="s">
        <v>184</v>
      </c>
      <c r="L3326" t="s">
        <v>62</v>
      </c>
      <c r="M3326" t="s">
        <v>63</v>
      </c>
      <c r="N3326" t="s">
        <v>64</v>
      </c>
      <c r="P3326" t="s">
        <v>201</v>
      </c>
      <c r="R3326">
        <v>0.42829167499999998</v>
      </c>
      <c r="T3326">
        <v>0.33940094999999998</v>
      </c>
      <c r="V3326">
        <v>0.5495063</v>
      </c>
      <c r="W3326" t="s">
        <v>66</v>
      </c>
      <c r="X3326" t="s">
        <v>67</v>
      </c>
      <c r="Y3326" t="s">
        <v>67</v>
      </c>
      <c r="Z3326" t="s">
        <v>68</v>
      </c>
      <c r="AB3326">
        <v>4</v>
      </c>
      <c r="AC3326" t="s">
        <v>61</v>
      </c>
      <c r="AJ3326" t="s">
        <v>69</v>
      </c>
      <c r="AY3326" t="s">
        <v>2220</v>
      </c>
      <c r="AZ3326">
        <v>16342</v>
      </c>
      <c r="BA3326" t="s">
        <v>2221</v>
      </c>
      <c r="BB3326" t="s">
        <v>2222</v>
      </c>
      <c r="BC3326">
        <v>1996</v>
      </c>
      <c r="BD3326" t="s">
        <v>185</v>
      </c>
    </row>
    <row r="3327" spans="1:56" x14ac:dyDescent="0.35">
      <c r="A3327">
        <v>7758987</v>
      </c>
      <c r="B3327" t="s">
        <v>2219</v>
      </c>
      <c r="D3327" t="s">
        <v>57</v>
      </c>
      <c r="E3327" t="s">
        <v>86</v>
      </c>
      <c r="F3327" t="s">
        <v>58</v>
      </c>
      <c r="G3327" t="s">
        <v>59</v>
      </c>
      <c r="H3327" t="s">
        <v>60</v>
      </c>
      <c r="I3327" t="s">
        <v>188</v>
      </c>
      <c r="J3327" t="s">
        <v>289</v>
      </c>
      <c r="K3327" t="s">
        <v>184</v>
      </c>
      <c r="L3327" t="s">
        <v>62</v>
      </c>
      <c r="M3327" t="s">
        <v>63</v>
      </c>
      <c r="N3327" t="s">
        <v>64</v>
      </c>
      <c r="P3327" t="s">
        <v>201</v>
      </c>
      <c r="Q3327" t="s">
        <v>172</v>
      </c>
      <c r="R3327">
        <v>0.80809750000000002</v>
      </c>
      <c r="W3327" t="s">
        <v>66</v>
      </c>
      <c r="X3327" t="s">
        <v>67</v>
      </c>
      <c r="Y3327" t="s">
        <v>67</v>
      </c>
      <c r="Z3327" t="s">
        <v>68</v>
      </c>
      <c r="AB3327">
        <v>4</v>
      </c>
      <c r="AC3327" t="s">
        <v>61</v>
      </c>
      <c r="AJ3327" t="s">
        <v>69</v>
      </c>
      <c r="AY3327" t="s">
        <v>2220</v>
      </c>
      <c r="AZ3327">
        <v>16342</v>
      </c>
      <c r="BA3327" t="s">
        <v>2221</v>
      </c>
      <c r="BB3327" t="s">
        <v>2222</v>
      </c>
      <c r="BC3327">
        <v>1996</v>
      </c>
      <c r="BD3327" t="s">
        <v>185</v>
      </c>
    </row>
    <row r="3328" spans="1:56" x14ac:dyDescent="0.35">
      <c r="A3328">
        <v>7758987</v>
      </c>
      <c r="B3328" t="s">
        <v>2219</v>
      </c>
      <c r="D3328" t="s">
        <v>57</v>
      </c>
      <c r="E3328" t="s">
        <v>86</v>
      </c>
      <c r="F3328" t="s">
        <v>58</v>
      </c>
      <c r="G3328" t="s">
        <v>59</v>
      </c>
      <c r="H3328" t="s">
        <v>60</v>
      </c>
      <c r="I3328" t="s">
        <v>188</v>
      </c>
      <c r="J3328" t="s">
        <v>289</v>
      </c>
      <c r="K3328" t="s">
        <v>184</v>
      </c>
      <c r="L3328" t="s">
        <v>62</v>
      </c>
      <c r="M3328" t="s">
        <v>63</v>
      </c>
      <c r="N3328" t="s">
        <v>64</v>
      </c>
      <c r="O3328">
        <v>6</v>
      </c>
      <c r="P3328" t="s">
        <v>201</v>
      </c>
      <c r="R3328">
        <v>0.79193555000000004</v>
      </c>
      <c r="T3328">
        <v>0.67880189999999996</v>
      </c>
      <c r="V3328">
        <v>0.90506920000000002</v>
      </c>
      <c r="W3328" t="s">
        <v>66</v>
      </c>
      <c r="X3328" t="s">
        <v>67</v>
      </c>
      <c r="Y3328" t="s">
        <v>67</v>
      </c>
      <c r="Z3328" t="s">
        <v>68</v>
      </c>
      <c r="AB3328">
        <v>4</v>
      </c>
      <c r="AC3328" t="s">
        <v>61</v>
      </c>
      <c r="AJ3328" t="s">
        <v>69</v>
      </c>
      <c r="AY3328" t="s">
        <v>2233</v>
      </c>
      <c r="AZ3328">
        <v>76238</v>
      </c>
      <c r="BA3328" t="s">
        <v>2234</v>
      </c>
      <c r="BB3328" t="s">
        <v>2235</v>
      </c>
      <c r="BC3328">
        <v>1996</v>
      </c>
      <c r="BD3328" t="s">
        <v>185</v>
      </c>
    </row>
    <row r="3329" spans="1:56" x14ac:dyDescent="0.35">
      <c r="A3329">
        <v>7758987</v>
      </c>
      <c r="B3329" t="s">
        <v>2219</v>
      </c>
      <c r="D3329" t="s">
        <v>57</v>
      </c>
      <c r="E3329" t="s">
        <v>86</v>
      </c>
      <c r="F3329" t="s">
        <v>58</v>
      </c>
      <c r="G3329" t="s">
        <v>59</v>
      </c>
      <c r="H3329" t="s">
        <v>60</v>
      </c>
      <c r="I3329" t="s">
        <v>177</v>
      </c>
      <c r="J3329" t="s">
        <v>505</v>
      </c>
      <c r="K3329" t="s">
        <v>61</v>
      </c>
      <c r="L3329" t="s">
        <v>62</v>
      </c>
      <c r="M3329" t="s">
        <v>63</v>
      </c>
      <c r="N3329" t="s">
        <v>64</v>
      </c>
      <c r="P3329" t="s">
        <v>201</v>
      </c>
      <c r="R3329">
        <v>0.182</v>
      </c>
      <c r="T3329">
        <v>0.14599999999999999</v>
      </c>
      <c r="V3329">
        <v>0.22550000000000001</v>
      </c>
      <c r="W3329" t="s">
        <v>66</v>
      </c>
      <c r="X3329" t="s">
        <v>67</v>
      </c>
      <c r="Y3329" t="s">
        <v>67</v>
      </c>
      <c r="Z3329" t="s">
        <v>68</v>
      </c>
      <c r="AB3329">
        <v>4</v>
      </c>
      <c r="AC3329" t="s">
        <v>61</v>
      </c>
      <c r="AJ3329" t="s">
        <v>69</v>
      </c>
      <c r="AY3329" t="s">
        <v>2236</v>
      </c>
      <c r="AZ3329">
        <v>8034</v>
      </c>
      <c r="BA3329" t="s">
        <v>2237</v>
      </c>
      <c r="BB3329" t="s">
        <v>2238</v>
      </c>
      <c r="BC3329">
        <v>1993</v>
      </c>
      <c r="BD3329" t="s">
        <v>73</v>
      </c>
    </row>
    <row r="3330" spans="1:56" x14ac:dyDescent="0.35">
      <c r="A3330">
        <v>7758987</v>
      </c>
      <c r="B3330" t="s">
        <v>2219</v>
      </c>
      <c r="D3330" t="s">
        <v>57</v>
      </c>
      <c r="E3330" t="s">
        <v>86</v>
      </c>
      <c r="F3330" t="s">
        <v>58</v>
      </c>
      <c r="G3330" t="s">
        <v>59</v>
      </c>
      <c r="H3330" t="s">
        <v>60</v>
      </c>
      <c r="I3330" t="s">
        <v>188</v>
      </c>
      <c r="J3330" t="s">
        <v>289</v>
      </c>
      <c r="K3330" t="s">
        <v>184</v>
      </c>
      <c r="L3330" t="s">
        <v>74</v>
      </c>
      <c r="M3330" t="s">
        <v>63</v>
      </c>
      <c r="N3330" t="s">
        <v>64</v>
      </c>
      <c r="P3330" t="s">
        <v>201</v>
      </c>
      <c r="R3330">
        <v>0.80809750000000002</v>
      </c>
      <c r="W3330" t="s">
        <v>66</v>
      </c>
      <c r="X3330" t="s">
        <v>67</v>
      </c>
      <c r="Y3330" t="s">
        <v>67</v>
      </c>
      <c r="Z3330" t="s">
        <v>68</v>
      </c>
      <c r="AB3330">
        <v>4</v>
      </c>
      <c r="AC3330" t="s">
        <v>61</v>
      </c>
      <c r="AJ3330" t="s">
        <v>69</v>
      </c>
      <c r="AY3330" t="s">
        <v>2220</v>
      </c>
      <c r="AZ3330">
        <v>16342</v>
      </c>
      <c r="BA3330" t="s">
        <v>2221</v>
      </c>
      <c r="BB3330" t="s">
        <v>2222</v>
      </c>
      <c r="BC3330">
        <v>1996</v>
      </c>
      <c r="BD3330" t="s">
        <v>185</v>
      </c>
    </row>
    <row r="3331" spans="1:56" x14ac:dyDescent="0.35">
      <c r="A3331">
        <v>7758987</v>
      </c>
      <c r="B3331" t="s">
        <v>2219</v>
      </c>
      <c r="D3331" t="s">
        <v>57</v>
      </c>
      <c r="E3331" t="s">
        <v>86</v>
      </c>
      <c r="F3331" t="s">
        <v>58</v>
      </c>
      <c r="G3331" t="s">
        <v>59</v>
      </c>
      <c r="H3331" t="s">
        <v>60</v>
      </c>
      <c r="J3331" t="s">
        <v>86</v>
      </c>
      <c r="L3331" t="s">
        <v>74</v>
      </c>
      <c r="M3331" t="s">
        <v>63</v>
      </c>
      <c r="N3331" t="s">
        <v>64</v>
      </c>
      <c r="P3331" t="s">
        <v>201</v>
      </c>
      <c r="R3331">
        <v>75</v>
      </c>
      <c r="W3331" t="s">
        <v>66</v>
      </c>
      <c r="X3331" t="s">
        <v>67</v>
      </c>
      <c r="Y3331" t="s">
        <v>67</v>
      </c>
      <c r="Z3331" t="s">
        <v>68</v>
      </c>
      <c r="AB3331">
        <v>4</v>
      </c>
      <c r="AC3331" t="s">
        <v>61</v>
      </c>
      <c r="AJ3331" t="s">
        <v>69</v>
      </c>
      <c r="AY3331" t="s">
        <v>2309</v>
      </c>
      <c r="AZ3331">
        <v>5075</v>
      </c>
      <c r="BA3331" t="s">
        <v>2310</v>
      </c>
      <c r="BB3331" t="s">
        <v>2311</v>
      </c>
      <c r="BC3331">
        <v>1969</v>
      </c>
      <c r="BD3331" t="s">
        <v>90</v>
      </c>
    </row>
    <row r="3332" spans="1:56" x14ac:dyDescent="0.35">
      <c r="A3332">
        <v>7758987</v>
      </c>
      <c r="B3332" t="s">
        <v>2219</v>
      </c>
      <c r="D3332" t="s">
        <v>57</v>
      </c>
      <c r="E3332" t="s">
        <v>86</v>
      </c>
      <c r="F3332" t="s">
        <v>58</v>
      </c>
      <c r="G3332" t="s">
        <v>59</v>
      </c>
      <c r="H3332" t="s">
        <v>60</v>
      </c>
      <c r="I3332" t="s">
        <v>188</v>
      </c>
      <c r="J3332" t="s">
        <v>289</v>
      </c>
      <c r="K3332" t="s">
        <v>184</v>
      </c>
      <c r="L3332" t="s">
        <v>62</v>
      </c>
      <c r="M3332" t="s">
        <v>63</v>
      </c>
      <c r="N3332" t="s">
        <v>64</v>
      </c>
      <c r="O3332">
        <v>6</v>
      </c>
      <c r="P3332" t="s">
        <v>201</v>
      </c>
      <c r="R3332">
        <v>0.53334435000000002</v>
      </c>
      <c r="T3332">
        <v>0.45253460000000001</v>
      </c>
      <c r="V3332">
        <v>0.646478</v>
      </c>
      <c r="W3332" t="s">
        <v>66</v>
      </c>
      <c r="X3332" t="s">
        <v>67</v>
      </c>
      <c r="Y3332" t="s">
        <v>67</v>
      </c>
      <c r="Z3332" t="s">
        <v>68</v>
      </c>
      <c r="AB3332">
        <v>4</v>
      </c>
      <c r="AC3332" t="s">
        <v>61</v>
      </c>
      <c r="AJ3332" t="s">
        <v>69</v>
      </c>
      <c r="AY3332" t="s">
        <v>2233</v>
      </c>
      <c r="AZ3332">
        <v>76238</v>
      </c>
      <c r="BA3332" t="s">
        <v>2234</v>
      </c>
      <c r="BB3332" t="s">
        <v>2235</v>
      </c>
      <c r="BC3332">
        <v>1996</v>
      </c>
      <c r="BD3332" t="s">
        <v>185</v>
      </c>
    </row>
    <row r="3333" spans="1:56" x14ac:dyDescent="0.35">
      <c r="A3333">
        <v>7758987</v>
      </c>
      <c r="B3333" t="s">
        <v>2219</v>
      </c>
      <c r="D3333" t="s">
        <v>57</v>
      </c>
      <c r="E3333" t="s">
        <v>86</v>
      </c>
      <c r="F3333" t="s">
        <v>58</v>
      </c>
      <c r="G3333" t="s">
        <v>59</v>
      </c>
      <c r="H3333" t="s">
        <v>60</v>
      </c>
      <c r="I3333" t="s">
        <v>188</v>
      </c>
      <c r="J3333" t="s">
        <v>289</v>
      </c>
      <c r="K3333" t="s">
        <v>184</v>
      </c>
      <c r="L3333" t="s">
        <v>62</v>
      </c>
      <c r="M3333" t="s">
        <v>63</v>
      </c>
      <c r="N3333" t="s">
        <v>64</v>
      </c>
      <c r="P3333" t="s">
        <v>201</v>
      </c>
      <c r="R3333">
        <v>0.37980582499999999</v>
      </c>
      <c r="T3333">
        <v>0.323239</v>
      </c>
      <c r="V3333">
        <v>0.44445362500000002</v>
      </c>
      <c r="W3333" t="s">
        <v>66</v>
      </c>
      <c r="X3333" t="s">
        <v>67</v>
      </c>
      <c r="Y3333" t="s">
        <v>67</v>
      </c>
      <c r="Z3333" t="s">
        <v>68</v>
      </c>
      <c r="AB3333">
        <v>4</v>
      </c>
      <c r="AC3333" t="s">
        <v>61</v>
      </c>
      <c r="AJ3333" t="s">
        <v>69</v>
      </c>
      <c r="AY3333" t="s">
        <v>2220</v>
      </c>
      <c r="AZ3333">
        <v>16342</v>
      </c>
      <c r="BA3333" t="s">
        <v>2221</v>
      </c>
      <c r="BB3333" t="s">
        <v>2222</v>
      </c>
      <c r="BC3333">
        <v>1996</v>
      </c>
      <c r="BD3333" t="s">
        <v>185</v>
      </c>
    </row>
    <row r="3334" spans="1:56" x14ac:dyDescent="0.35">
      <c r="A3334">
        <v>7758987</v>
      </c>
      <c r="B3334" t="s">
        <v>2219</v>
      </c>
      <c r="D3334" t="s">
        <v>57</v>
      </c>
      <c r="E3334" t="s">
        <v>86</v>
      </c>
      <c r="F3334" t="s">
        <v>58</v>
      </c>
      <c r="G3334" t="s">
        <v>59</v>
      </c>
      <c r="H3334" t="s">
        <v>60</v>
      </c>
      <c r="I3334" t="s">
        <v>188</v>
      </c>
      <c r="J3334" t="s">
        <v>86</v>
      </c>
      <c r="L3334" t="s">
        <v>74</v>
      </c>
      <c r="M3334" t="s">
        <v>63</v>
      </c>
      <c r="N3334" t="s">
        <v>64</v>
      </c>
      <c r="P3334" t="s">
        <v>1296</v>
      </c>
      <c r="R3334">
        <v>7.3999999999999996E-2</v>
      </c>
      <c r="T3334">
        <v>5.7000000000000002E-2</v>
      </c>
      <c r="V3334">
        <v>9.6000000000000002E-2</v>
      </c>
      <c r="W3334" t="s">
        <v>66</v>
      </c>
      <c r="X3334" t="s">
        <v>67</v>
      </c>
      <c r="Y3334" t="s">
        <v>67</v>
      </c>
      <c r="Z3334" t="s">
        <v>68</v>
      </c>
      <c r="AB3334">
        <v>4</v>
      </c>
      <c r="AC3334" t="s">
        <v>61</v>
      </c>
      <c r="AJ3334" t="s">
        <v>69</v>
      </c>
      <c r="AQ3334" t="s">
        <v>69</v>
      </c>
      <c r="AY3334" t="s">
        <v>2261</v>
      </c>
      <c r="AZ3334">
        <v>5203</v>
      </c>
      <c r="BA3334" t="s">
        <v>2262</v>
      </c>
      <c r="BB3334" t="s">
        <v>2263</v>
      </c>
      <c r="BC3334">
        <v>1985</v>
      </c>
      <c r="BD3334" t="s">
        <v>2319</v>
      </c>
    </row>
    <row r="3335" spans="1:56" x14ac:dyDescent="0.35">
      <c r="A3335">
        <v>7758987</v>
      </c>
      <c r="B3335" t="s">
        <v>2219</v>
      </c>
      <c r="E3335">
        <v>98</v>
      </c>
      <c r="F3335" t="s">
        <v>58</v>
      </c>
      <c r="G3335" t="s">
        <v>59</v>
      </c>
      <c r="H3335" t="s">
        <v>60</v>
      </c>
      <c r="J3335" t="s">
        <v>86</v>
      </c>
      <c r="L3335" t="s">
        <v>62</v>
      </c>
      <c r="M3335" t="s">
        <v>63</v>
      </c>
      <c r="N3335" t="s">
        <v>64</v>
      </c>
      <c r="P3335" t="s">
        <v>201</v>
      </c>
      <c r="R3335">
        <v>0.83799999999999997</v>
      </c>
      <c r="T3335">
        <v>0.623</v>
      </c>
      <c r="V3335">
        <v>1</v>
      </c>
      <c r="W3335" t="s">
        <v>66</v>
      </c>
      <c r="X3335" t="s">
        <v>67</v>
      </c>
      <c r="Y3335" t="s">
        <v>67</v>
      </c>
      <c r="Z3335" t="s">
        <v>68</v>
      </c>
      <c r="AB3335">
        <v>4</v>
      </c>
      <c r="AC3335" t="s">
        <v>61</v>
      </c>
      <c r="AJ3335" t="s">
        <v>69</v>
      </c>
      <c r="AY3335" t="s">
        <v>96</v>
      </c>
      <c r="AZ3335">
        <v>6797</v>
      </c>
      <c r="BA3335" t="s">
        <v>97</v>
      </c>
      <c r="BB3335" t="s">
        <v>98</v>
      </c>
      <c r="BC3335">
        <v>1986</v>
      </c>
      <c r="BD3335" t="s">
        <v>90</v>
      </c>
    </row>
    <row r="3336" spans="1:56" x14ac:dyDescent="0.35">
      <c r="A3336">
        <v>7758987</v>
      </c>
      <c r="B3336" t="s">
        <v>2219</v>
      </c>
      <c r="D3336" t="s">
        <v>57</v>
      </c>
      <c r="E3336" t="s">
        <v>86</v>
      </c>
      <c r="F3336" t="s">
        <v>58</v>
      </c>
      <c r="G3336" t="s">
        <v>59</v>
      </c>
      <c r="H3336" t="s">
        <v>60</v>
      </c>
      <c r="I3336" t="s">
        <v>188</v>
      </c>
      <c r="J3336" t="s">
        <v>86</v>
      </c>
      <c r="L3336" t="s">
        <v>74</v>
      </c>
      <c r="M3336" t="s">
        <v>63</v>
      </c>
      <c r="N3336" t="s">
        <v>64</v>
      </c>
      <c r="P3336" t="s">
        <v>1296</v>
      </c>
      <c r="R3336">
        <v>2.8000000000000001E-2</v>
      </c>
      <c r="T3336">
        <v>2.1999999999999999E-2</v>
      </c>
      <c r="V3336">
        <v>3.5999999999999997E-2</v>
      </c>
      <c r="W3336" t="s">
        <v>66</v>
      </c>
      <c r="X3336" t="s">
        <v>67</v>
      </c>
      <c r="Y3336" t="s">
        <v>67</v>
      </c>
      <c r="Z3336" t="s">
        <v>68</v>
      </c>
      <c r="AB3336">
        <v>4</v>
      </c>
      <c r="AC3336" t="s">
        <v>61</v>
      </c>
      <c r="AJ3336" t="s">
        <v>69</v>
      </c>
      <c r="AQ3336" t="s">
        <v>69</v>
      </c>
      <c r="AY3336" t="s">
        <v>2261</v>
      </c>
      <c r="AZ3336">
        <v>5203</v>
      </c>
      <c r="BA3336" t="s">
        <v>2262</v>
      </c>
      <c r="BB3336" t="s">
        <v>2263</v>
      </c>
      <c r="BC3336">
        <v>1985</v>
      </c>
      <c r="BD3336" t="s">
        <v>2320</v>
      </c>
    </row>
    <row r="3337" spans="1:56" x14ac:dyDescent="0.35">
      <c r="A3337">
        <v>7758987</v>
      </c>
      <c r="B3337" t="s">
        <v>2219</v>
      </c>
      <c r="D3337" t="s">
        <v>85</v>
      </c>
      <c r="E3337" t="s">
        <v>86</v>
      </c>
      <c r="F3337" t="s">
        <v>58</v>
      </c>
      <c r="G3337" t="s">
        <v>59</v>
      </c>
      <c r="H3337" t="s">
        <v>60</v>
      </c>
      <c r="I3337" t="s">
        <v>188</v>
      </c>
      <c r="J3337" t="s">
        <v>289</v>
      </c>
      <c r="K3337" t="s">
        <v>184</v>
      </c>
      <c r="L3337" t="s">
        <v>190</v>
      </c>
      <c r="M3337" t="s">
        <v>63</v>
      </c>
      <c r="N3337" t="s">
        <v>64</v>
      </c>
      <c r="O3337">
        <v>6</v>
      </c>
      <c r="P3337" t="s">
        <v>1296</v>
      </c>
      <c r="R3337">
        <v>1.405</v>
      </c>
      <c r="T3337">
        <v>1.173</v>
      </c>
      <c r="V3337">
        <v>1.6819999999999999</v>
      </c>
      <c r="W3337" t="s">
        <v>66</v>
      </c>
      <c r="X3337" t="s">
        <v>67</v>
      </c>
      <c r="Y3337" t="s">
        <v>67</v>
      </c>
      <c r="Z3337" t="s">
        <v>68</v>
      </c>
      <c r="AB3337">
        <v>4</v>
      </c>
      <c r="AC3337" t="s">
        <v>61</v>
      </c>
      <c r="AJ3337" t="s">
        <v>69</v>
      </c>
      <c r="AY3337" t="s">
        <v>2245</v>
      </c>
      <c r="AZ3337">
        <v>80428</v>
      </c>
      <c r="BA3337" t="s">
        <v>2246</v>
      </c>
      <c r="BB3337" t="s">
        <v>2247</v>
      </c>
      <c r="BC3337">
        <v>2004</v>
      </c>
      <c r="BD3337" t="s">
        <v>185</v>
      </c>
    </row>
    <row r="3338" spans="1:56" x14ac:dyDescent="0.35">
      <c r="A3338">
        <v>7761888</v>
      </c>
      <c r="B3338" t="s">
        <v>2321</v>
      </c>
      <c r="D3338" t="s">
        <v>57</v>
      </c>
      <c r="E3338" t="s">
        <v>86</v>
      </c>
      <c r="F3338" t="s">
        <v>58</v>
      </c>
      <c r="G3338" t="s">
        <v>59</v>
      </c>
      <c r="H3338" t="s">
        <v>60</v>
      </c>
      <c r="I3338" t="s">
        <v>188</v>
      </c>
      <c r="J3338" t="s">
        <v>289</v>
      </c>
      <c r="K3338" t="s">
        <v>184</v>
      </c>
      <c r="L3338" t="s">
        <v>190</v>
      </c>
      <c r="M3338" t="s">
        <v>63</v>
      </c>
      <c r="N3338" t="s">
        <v>64</v>
      </c>
      <c r="O3338">
        <v>6</v>
      </c>
      <c r="P3338" t="s">
        <v>201</v>
      </c>
      <c r="R3338">
        <v>2.1399999999999999E-2</v>
      </c>
      <c r="W3338" t="s">
        <v>66</v>
      </c>
      <c r="X3338" t="s">
        <v>67</v>
      </c>
      <c r="Y3338" t="s">
        <v>67</v>
      </c>
      <c r="Z3338" t="s">
        <v>68</v>
      </c>
      <c r="AB3338">
        <v>4</v>
      </c>
      <c r="AC3338" t="s">
        <v>61</v>
      </c>
      <c r="AJ3338" t="s">
        <v>69</v>
      </c>
      <c r="AY3338" t="s">
        <v>2322</v>
      </c>
      <c r="AZ3338">
        <v>71734</v>
      </c>
      <c r="BA3338" t="s">
        <v>2323</v>
      </c>
      <c r="BB3338" t="s">
        <v>2324</v>
      </c>
      <c r="BC3338">
        <v>2003</v>
      </c>
      <c r="BD3338" t="s">
        <v>185</v>
      </c>
    </row>
    <row r="3339" spans="1:56" x14ac:dyDescent="0.35">
      <c r="A3339">
        <v>7761888</v>
      </c>
      <c r="B3339" t="s">
        <v>2321</v>
      </c>
      <c r="C3339" t="s">
        <v>195</v>
      </c>
      <c r="D3339" t="s">
        <v>85</v>
      </c>
      <c r="E3339" t="s">
        <v>86</v>
      </c>
      <c r="F3339" t="s">
        <v>58</v>
      </c>
      <c r="G3339" t="s">
        <v>59</v>
      </c>
      <c r="H3339" t="s">
        <v>60</v>
      </c>
      <c r="I3339" t="s">
        <v>177</v>
      </c>
      <c r="J3339" t="s">
        <v>289</v>
      </c>
      <c r="K3339" t="s">
        <v>184</v>
      </c>
      <c r="L3339" t="s">
        <v>62</v>
      </c>
      <c r="M3339" t="s">
        <v>63</v>
      </c>
      <c r="N3339" t="s">
        <v>64</v>
      </c>
      <c r="P3339" t="s">
        <v>201</v>
      </c>
      <c r="R3339">
        <v>8.4600000000000005E-3</v>
      </c>
      <c r="T3339">
        <v>7.5199999999999998E-3</v>
      </c>
      <c r="V3339">
        <v>9.3900000000000008E-3</v>
      </c>
      <c r="W3339" t="s">
        <v>66</v>
      </c>
      <c r="X3339" t="s">
        <v>67</v>
      </c>
      <c r="Y3339" t="s">
        <v>67</v>
      </c>
      <c r="Z3339" t="s">
        <v>68</v>
      </c>
      <c r="AB3339">
        <v>4</v>
      </c>
      <c r="AC3339" t="s">
        <v>61</v>
      </c>
      <c r="AJ3339" t="s">
        <v>69</v>
      </c>
      <c r="AY3339" t="s">
        <v>2325</v>
      </c>
      <c r="AZ3339">
        <v>19218</v>
      </c>
      <c r="BA3339" t="s">
        <v>2326</v>
      </c>
      <c r="BB3339" t="s">
        <v>2327</v>
      </c>
      <c r="BC3339">
        <v>1999</v>
      </c>
      <c r="BD3339" t="s">
        <v>185</v>
      </c>
    </row>
    <row r="3340" spans="1:56" x14ac:dyDescent="0.35">
      <c r="A3340">
        <v>7761888</v>
      </c>
      <c r="B3340" t="s">
        <v>2321</v>
      </c>
      <c r="C3340" t="s">
        <v>195</v>
      </c>
      <c r="D3340" t="s">
        <v>85</v>
      </c>
      <c r="E3340" t="s">
        <v>86</v>
      </c>
      <c r="F3340" t="s">
        <v>58</v>
      </c>
      <c r="G3340" t="s">
        <v>59</v>
      </c>
      <c r="H3340" t="s">
        <v>60</v>
      </c>
      <c r="I3340" t="s">
        <v>177</v>
      </c>
      <c r="J3340">
        <v>4</v>
      </c>
      <c r="K3340" t="s">
        <v>61</v>
      </c>
      <c r="L3340" t="s">
        <v>62</v>
      </c>
      <c r="M3340" t="s">
        <v>63</v>
      </c>
      <c r="N3340" t="s">
        <v>64</v>
      </c>
      <c r="O3340">
        <v>6</v>
      </c>
      <c r="P3340" t="s">
        <v>201</v>
      </c>
      <c r="R3340">
        <v>5.3899999999999998E-3</v>
      </c>
      <c r="T3340">
        <v>4.8999999999999998E-3</v>
      </c>
      <c r="V3340">
        <v>5.8999999999999999E-3</v>
      </c>
      <c r="W3340" t="s">
        <v>66</v>
      </c>
      <c r="X3340" t="s">
        <v>67</v>
      </c>
      <c r="Y3340" t="s">
        <v>67</v>
      </c>
      <c r="Z3340" t="s">
        <v>68</v>
      </c>
      <c r="AB3340">
        <v>4</v>
      </c>
      <c r="AC3340" t="s">
        <v>61</v>
      </c>
      <c r="AJ3340" t="s">
        <v>69</v>
      </c>
      <c r="AY3340" t="s">
        <v>2328</v>
      </c>
      <c r="AZ3340">
        <v>83754</v>
      </c>
      <c r="BA3340" t="s">
        <v>2329</v>
      </c>
      <c r="BB3340" t="s">
        <v>2330</v>
      </c>
      <c r="BC3340">
        <v>1996</v>
      </c>
      <c r="BD3340" t="s">
        <v>73</v>
      </c>
    </row>
    <row r="3341" spans="1:56" x14ac:dyDescent="0.35">
      <c r="A3341">
        <v>7761888</v>
      </c>
      <c r="B3341" t="s">
        <v>2321</v>
      </c>
      <c r="D3341" t="s">
        <v>57</v>
      </c>
      <c r="E3341" t="s">
        <v>86</v>
      </c>
      <c r="F3341" t="s">
        <v>58</v>
      </c>
      <c r="G3341" t="s">
        <v>59</v>
      </c>
      <c r="H3341" t="s">
        <v>60</v>
      </c>
      <c r="J3341">
        <v>30</v>
      </c>
      <c r="K3341" t="s">
        <v>61</v>
      </c>
      <c r="L3341" t="s">
        <v>74</v>
      </c>
      <c r="M3341" t="s">
        <v>63</v>
      </c>
      <c r="N3341" t="s">
        <v>64</v>
      </c>
      <c r="P3341" t="s">
        <v>201</v>
      </c>
      <c r="R3341">
        <v>1.0699999999999999E-2</v>
      </c>
      <c r="T3341">
        <v>1.06E-2</v>
      </c>
      <c r="V3341">
        <v>1.0800000000000001E-2</v>
      </c>
      <c r="W3341" t="s">
        <v>66</v>
      </c>
      <c r="X3341" t="s">
        <v>67</v>
      </c>
      <c r="Y3341" t="s">
        <v>67</v>
      </c>
      <c r="Z3341" t="s">
        <v>68</v>
      </c>
      <c r="AB3341">
        <v>4</v>
      </c>
      <c r="AC3341" t="s">
        <v>61</v>
      </c>
      <c r="AJ3341" t="s">
        <v>69</v>
      </c>
      <c r="AY3341" t="s">
        <v>2331</v>
      </c>
      <c r="AZ3341">
        <v>15327</v>
      </c>
      <c r="BA3341" t="s">
        <v>2332</v>
      </c>
      <c r="BB3341" t="s">
        <v>2333</v>
      </c>
      <c r="BC3341">
        <v>1982</v>
      </c>
      <c r="BD3341" t="s">
        <v>73</v>
      </c>
    </row>
    <row r="3342" spans="1:56" x14ac:dyDescent="0.35">
      <c r="A3342">
        <v>7761888</v>
      </c>
      <c r="B3342" t="s">
        <v>2321</v>
      </c>
      <c r="D3342" t="s">
        <v>57</v>
      </c>
      <c r="E3342">
        <v>99.7</v>
      </c>
      <c r="F3342" t="s">
        <v>58</v>
      </c>
      <c r="G3342" t="s">
        <v>59</v>
      </c>
      <c r="H3342" t="s">
        <v>60</v>
      </c>
      <c r="I3342" t="s">
        <v>129</v>
      </c>
      <c r="J3342" t="s">
        <v>86</v>
      </c>
      <c r="L3342" t="s">
        <v>74</v>
      </c>
      <c r="M3342" t="s">
        <v>63</v>
      </c>
      <c r="N3342" t="s">
        <v>64</v>
      </c>
      <c r="P3342" t="s">
        <v>201</v>
      </c>
      <c r="Q3342" t="s">
        <v>172</v>
      </c>
      <c r="R3342">
        <v>3</v>
      </c>
      <c r="W3342" t="s">
        <v>66</v>
      </c>
      <c r="X3342" t="s">
        <v>67</v>
      </c>
      <c r="Y3342" t="s">
        <v>67</v>
      </c>
      <c r="Z3342" t="s">
        <v>68</v>
      </c>
      <c r="AB3342">
        <v>4</v>
      </c>
      <c r="AC3342" t="s">
        <v>61</v>
      </c>
      <c r="AJ3342" t="s">
        <v>69</v>
      </c>
      <c r="AY3342" t="s">
        <v>2334</v>
      </c>
      <c r="AZ3342">
        <v>18938</v>
      </c>
      <c r="BA3342" t="s">
        <v>2335</v>
      </c>
      <c r="BB3342" t="s">
        <v>2336</v>
      </c>
      <c r="BC3342">
        <v>1998</v>
      </c>
      <c r="BD3342" t="s">
        <v>90</v>
      </c>
    </row>
    <row r="3343" spans="1:56" x14ac:dyDescent="0.35">
      <c r="A3343">
        <v>7761888</v>
      </c>
      <c r="B3343" t="s">
        <v>2321</v>
      </c>
      <c r="D3343" t="s">
        <v>57</v>
      </c>
      <c r="E3343">
        <v>99.7</v>
      </c>
      <c r="F3343" t="s">
        <v>58</v>
      </c>
      <c r="G3343" t="s">
        <v>59</v>
      </c>
      <c r="H3343" t="s">
        <v>60</v>
      </c>
      <c r="I3343" t="s">
        <v>129</v>
      </c>
      <c r="J3343" t="s">
        <v>86</v>
      </c>
      <c r="L3343" t="s">
        <v>62</v>
      </c>
      <c r="M3343" t="s">
        <v>63</v>
      </c>
      <c r="N3343" t="s">
        <v>64</v>
      </c>
      <c r="P3343" t="s">
        <v>201</v>
      </c>
      <c r="R3343">
        <v>0.106</v>
      </c>
      <c r="T3343">
        <v>9.7000000000000003E-2</v>
      </c>
      <c r="V3343">
        <v>0.114</v>
      </c>
      <c r="W3343" t="s">
        <v>66</v>
      </c>
      <c r="X3343" t="s">
        <v>67</v>
      </c>
      <c r="Y3343" t="s">
        <v>67</v>
      </c>
      <c r="Z3343" t="s">
        <v>68</v>
      </c>
      <c r="AB3343">
        <v>4</v>
      </c>
      <c r="AC3343" t="s">
        <v>61</v>
      </c>
      <c r="AJ3343" t="s">
        <v>69</v>
      </c>
      <c r="AY3343" t="s">
        <v>2334</v>
      </c>
      <c r="AZ3343">
        <v>18938</v>
      </c>
      <c r="BA3343" t="s">
        <v>2335</v>
      </c>
      <c r="BB3343" t="s">
        <v>2336</v>
      </c>
      <c r="BC3343">
        <v>1998</v>
      </c>
      <c r="BD3343" t="s">
        <v>90</v>
      </c>
    </row>
    <row r="3344" spans="1:56" x14ac:dyDescent="0.35">
      <c r="A3344">
        <v>7761888</v>
      </c>
      <c r="B3344" t="s">
        <v>2321</v>
      </c>
      <c r="D3344" t="s">
        <v>85</v>
      </c>
      <c r="E3344" t="s">
        <v>86</v>
      </c>
      <c r="F3344" t="s">
        <v>58</v>
      </c>
      <c r="G3344" t="s">
        <v>59</v>
      </c>
      <c r="H3344" t="s">
        <v>60</v>
      </c>
      <c r="J3344" t="s">
        <v>86</v>
      </c>
      <c r="L3344" t="s">
        <v>190</v>
      </c>
      <c r="M3344" t="s">
        <v>63</v>
      </c>
      <c r="N3344" t="s">
        <v>64</v>
      </c>
      <c r="P3344" t="s">
        <v>1296</v>
      </c>
      <c r="R3344">
        <v>1.6999999999999999E-3</v>
      </c>
      <c r="W3344" t="s">
        <v>66</v>
      </c>
      <c r="X3344" t="s">
        <v>67</v>
      </c>
      <c r="Y3344" t="s">
        <v>67</v>
      </c>
      <c r="Z3344" t="s">
        <v>68</v>
      </c>
      <c r="AB3344">
        <v>4</v>
      </c>
      <c r="AC3344" t="s">
        <v>61</v>
      </c>
      <c r="AJ3344" t="s">
        <v>69</v>
      </c>
      <c r="AQ3344" t="s">
        <v>69</v>
      </c>
      <c r="AY3344" t="s">
        <v>2337</v>
      </c>
      <c r="AZ3344">
        <v>19262</v>
      </c>
      <c r="BA3344" t="s">
        <v>2338</v>
      </c>
      <c r="BB3344" t="s">
        <v>2339</v>
      </c>
      <c r="BC3344">
        <v>1999</v>
      </c>
      <c r="BD3344" t="s">
        <v>2340</v>
      </c>
    </row>
    <row r="3345" spans="1:56" x14ac:dyDescent="0.35">
      <c r="A3345">
        <v>7761888</v>
      </c>
      <c r="B3345" t="s">
        <v>2321</v>
      </c>
      <c r="D3345" t="s">
        <v>85</v>
      </c>
      <c r="E3345" t="s">
        <v>86</v>
      </c>
      <c r="F3345" t="s">
        <v>58</v>
      </c>
      <c r="G3345" t="s">
        <v>59</v>
      </c>
      <c r="H3345" t="s">
        <v>60</v>
      </c>
      <c r="J3345" t="s">
        <v>86</v>
      </c>
      <c r="L3345" t="s">
        <v>190</v>
      </c>
      <c r="M3345" t="s">
        <v>63</v>
      </c>
      <c r="N3345" t="s">
        <v>64</v>
      </c>
      <c r="P3345" t="s">
        <v>1296</v>
      </c>
      <c r="R3345">
        <v>2.3E-3</v>
      </c>
      <c r="W3345" t="s">
        <v>66</v>
      </c>
      <c r="X3345" t="s">
        <v>67</v>
      </c>
      <c r="Y3345" t="s">
        <v>67</v>
      </c>
      <c r="Z3345" t="s">
        <v>68</v>
      </c>
      <c r="AB3345">
        <v>4</v>
      </c>
      <c r="AC3345" t="s">
        <v>61</v>
      </c>
      <c r="AJ3345" t="s">
        <v>69</v>
      </c>
      <c r="AQ3345" t="s">
        <v>69</v>
      </c>
      <c r="AY3345" t="s">
        <v>2337</v>
      </c>
      <c r="AZ3345">
        <v>19262</v>
      </c>
      <c r="BA3345" t="s">
        <v>2338</v>
      </c>
      <c r="BB3345" t="s">
        <v>2339</v>
      </c>
      <c r="BC3345">
        <v>1999</v>
      </c>
      <c r="BD3345" t="s">
        <v>2341</v>
      </c>
    </row>
    <row r="3346" spans="1:56" x14ac:dyDescent="0.35">
      <c r="A3346">
        <v>7761888</v>
      </c>
      <c r="B3346" t="s">
        <v>2321</v>
      </c>
      <c r="D3346" t="s">
        <v>57</v>
      </c>
      <c r="E3346" t="s">
        <v>86</v>
      </c>
      <c r="F3346" t="s">
        <v>58</v>
      </c>
      <c r="G3346" t="s">
        <v>59</v>
      </c>
      <c r="H3346" t="s">
        <v>60</v>
      </c>
      <c r="J3346" t="s">
        <v>86</v>
      </c>
      <c r="L3346" t="s">
        <v>74</v>
      </c>
      <c r="M3346" t="s">
        <v>63</v>
      </c>
      <c r="N3346" t="s">
        <v>64</v>
      </c>
      <c r="P3346" t="s">
        <v>201</v>
      </c>
      <c r="R3346">
        <v>0.11</v>
      </c>
      <c r="T3346">
        <v>0.1</v>
      </c>
      <c r="V3346">
        <v>0.13</v>
      </c>
      <c r="W3346" t="s">
        <v>66</v>
      </c>
      <c r="X3346" t="s">
        <v>67</v>
      </c>
      <c r="Y3346" t="s">
        <v>67</v>
      </c>
      <c r="Z3346" t="s">
        <v>68</v>
      </c>
      <c r="AB3346">
        <v>4</v>
      </c>
      <c r="AC3346" t="s">
        <v>61</v>
      </c>
      <c r="AJ3346" t="s">
        <v>69</v>
      </c>
      <c r="AY3346" t="s">
        <v>771</v>
      </c>
      <c r="AZ3346">
        <v>9479</v>
      </c>
      <c r="BA3346" t="s">
        <v>1117</v>
      </c>
      <c r="BB3346" t="s">
        <v>1118</v>
      </c>
      <c r="BC3346">
        <v>1981</v>
      </c>
      <c r="BD3346" t="s">
        <v>90</v>
      </c>
    </row>
    <row r="3347" spans="1:56" x14ac:dyDescent="0.35">
      <c r="A3347">
        <v>7761888</v>
      </c>
      <c r="B3347" t="s">
        <v>2321</v>
      </c>
      <c r="C3347" t="s">
        <v>195</v>
      </c>
      <c r="D3347" t="s">
        <v>85</v>
      </c>
      <c r="E3347" t="s">
        <v>86</v>
      </c>
      <c r="F3347" t="s">
        <v>58</v>
      </c>
      <c r="G3347" t="s">
        <v>59</v>
      </c>
      <c r="H3347" t="s">
        <v>60</v>
      </c>
      <c r="I3347" t="s">
        <v>177</v>
      </c>
      <c r="J3347">
        <v>4</v>
      </c>
      <c r="K3347" t="s">
        <v>61</v>
      </c>
      <c r="L3347" t="s">
        <v>62</v>
      </c>
      <c r="M3347" t="s">
        <v>63</v>
      </c>
      <c r="N3347" t="s">
        <v>64</v>
      </c>
      <c r="O3347">
        <v>6</v>
      </c>
      <c r="P3347" t="s">
        <v>201</v>
      </c>
      <c r="R3347">
        <v>9.7000000000000003E-3</v>
      </c>
      <c r="T3347">
        <v>8.8999999999999999E-3</v>
      </c>
      <c r="V3347">
        <v>1.0500000000000001E-2</v>
      </c>
      <c r="W3347" t="s">
        <v>66</v>
      </c>
      <c r="X3347" t="s">
        <v>67</v>
      </c>
      <c r="Y3347" t="s">
        <v>67</v>
      </c>
      <c r="Z3347" t="s">
        <v>68</v>
      </c>
      <c r="AB3347">
        <v>4</v>
      </c>
      <c r="AC3347" t="s">
        <v>61</v>
      </c>
      <c r="AJ3347" t="s">
        <v>69</v>
      </c>
      <c r="AY3347" t="s">
        <v>2328</v>
      </c>
      <c r="AZ3347">
        <v>83754</v>
      </c>
      <c r="BA3347" t="s">
        <v>2329</v>
      </c>
      <c r="BB3347" t="s">
        <v>2330</v>
      </c>
      <c r="BC3347">
        <v>1996</v>
      </c>
      <c r="BD3347" t="s">
        <v>73</v>
      </c>
    </row>
    <row r="3348" spans="1:56" x14ac:dyDescent="0.35">
      <c r="A3348">
        <v>7761888</v>
      </c>
      <c r="B3348" t="s">
        <v>2321</v>
      </c>
      <c r="D3348" t="s">
        <v>57</v>
      </c>
      <c r="E3348" t="s">
        <v>86</v>
      </c>
      <c r="F3348" t="s">
        <v>58</v>
      </c>
      <c r="G3348" t="s">
        <v>59</v>
      </c>
      <c r="H3348" t="s">
        <v>60</v>
      </c>
      <c r="J3348" t="s">
        <v>86</v>
      </c>
      <c r="L3348" t="s">
        <v>62</v>
      </c>
      <c r="M3348" t="s">
        <v>63</v>
      </c>
      <c r="N3348" t="s">
        <v>64</v>
      </c>
      <c r="P3348" t="s">
        <v>201</v>
      </c>
      <c r="R3348">
        <v>0.27</v>
      </c>
      <c r="T3348">
        <v>0.22</v>
      </c>
      <c r="V3348">
        <v>0.32</v>
      </c>
      <c r="W3348" t="s">
        <v>66</v>
      </c>
      <c r="X3348" t="s">
        <v>67</v>
      </c>
      <c r="Y3348" t="s">
        <v>67</v>
      </c>
      <c r="Z3348" t="s">
        <v>68</v>
      </c>
      <c r="AB3348">
        <v>4</v>
      </c>
      <c r="AC3348" t="s">
        <v>61</v>
      </c>
      <c r="AJ3348" t="s">
        <v>69</v>
      </c>
      <c r="AY3348" t="s">
        <v>771</v>
      </c>
      <c r="AZ3348">
        <v>9479</v>
      </c>
      <c r="BA3348" t="s">
        <v>1117</v>
      </c>
      <c r="BB3348" t="s">
        <v>1118</v>
      </c>
      <c r="BC3348">
        <v>1981</v>
      </c>
      <c r="BD3348" t="s">
        <v>90</v>
      </c>
    </row>
    <row r="3349" spans="1:56" x14ac:dyDescent="0.35">
      <c r="A3349">
        <v>7761888</v>
      </c>
      <c r="B3349" t="s">
        <v>2321</v>
      </c>
      <c r="C3349" t="s">
        <v>195</v>
      </c>
      <c r="D3349" t="s">
        <v>85</v>
      </c>
      <c r="E3349" t="s">
        <v>86</v>
      </c>
      <c r="F3349" t="s">
        <v>58</v>
      </c>
      <c r="G3349" t="s">
        <v>59</v>
      </c>
      <c r="H3349" t="s">
        <v>60</v>
      </c>
      <c r="I3349" t="s">
        <v>177</v>
      </c>
      <c r="J3349">
        <v>4</v>
      </c>
      <c r="K3349" t="s">
        <v>61</v>
      </c>
      <c r="L3349" t="s">
        <v>62</v>
      </c>
      <c r="M3349" t="s">
        <v>63</v>
      </c>
      <c r="N3349" t="s">
        <v>64</v>
      </c>
      <c r="O3349">
        <v>6</v>
      </c>
      <c r="P3349" t="s">
        <v>201</v>
      </c>
      <c r="R3349">
        <v>2.0999999999999999E-3</v>
      </c>
      <c r="T3349">
        <v>1.9E-3</v>
      </c>
      <c r="V3349">
        <v>2.2000000000000001E-3</v>
      </c>
      <c r="W3349" t="s">
        <v>66</v>
      </c>
      <c r="X3349" t="s">
        <v>67</v>
      </c>
      <c r="Y3349" t="s">
        <v>67</v>
      </c>
      <c r="Z3349" t="s">
        <v>68</v>
      </c>
      <c r="AB3349">
        <v>4</v>
      </c>
      <c r="AC3349" t="s">
        <v>61</v>
      </c>
      <c r="AJ3349" t="s">
        <v>69</v>
      </c>
      <c r="AY3349" t="s">
        <v>2328</v>
      </c>
      <c r="AZ3349">
        <v>83754</v>
      </c>
      <c r="BA3349" t="s">
        <v>2329</v>
      </c>
      <c r="BB3349" t="s">
        <v>2330</v>
      </c>
      <c r="BC3349">
        <v>1996</v>
      </c>
      <c r="BD3349" t="s">
        <v>73</v>
      </c>
    </row>
    <row r="3350" spans="1:56" x14ac:dyDescent="0.35">
      <c r="A3350">
        <v>7761888</v>
      </c>
      <c r="B3350" t="s">
        <v>2321</v>
      </c>
      <c r="D3350" t="s">
        <v>57</v>
      </c>
      <c r="E3350" t="s">
        <v>86</v>
      </c>
      <c r="F3350" t="s">
        <v>58</v>
      </c>
      <c r="G3350" t="s">
        <v>59</v>
      </c>
      <c r="H3350" t="s">
        <v>60</v>
      </c>
      <c r="I3350" t="s">
        <v>188</v>
      </c>
      <c r="J3350" t="s">
        <v>289</v>
      </c>
      <c r="K3350" t="s">
        <v>184</v>
      </c>
      <c r="L3350" t="s">
        <v>190</v>
      </c>
      <c r="M3350" t="s">
        <v>63</v>
      </c>
      <c r="N3350" t="s">
        <v>64</v>
      </c>
      <c r="O3350">
        <v>6</v>
      </c>
      <c r="P3350" t="s">
        <v>201</v>
      </c>
      <c r="R3350">
        <v>1.37E-2</v>
      </c>
      <c r="W3350" t="s">
        <v>66</v>
      </c>
      <c r="X3350" t="s">
        <v>67</v>
      </c>
      <c r="Y3350" t="s">
        <v>67</v>
      </c>
      <c r="Z3350" t="s">
        <v>68</v>
      </c>
      <c r="AB3350">
        <v>4</v>
      </c>
      <c r="AC3350" t="s">
        <v>61</v>
      </c>
      <c r="AJ3350" t="s">
        <v>69</v>
      </c>
      <c r="AY3350" t="s">
        <v>2322</v>
      </c>
      <c r="AZ3350">
        <v>71734</v>
      </c>
      <c r="BA3350" t="s">
        <v>2323</v>
      </c>
      <c r="BB3350" t="s">
        <v>2324</v>
      </c>
      <c r="BC3350">
        <v>2003</v>
      </c>
      <c r="BD3350" t="s">
        <v>185</v>
      </c>
    </row>
    <row r="3351" spans="1:56" x14ac:dyDescent="0.35">
      <c r="A3351">
        <v>7761888</v>
      </c>
      <c r="B3351" t="s">
        <v>2321</v>
      </c>
      <c r="D3351" t="s">
        <v>85</v>
      </c>
      <c r="E3351" t="s">
        <v>86</v>
      </c>
      <c r="F3351" t="s">
        <v>58</v>
      </c>
      <c r="G3351" t="s">
        <v>59</v>
      </c>
      <c r="H3351" t="s">
        <v>60</v>
      </c>
      <c r="J3351" t="s">
        <v>86</v>
      </c>
      <c r="L3351" t="s">
        <v>190</v>
      </c>
      <c r="M3351" t="s">
        <v>63</v>
      </c>
      <c r="N3351" t="s">
        <v>64</v>
      </c>
      <c r="P3351" t="s">
        <v>1296</v>
      </c>
      <c r="R3351">
        <v>4.0000000000000002E-4</v>
      </c>
      <c r="W3351" t="s">
        <v>66</v>
      </c>
      <c r="X3351" t="s">
        <v>67</v>
      </c>
      <c r="Y3351" t="s">
        <v>67</v>
      </c>
      <c r="Z3351" t="s">
        <v>68</v>
      </c>
      <c r="AB3351">
        <v>4</v>
      </c>
      <c r="AC3351" t="s">
        <v>61</v>
      </c>
      <c r="AJ3351" t="s">
        <v>69</v>
      </c>
      <c r="AQ3351" t="s">
        <v>69</v>
      </c>
      <c r="AY3351" t="s">
        <v>2337</v>
      </c>
      <c r="AZ3351">
        <v>19262</v>
      </c>
      <c r="BA3351" t="s">
        <v>2338</v>
      </c>
      <c r="BB3351" t="s">
        <v>2339</v>
      </c>
      <c r="BC3351">
        <v>1999</v>
      </c>
      <c r="BD3351" t="s">
        <v>2342</v>
      </c>
    </row>
    <row r="3352" spans="1:56" x14ac:dyDescent="0.35">
      <c r="A3352">
        <v>7761888</v>
      </c>
      <c r="B3352" t="s">
        <v>2321</v>
      </c>
      <c r="C3352" t="s">
        <v>195</v>
      </c>
      <c r="D3352" t="s">
        <v>85</v>
      </c>
      <c r="E3352" t="s">
        <v>86</v>
      </c>
      <c r="F3352" t="s">
        <v>58</v>
      </c>
      <c r="G3352" t="s">
        <v>59</v>
      </c>
      <c r="H3352" t="s">
        <v>60</v>
      </c>
      <c r="I3352" t="s">
        <v>177</v>
      </c>
      <c r="J3352">
        <v>4</v>
      </c>
      <c r="K3352" t="s">
        <v>61</v>
      </c>
      <c r="L3352" t="s">
        <v>62</v>
      </c>
      <c r="M3352" t="s">
        <v>63</v>
      </c>
      <c r="N3352" t="s">
        <v>64</v>
      </c>
      <c r="O3352">
        <v>6</v>
      </c>
      <c r="P3352" t="s">
        <v>201</v>
      </c>
      <c r="R3352">
        <v>9.1000000000000004E-3</v>
      </c>
      <c r="T3352">
        <v>8.3999999999999995E-3</v>
      </c>
      <c r="V3352">
        <v>9.7999999999999997E-3</v>
      </c>
      <c r="W3352" t="s">
        <v>66</v>
      </c>
      <c r="X3352" t="s">
        <v>67</v>
      </c>
      <c r="Y3352" t="s">
        <v>67</v>
      </c>
      <c r="Z3352" t="s">
        <v>68</v>
      </c>
      <c r="AB3352">
        <v>4</v>
      </c>
      <c r="AC3352" t="s">
        <v>61</v>
      </c>
      <c r="AJ3352" t="s">
        <v>69</v>
      </c>
      <c r="AY3352" t="s">
        <v>2328</v>
      </c>
      <c r="AZ3352">
        <v>83754</v>
      </c>
      <c r="BA3352" t="s">
        <v>2329</v>
      </c>
      <c r="BB3352" t="s">
        <v>2330</v>
      </c>
      <c r="BC3352">
        <v>1996</v>
      </c>
      <c r="BD3352" t="s">
        <v>73</v>
      </c>
    </row>
    <row r="3353" spans="1:56" x14ac:dyDescent="0.35">
      <c r="A3353">
        <v>7761888</v>
      </c>
      <c r="B3353" t="s">
        <v>2321</v>
      </c>
      <c r="D3353" t="s">
        <v>85</v>
      </c>
      <c r="E3353" t="s">
        <v>86</v>
      </c>
      <c r="F3353" t="s">
        <v>58</v>
      </c>
      <c r="G3353" t="s">
        <v>59</v>
      </c>
      <c r="H3353" t="s">
        <v>60</v>
      </c>
      <c r="J3353" t="s">
        <v>86</v>
      </c>
      <c r="L3353" t="s">
        <v>190</v>
      </c>
      <c r="M3353" t="s">
        <v>63</v>
      </c>
      <c r="N3353" t="s">
        <v>64</v>
      </c>
      <c r="P3353" t="s">
        <v>1296</v>
      </c>
      <c r="R3353">
        <v>6.1999999999999998E-3</v>
      </c>
      <c r="W3353" t="s">
        <v>66</v>
      </c>
      <c r="X3353" t="s">
        <v>67</v>
      </c>
      <c r="Y3353" t="s">
        <v>67</v>
      </c>
      <c r="Z3353" t="s">
        <v>68</v>
      </c>
      <c r="AB3353">
        <v>4</v>
      </c>
      <c r="AC3353" t="s">
        <v>61</v>
      </c>
      <c r="AJ3353" t="s">
        <v>69</v>
      </c>
      <c r="AQ3353" t="s">
        <v>69</v>
      </c>
      <c r="AY3353" t="s">
        <v>2337</v>
      </c>
      <c r="AZ3353">
        <v>19262</v>
      </c>
      <c r="BA3353" t="s">
        <v>2338</v>
      </c>
      <c r="BB3353" t="s">
        <v>2339</v>
      </c>
      <c r="BC3353">
        <v>1999</v>
      </c>
      <c r="BD3353" t="s">
        <v>2343</v>
      </c>
    </row>
    <row r="3354" spans="1:56" x14ac:dyDescent="0.35">
      <c r="A3354">
        <v>7761888</v>
      </c>
      <c r="B3354" t="s">
        <v>2321</v>
      </c>
      <c r="C3354" t="s">
        <v>195</v>
      </c>
      <c r="D3354" t="s">
        <v>85</v>
      </c>
      <c r="E3354" t="s">
        <v>86</v>
      </c>
      <c r="F3354" t="s">
        <v>58</v>
      </c>
      <c r="G3354" t="s">
        <v>59</v>
      </c>
      <c r="H3354" t="s">
        <v>60</v>
      </c>
      <c r="I3354" t="s">
        <v>177</v>
      </c>
      <c r="J3354" t="s">
        <v>289</v>
      </c>
      <c r="K3354" t="s">
        <v>184</v>
      </c>
      <c r="L3354" t="s">
        <v>62</v>
      </c>
      <c r="M3354" t="s">
        <v>63</v>
      </c>
      <c r="N3354" t="s">
        <v>64</v>
      </c>
      <c r="P3354" t="s">
        <v>201</v>
      </c>
      <c r="R3354">
        <v>8.8900000000000003E-3</v>
      </c>
      <c r="T3354">
        <v>8.0800000000000004E-3</v>
      </c>
      <c r="V3354">
        <v>9.6900000000000007E-3</v>
      </c>
      <c r="W3354" t="s">
        <v>66</v>
      </c>
      <c r="X3354" t="s">
        <v>67</v>
      </c>
      <c r="Y3354" t="s">
        <v>67</v>
      </c>
      <c r="Z3354" t="s">
        <v>68</v>
      </c>
      <c r="AB3354">
        <v>4</v>
      </c>
      <c r="AC3354" t="s">
        <v>61</v>
      </c>
      <c r="AJ3354" t="s">
        <v>69</v>
      </c>
      <c r="AY3354" t="s">
        <v>2325</v>
      </c>
      <c r="AZ3354">
        <v>19218</v>
      </c>
      <c r="BA3354" t="s">
        <v>2326</v>
      </c>
      <c r="BB3354" t="s">
        <v>2327</v>
      </c>
      <c r="BC3354">
        <v>1999</v>
      </c>
      <c r="BD3354" t="s">
        <v>185</v>
      </c>
    </row>
    <row r="3355" spans="1:56" x14ac:dyDescent="0.35">
      <c r="A3355">
        <v>7761888</v>
      </c>
      <c r="B3355" t="s">
        <v>2321</v>
      </c>
      <c r="C3355" t="s">
        <v>195</v>
      </c>
      <c r="D3355" t="s">
        <v>85</v>
      </c>
      <c r="E3355" t="s">
        <v>86</v>
      </c>
      <c r="F3355" t="s">
        <v>58</v>
      </c>
      <c r="G3355" t="s">
        <v>59</v>
      </c>
      <c r="H3355" t="s">
        <v>60</v>
      </c>
      <c r="I3355" t="s">
        <v>177</v>
      </c>
      <c r="J3355" t="s">
        <v>289</v>
      </c>
      <c r="K3355" t="s">
        <v>184</v>
      </c>
      <c r="L3355" t="s">
        <v>62</v>
      </c>
      <c r="M3355" t="s">
        <v>63</v>
      </c>
      <c r="N3355" t="s">
        <v>64</v>
      </c>
      <c r="P3355" t="s">
        <v>201</v>
      </c>
      <c r="R3355">
        <v>2.2399999999999998E-3</v>
      </c>
      <c r="T3355">
        <v>2.0999999999999999E-3</v>
      </c>
      <c r="V3355">
        <v>2.3800000000000002E-3</v>
      </c>
      <c r="W3355" t="s">
        <v>66</v>
      </c>
      <c r="X3355" t="s">
        <v>67</v>
      </c>
      <c r="Y3355" t="s">
        <v>67</v>
      </c>
      <c r="Z3355" t="s">
        <v>68</v>
      </c>
      <c r="AB3355">
        <v>4</v>
      </c>
      <c r="AC3355" t="s">
        <v>61</v>
      </c>
      <c r="AJ3355" t="s">
        <v>69</v>
      </c>
      <c r="AY3355" t="s">
        <v>2325</v>
      </c>
      <c r="AZ3355">
        <v>19218</v>
      </c>
      <c r="BA3355" t="s">
        <v>2326</v>
      </c>
      <c r="BB3355" t="s">
        <v>2327</v>
      </c>
      <c r="BC3355">
        <v>1999</v>
      </c>
      <c r="BD3355" t="s">
        <v>185</v>
      </c>
    </row>
    <row r="3356" spans="1:56" x14ac:dyDescent="0.35">
      <c r="A3356">
        <v>7761888</v>
      </c>
      <c r="B3356" t="s">
        <v>2321</v>
      </c>
      <c r="D3356" t="s">
        <v>57</v>
      </c>
      <c r="E3356">
        <v>99.7</v>
      </c>
      <c r="F3356" t="s">
        <v>58</v>
      </c>
      <c r="G3356" t="s">
        <v>59</v>
      </c>
      <c r="H3356" t="s">
        <v>60</v>
      </c>
      <c r="I3356" t="s">
        <v>129</v>
      </c>
      <c r="J3356" t="s">
        <v>86</v>
      </c>
      <c r="L3356" t="s">
        <v>62</v>
      </c>
      <c r="M3356" t="s">
        <v>63</v>
      </c>
      <c r="N3356" t="s">
        <v>64</v>
      </c>
      <c r="P3356" t="s">
        <v>201</v>
      </c>
      <c r="Q3356" t="s">
        <v>172</v>
      </c>
      <c r="R3356">
        <v>0.01</v>
      </c>
      <c r="W3356" t="s">
        <v>66</v>
      </c>
      <c r="X3356" t="s">
        <v>67</v>
      </c>
      <c r="Y3356" t="s">
        <v>67</v>
      </c>
      <c r="Z3356" t="s">
        <v>68</v>
      </c>
      <c r="AB3356">
        <v>4</v>
      </c>
      <c r="AC3356" t="s">
        <v>61</v>
      </c>
      <c r="AJ3356" t="s">
        <v>69</v>
      </c>
      <c r="AY3356" t="s">
        <v>2334</v>
      </c>
      <c r="AZ3356">
        <v>18938</v>
      </c>
      <c r="BA3356" t="s">
        <v>2335</v>
      </c>
      <c r="BB3356" t="s">
        <v>2336</v>
      </c>
      <c r="BC3356">
        <v>1998</v>
      </c>
      <c r="BD3356" t="s">
        <v>90</v>
      </c>
    </row>
    <row r="3357" spans="1:56" x14ac:dyDescent="0.35">
      <c r="A3357">
        <v>7761888</v>
      </c>
      <c r="B3357" t="s">
        <v>2321</v>
      </c>
      <c r="C3357" t="s">
        <v>195</v>
      </c>
      <c r="D3357" t="s">
        <v>85</v>
      </c>
      <c r="E3357" t="s">
        <v>86</v>
      </c>
      <c r="F3357" t="s">
        <v>58</v>
      </c>
      <c r="G3357" t="s">
        <v>59</v>
      </c>
      <c r="H3357" t="s">
        <v>60</v>
      </c>
      <c r="I3357" t="s">
        <v>177</v>
      </c>
      <c r="J3357" t="s">
        <v>289</v>
      </c>
      <c r="K3357" t="s">
        <v>184</v>
      </c>
      <c r="L3357" t="s">
        <v>62</v>
      </c>
      <c r="M3357" t="s">
        <v>63</v>
      </c>
      <c r="N3357" t="s">
        <v>64</v>
      </c>
      <c r="P3357" t="s">
        <v>201</v>
      </c>
      <c r="R3357">
        <v>4.2300000000000003E-3</v>
      </c>
      <c r="T3357">
        <v>3.79E-3</v>
      </c>
      <c r="V3357">
        <v>4.6699999999999997E-3</v>
      </c>
      <c r="W3357" t="s">
        <v>66</v>
      </c>
      <c r="X3357" t="s">
        <v>67</v>
      </c>
      <c r="Y3357" t="s">
        <v>67</v>
      </c>
      <c r="Z3357" t="s">
        <v>68</v>
      </c>
      <c r="AB3357">
        <v>4</v>
      </c>
      <c r="AC3357" t="s">
        <v>61</v>
      </c>
      <c r="AJ3357" t="s">
        <v>69</v>
      </c>
      <c r="AY3357" t="s">
        <v>2325</v>
      </c>
      <c r="AZ3357">
        <v>19218</v>
      </c>
      <c r="BA3357" t="s">
        <v>2326</v>
      </c>
      <c r="BB3357" t="s">
        <v>2327</v>
      </c>
      <c r="BC3357">
        <v>1999</v>
      </c>
      <c r="BD3357" t="s">
        <v>185</v>
      </c>
    </row>
    <row r="3358" spans="1:56" x14ac:dyDescent="0.35">
      <c r="A3358">
        <v>7761888</v>
      </c>
      <c r="B3358" t="s">
        <v>2321</v>
      </c>
      <c r="D3358" t="s">
        <v>57</v>
      </c>
      <c r="E3358">
        <v>99.7</v>
      </c>
      <c r="F3358" t="s">
        <v>58</v>
      </c>
      <c r="G3358" t="s">
        <v>59</v>
      </c>
      <c r="H3358" t="s">
        <v>60</v>
      </c>
      <c r="I3358" t="s">
        <v>129</v>
      </c>
      <c r="J3358" t="s">
        <v>86</v>
      </c>
      <c r="L3358" t="s">
        <v>74</v>
      </c>
      <c r="M3358" t="s">
        <v>63</v>
      </c>
      <c r="N3358" t="s">
        <v>64</v>
      </c>
      <c r="P3358" t="s">
        <v>201</v>
      </c>
      <c r="Q3358" t="s">
        <v>172</v>
      </c>
      <c r="R3358">
        <v>15</v>
      </c>
      <c r="W3358" t="s">
        <v>66</v>
      </c>
      <c r="X3358" t="s">
        <v>67</v>
      </c>
      <c r="Y3358" t="s">
        <v>67</v>
      </c>
      <c r="Z3358" t="s">
        <v>68</v>
      </c>
      <c r="AB3358">
        <v>4</v>
      </c>
      <c r="AC3358" t="s">
        <v>61</v>
      </c>
      <c r="AJ3358" t="s">
        <v>69</v>
      </c>
      <c r="AY3358" t="s">
        <v>2334</v>
      </c>
      <c r="AZ3358">
        <v>18938</v>
      </c>
      <c r="BA3358" t="s">
        <v>2335</v>
      </c>
      <c r="BB3358" t="s">
        <v>2336</v>
      </c>
      <c r="BC3358">
        <v>1998</v>
      </c>
      <c r="BD3358" t="s">
        <v>90</v>
      </c>
    </row>
    <row r="3359" spans="1:56" x14ac:dyDescent="0.35">
      <c r="A3359">
        <v>7761888</v>
      </c>
      <c r="B3359" t="s">
        <v>2321</v>
      </c>
      <c r="C3359" t="s">
        <v>195</v>
      </c>
      <c r="D3359" t="s">
        <v>85</v>
      </c>
      <c r="E3359" t="s">
        <v>86</v>
      </c>
      <c r="F3359" t="s">
        <v>58</v>
      </c>
      <c r="G3359" t="s">
        <v>59</v>
      </c>
      <c r="H3359" t="s">
        <v>60</v>
      </c>
      <c r="I3359" t="s">
        <v>188</v>
      </c>
      <c r="J3359">
        <v>28</v>
      </c>
      <c r="K3359" t="s">
        <v>61</v>
      </c>
      <c r="L3359" t="s">
        <v>62</v>
      </c>
      <c r="M3359" t="s">
        <v>63</v>
      </c>
      <c r="N3359" t="s">
        <v>64</v>
      </c>
      <c r="O3359">
        <v>6</v>
      </c>
      <c r="P3359" t="s">
        <v>201</v>
      </c>
      <c r="R3359">
        <v>2.3800000000000002E-2</v>
      </c>
      <c r="T3359">
        <v>2.1999999999999999E-2</v>
      </c>
      <c r="V3359">
        <v>2.5499999999999998E-2</v>
      </c>
      <c r="W3359" t="s">
        <v>66</v>
      </c>
      <c r="X3359" t="s">
        <v>67</v>
      </c>
      <c r="Y3359" t="s">
        <v>67</v>
      </c>
      <c r="Z3359" t="s">
        <v>68</v>
      </c>
      <c r="AB3359">
        <v>4</v>
      </c>
      <c r="AC3359" t="s">
        <v>61</v>
      </c>
      <c r="AJ3359" t="s">
        <v>69</v>
      </c>
      <c r="AY3359" t="s">
        <v>2328</v>
      </c>
      <c r="AZ3359">
        <v>83754</v>
      </c>
      <c r="BA3359" t="s">
        <v>2329</v>
      </c>
      <c r="BB3359" t="s">
        <v>2330</v>
      </c>
      <c r="BC3359">
        <v>1996</v>
      </c>
      <c r="BD3359" t="s">
        <v>73</v>
      </c>
    </row>
    <row r="3360" spans="1:56" x14ac:dyDescent="0.35">
      <c r="A3360">
        <v>7761888</v>
      </c>
      <c r="B3360" t="s">
        <v>2321</v>
      </c>
      <c r="C3360" t="s">
        <v>195</v>
      </c>
      <c r="D3360" t="s">
        <v>85</v>
      </c>
      <c r="E3360" t="s">
        <v>86</v>
      </c>
      <c r="F3360" t="s">
        <v>58</v>
      </c>
      <c r="G3360" t="s">
        <v>59</v>
      </c>
      <c r="H3360" t="s">
        <v>60</v>
      </c>
      <c r="I3360" t="s">
        <v>177</v>
      </c>
      <c r="J3360">
        <v>4</v>
      </c>
      <c r="K3360" t="s">
        <v>61</v>
      </c>
      <c r="L3360" t="s">
        <v>62</v>
      </c>
      <c r="M3360" t="s">
        <v>63</v>
      </c>
      <c r="N3360" t="s">
        <v>64</v>
      </c>
      <c r="O3360">
        <v>6</v>
      </c>
      <c r="P3360" t="s">
        <v>201</v>
      </c>
      <c r="R3360">
        <v>5.4999999999999997E-3</v>
      </c>
      <c r="T3360">
        <v>5.1000000000000004E-3</v>
      </c>
      <c r="V3360">
        <v>5.8999999999999999E-3</v>
      </c>
      <c r="W3360" t="s">
        <v>66</v>
      </c>
      <c r="X3360" t="s">
        <v>67</v>
      </c>
      <c r="Y3360" t="s">
        <v>67</v>
      </c>
      <c r="Z3360" t="s">
        <v>68</v>
      </c>
      <c r="AB3360">
        <v>4</v>
      </c>
      <c r="AC3360" t="s">
        <v>61</v>
      </c>
      <c r="AJ3360" t="s">
        <v>69</v>
      </c>
      <c r="AY3360" t="s">
        <v>2328</v>
      </c>
      <c r="AZ3360">
        <v>83754</v>
      </c>
      <c r="BA3360" t="s">
        <v>2329</v>
      </c>
      <c r="BB3360" t="s">
        <v>2330</v>
      </c>
      <c r="BC3360">
        <v>1996</v>
      </c>
      <c r="BD3360" t="s">
        <v>73</v>
      </c>
    </row>
    <row r="3361" spans="1:56" x14ac:dyDescent="0.35">
      <c r="A3361">
        <v>7761888</v>
      </c>
      <c r="B3361" t="s">
        <v>2321</v>
      </c>
      <c r="D3361" t="s">
        <v>57</v>
      </c>
      <c r="E3361" t="s">
        <v>86</v>
      </c>
      <c r="F3361" t="s">
        <v>58</v>
      </c>
      <c r="G3361" t="s">
        <v>59</v>
      </c>
      <c r="H3361" t="s">
        <v>60</v>
      </c>
      <c r="J3361" t="s">
        <v>86</v>
      </c>
      <c r="L3361" t="s">
        <v>74</v>
      </c>
      <c r="M3361" t="s">
        <v>63</v>
      </c>
      <c r="N3361" t="s">
        <v>64</v>
      </c>
      <c r="P3361" t="s">
        <v>201</v>
      </c>
      <c r="R3361">
        <v>8.0000000000000002E-3</v>
      </c>
      <c r="W3361" t="s">
        <v>66</v>
      </c>
      <c r="X3361" t="s">
        <v>67</v>
      </c>
      <c r="Y3361" t="s">
        <v>67</v>
      </c>
      <c r="Z3361" t="s">
        <v>68</v>
      </c>
      <c r="AB3361">
        <v>4</v>
      </c>
      <c r="AC3361" t="s">
        <v>61</v>
      </c>
      <c r="AJ3361" t="s">
        <v>69</v>
      </c>
      <c r="AY3361" t="s">
        <v>771</v>
      </c>
      <c r="AZ3361">
        <v>9479</v>
      </c>
      <c r="BA3361" t="s">
        <v>1117</v>
      </c>
      <c r="BB3361" t="s">
        <v>1118</v>
      </c>
      <c r="BC3361">
        <v>1981</v>
      </c>
      <c r="BD3361" t="s">
        <v>90</v>
      </c>
    </row>
    <row r="3362" spans="1:56" x14ac:dyDescent="0.35">
      <c r="A3362">
        <v>7761888</v>
      </c>
      <c r="B3362" t="s">
        <v>2321</v>
      </c>
      <c r="D3362" t="s">
        <v>57</v>
      </c>
      <c r="E3362" t="s">
        <v>86</v>
      </c>
      <c r="F3362" t="s">
        <v>58</v>
      </c>
      <c r="G3362" t="s">
        <v>59</v>
      </c>
      <c r="H3362" t="s">
        <v>60</v>
      </c>
      <c r="J3362" t="s">
        <v>86</v>
      </c>
      <c r="L3362" t="s">
        <v>62</v>
      </c>
      <c r="M3362" t="s">
        <v>63</v>
      </c>
      <c r="N3362" t="s">
        <v>64</v>
      </c>
      <c r="P3362" t="s">
        <v>201</v>
      </c>
      <c r="R3362">
        <v>8.6999999999999994E-3</v>
      </c>
      <c r="T3362">
        <v>7.7999999999999996E-3</v>
      </c>
      <c r="V3362">
        <v>9.5999999999999992E-3</v>
      </c>
      <c r="W3362" t="s">
        <v>66</v>
      </c>
      <c r="X3362" t="s">
        <v>67</v>
      </c>
      <c r="Y3362" t="s">
        <v>67</v>
      </c>
      <c r="Z3362" t="s">
        <v>68</v>
      </c>
      <c r="AB3362">
        <v>4</v>
      </c>
      <c r="AC3362" t="s">
        <v>61</v>
      </c>
      <c r="AJ3362" t="s">
        <v>69</v>
      </c>
      <c r="AY3362" t="s">
        <v>771</v>
      </c>
      <c r="AZ3362">
        <v>9479</v>
      </c>
      <c r="BA3362" t="s">
        <v>1117</v>
      </c>
      <c r="BB3362" t="s">
        <v>1118</v>
      </c>
      <c r="BC3362">
        <v>1981</v>
      </c>
      <c r="BD3362" t="s">
        <v>90</v>
      </c>
    </row>
    <row r="3363" spans="1:56" x14ac:dyDescent="0.35">
      <c r="A3363">
        <v>7761888</v>
      </c>
      <c r="B3363" t="s">
        <v>2321</v>
      </c>
      <c r="C3363" t="s">
        <v>386</v>
      </c>
      <c r="D3363" t="s">
        <v>85</v>
      </c>
      <c r="E3363" t="s">
        <v>86</v>
      </c>
      <c r="F3363" t="s">
        <v>58</v>
      </c>
      <c r="G3363" t="s">
        <v>59</v>
      </c>
      <c r="H3363" t="s">
        <v>60</v>
      </c>
      <c r="J3363" t="s">
        <v>86</v>
      </c>
      <c r="L3363" t="s">
        <v>62</v>
      </c>
      <c r="M3363" t="s">
        <v>63</v>
      </c>
      <c r="N3363" t="s">
        <v>64</v>
      </c>
      <c r="O3363">
        <v>6</v>
      </c>
      <c r="P3363" t="s">
        <v>201</v>
      </c>
      <c r="R3363">
        <v>3.5999999999999997E-2</v>
      </c>
      <c r="T3363">
        <v>2.9499999999999998E-2</v>
      </c>
      <c r="V3363">
        <v>3.9899999999999998E-2</v>
      </c>
      <c r="W3363" t="s">
        <v>66</v>
      </c>
      <c r="X3363" t="s">
        <v>67</v>
      </c>
      <c r="Y3363" t="s">
        <v>67</v>
      </c>
      <c r="Z3363" t="s">
        <v>68</v>
      </c>
      <c r="AB3363">
        <v>4</v>
      </c>
      <c r="AC3363" t="s">
        <v>61</v>
      </c>
      <c r="AJ3363" t="s">
        <v>69</v>
      </c>
      <c r="AY3363" t="s">
        <v>2344</v>
      </c>
      <c r="AZ3363">
        <v>18858</v>
      </c>
      <c r="BA3363" t="s">
        <v>2345</v>
      </c>
      <c r="BB3363" t="s">
        <v>2346</v>
      </c>
      <c r="BC3363">
        <v>1984</v>
      </c>
      <c r="BD3363" t="s">
        <v>90</v>
      </c>
    </row>
    <row r="3364" spans="1:56" x14ac:dyDescent="0.35">
      <c r="A3364">
        <v>7761888</v>
      </c>
      <c r="B3364" t="s">
        <v>2321</v>
      </c>
      <c r="C3364" t="s">
        <v>195</v>
      </c>
      <c r="D3364" t="s">
        <v>85</v>
      </c>
      <c r="E3364" t="s">
        <v>86</v>
      </c>
      <c r="F3364" t="s">
        <v>58</v>
      </c>
      <c r="G3364" t="s">
        <v>59</v>
      </c>
      <c r="H3364" t="s">
        <v>60</v>
      </c>
      <c r="I3364" t="s">
        <v>177</v>
      </c>
      <c r="J3364" t="s">
        <v>289</v>
      </c>
      <c r="K3364" t="s">
        <v>184</v>
      </c>
      <c r="L3364" t="s">
        <v>62</v>
      </c>
      <c r="M3364" t="s">
        <v>63</v>
      </c>
      <c r="N3364" t="s">
        <v>64</v>
      </c>
      <c r="P3364" t="s">
        <v>201</v>
      </c>
      <c r="R3364">
        <v>2.6700000000000001E-3</v>
      </c>
      <c r="T3364">
        <v>2.48E-3</v>
      </c>
      <c r="V3364">
        <v>2.8600000000000001E-3</v>
      </c>
      <c r="W3364" t="s">
        <v>66</v>
      </c>
      <c r="X3364" t="s">
        <v>67</v>
      </c>
      <c r="Y3364" t="s">
        <v>67</v>
      </c>
      <c r="Z3364" t="s">
        <v>68</v>
      </c>
      <c r="AB3364">
        <v>4</v>
      </c>
      <c r="AC3364" t="s">
        <v>61</v>
      </c>
      <c r="AJ3364" t="s">
        <v>69</v>
      </c>
      <c r="AY3364" t="s">
        <v>2325</v>
      </c>
      <c r="AZ3364">
        <v>19218</v>
      </c>
      <c r="BA3364" t="s">
        <v>2326</v>
      </c>
      <c r="BB3364" t="s">
        <v>2327</v>
      </c>
      <c r="BC3364">
        <v>1999</v>
      </c>
      <c r="BD3364" t="s">
        <v>185</v>
      </c>
    </row>
    <row r="3365" spans="1:56" x14ac:dyDescent="0.35">
      <c r="A3365">
        <v>7761888</v>
      </c>
      <c r="B3365" t="s">
        <v>2321</v>
      </c>
      <c r="D3365" t="s">
        <v>57</v>
      </c>
      <c r="E3365" t="s">
        <v>86</v>
      </c>
      <c r="F3365" t="s">
        <v>58</v>
      </c>
      <c r="G3365" t="s">
        <v>59</v>
      </c>
      <c r="H3365" t="s">
        <v>60</v>
      </c>
      <c r="J3365" t="s">
        <v>86</v>
      </c>
      <c r="L3365" t="s">
        <v>74</v>
      </c>
      <c r="M3365" t="s">
        <v>63</v>
      </c>
      <c r="N3365" t="s">
        <v>64</v>
      </c>
      <c r="P3365" t="s">
        <v>201</v>
      </c>
      <c r="R3365">
        <v>5.7800000000000004E-3</v>
      </c>
      <c r="T3365">
        <v>0</v>
      </c>
      <c r="V3365">
        <v>7.1900000000000002E-3</v>
      </c>
      <c r="W3365" t="s">
        <v>66</v>
      </c>
      <c r="X3365" t="s">
        <v>67</v>
      </c>
      <c r="Y3365" t="s">
        <v>67</v>
      </c>
      <c r="Z3365" t="s">
        <v>68</v>
      </c>
      <c r="AB3365">
        <v>4</v>
      </c>
      <c r="AC3365" t="s">
        <v>61</v>
      </c>
      <c r="AJ3365" t="s">
        <v>69</v>
      </c>
      <c r="AY3365" t="s">
        <v>771</v>
      </c>
      <c r="AZ3365">
        <v>9479</v>
      </c>
      <c r="BA3365" t="s">
        <v>1117</v>
      </c>
      <c r="BB3365" t="s">
        <v>1118</v>
      </c>
      <c r="BC3365">
        <v>1981</v>
      </c>
      <c r="BD3365" t="s">
        <v>90</v>
      </c>
    </row>
    <row r="3366" spans="1:56" x14ac:dyDescent="0.35">
      <c r="A3366">
        <v>7761888</v>
      </c>
      <c r="B3366" t="s">
        <v>2321</v>
      </c>
      <c r="C3366" t="s">
        <v>195</v>
      </c>
      <c r="D3366" t="s">
        <v>85</v>
      </c>
      <c r="E3366" t="s">
        <v>86</v>
      </c>
      <c r="F3366" t="s">
        <v>58</v>
      </c>
      <c r="G3366" t="s">
        <v>59</v>
      </c>
      <c r="H3366" t="s">
        <v>60</v>
      </c>
      <c r="I3366" t="s">
        <v>177</v>
      </c>
      <c r="J3366">
        <v>4</v>
      </c>
      <c r="K3366" t="s">
        <v>61</v>
      </c>
      <c r="L3366" t="s">
        <v>62</v>
      </c>
      <c r="M3366" t="s">
        <v>63</v>
      </c>
      <c r="N3366" t="s">
        <v>64</v>
      </c>
      <c r="O3366">
        <v>6</v>
      </c>
      <c r="P3366" t="s">
        <v>201</v>
      </c>
      <c r="R3366">
        <v>4.4000000000000003E-3</v>
      </c>
      <c r="T3366">
        <v>4.0699999999999998E-3</v>
      </c>
      <c r="V3366">
        <v>4.7999999999999996E-3</v>
      </c>
      <c r="W3366" t="s">
        <v>66</v>
      </c>
      <c r="X3366" t="s">
        <v>67</v>
      </c>
      <c r="Y3366" t="s">
        <v>67</v>
      </c>
      <c r="Z3366" t="s">
        <v>68</v>
      </c>
      <c r="AB3366">
        <v>4</v>
      </c>
      <c r="AC3366" t="s">
        <v>61</v>
      </c>
      <c r="AJ3366" t="s">
        <v>69</v>
      </c>
      <c r="AY3366" t="s">
        <v>2328</v>
      </c>
      <c r="AZ3366">
        <v>83754</v>
      </c>
      <c r="BA3366" t="s">
        <v>2329</v>
      </c>
      <c r="BB3366" t="s">
        <v>2330</v>
      </c>
      <c r="BC3366">
        <v>1996</v>
      </c>
      <c r="BD3366" t="s">
        <v>73</v>
      </c>
    </row>
    <row r="3367" spans="1:56" x14ac:dyDescent="0.35">
      <c r="A3367">
        <v>7761888</v>
      </c>
      <c r="B3367" t="s">
        <v>2321</v>
      </c>
      <c r="C3367" t="s">
        <v>386</v>
      </c>
      <c r="D3367" t="s">
        <v>85</v>
      </c>
      <c r="E3367" t="s">
        <v>86</v>
      </c>
      <c r="F3367" t="s">
        <v>58</v>
      </c>
      <c r="G3367" t="s">
        <v>59</v>
      </c>
      <c r="H3367" t="s">
        <v>60</v>
      </c>
      <c r="J3367" t="s">
        <v>86</v>
      </c>
      <c r="L3367" t="s">
        <v>62</v>
      </c>
      <c r="M3367" t="s">
        <v>63</v>
      </c>
      <c r="N3367" t="s">
        <v>64</v>
      </c>
      <c r="O3367">
        <v>6</v>
      </c>
      <c r="P3367" t="s">
        <v>201</v>
      </c>
      <c r="R3367">
        <v>0.03</v>
      </c>
      <c r="T3367">
        <v>2.8400000000000002E-2</v>
      </c>
      <c r="V3367">
        <v>3.2399999999999998E-2</v>
      </c>
      <c r="W3367" t="s">
        <v>66</v>
      </c>
      <c r="X3367" t="s">
        <v>67</v>
      </c>
      <c r="Y3367" t="s">
        <v>67</v>
      </c>
      <c r="Z3367" t="s">
        <v>68</v>
      </c>
      <c r="AB3367">
        <v>4</v>
      </c>
      <c r="AC3367" t="s">
        <v>61</v>
      </c>
      <c r="AJ3367" t="s">
        <v>69</v>
      </c>
      <c r="AY3367" t="s">
        <v>2344</v>
      </c>
      <c r="AZ3367">
        <v>18858</v>
      </c>
      <c r="BA3367" t="s">
        <v>2345</v>
      </c>
      <c r="BB3367" t="s">
        <v>2346</v>
      </c>
      <c r="BC3367">
        <v>1984</v>
      </c>
      <c r="BD3367" t="s">
        <v>90</v>
      </c>
    </row>
    <row r="3368" spans="1:56" x14ac:dyDescent="0.35">
      <c r="A3368">
        <v>7761888</v>
      </c>
      <c r="B3368" t="s">
        <v>2321</v>
      </c>
      <c r="C3368" t="s">
        <v>195</v>
      </c>
      <c r="D3368" t="s">
        <v>85</v>
      </c>
      <c r="E3368" t="s">
        <v>86</v>
      </c>
      <c r="F3368" t="s">
        <v>58</v>
      </c>
      <c r="G3368" t="s">
        <v>59</v>
      </c>
      <c r="H3368" t="s">
        <v>60</v>
      </c>
      <c r="I3368" t="s">
        <v>177</v>
      </c>
      <c r="J3368">
        <v>4</v>
      </c>
      <c r="K3368" t="s">
        <v>61</v>
      </c>
      <c r="L3368" t="s">
        <v>62</v>
      </c>
      <c r="M3368" t="s">
        <v>63</v>
      </c>
      <c r="N3368" t="s">
        <v>64</v>
      </c>
      <c r="O3368">
        <v>6</v>
      </c>
      <c r="P3368" t="s">
        <v>201</v>
      </c>
      <c r="R3368">
        <v>6.0800000000000003E-3</v>
      </c>
      <c r="T3368">
        <v>5.5999999999999999E-3</v>
      </c>
      <c r="V3368">
        <v>6.6E-3</v>
      </c>
      <c r="W3368" t="s">
        <v>66</v>
      </c>
      <c r="X3368" t="s">
        <v>67</v>
      </c>
      <c r="Y3368" t="s">
        <v>67</v>
      </c>
      <c r="Z3368" t="s">
        <v>68</v>
      </c>
      <c r="AB3368">
        <v>4</v>
      </c>
      <c r="AC3368" t="s">
        <v>61</v>
      </c>
      <c r="AJ3368" t="s">
        <v>69</v>
      </c>
      <c r="AY3368" t="s">
        <v>2328</v>
      </c>
      <c r="AZ3368">
        <v>83754</v>
      </c>
      <c r="BA3368" t="s">
        <v>2329</v>
      </c>
      <c r="BB3368" t="s">
        <v>2330</v>
      </c>
      <c r="BC3368">
        <v>1996</v>
      </c>
      <c r="BD3368" t="s">
        <v>73</v>
      </c>
    </row>
    <row r="3369" spans="1:56" x14ac:dyDescent="0.35">
      <c r="A3369">
        <v>7761888</v>
      </c>
      <c r="B3369" t="s">
        <v>2321</v>
      </c>
      <c r="C3369" t="s">
        <v>386</v>
      </c>
      <c r="D3369" t="s">
        <v>85</v>
      </c>
      <c r="E3369" t="s">
        <v>86</v>
      </c>
      <c r="F3369" t="s">
        <v>58</v>
      </c>
      <c r="G3369" t="s">
        <v>59</v>
      </c>
      <c r="H3369" t="s">
        <v>60</v>
      </c>
      <c r="J3369" t="s">
        <v>86</v>
      </c>
      <c r="L3369" t="s">
        <v>62</v>
      </c>
      <c r="M3369" t="s">
        <v>63</v>
      </c>
      <c r="N3369" t="s">
        <v>64</v>
      </c>
      <c r="O3369">
        <v>6</v>
      </c>
      <c r="P3369" t="s">
        <v>201</v>
      </c>
      <c r="R3369">
        <v>2.9100000000000001E-2</v>
      </c>
      <c r="T3369">
        <v>9.4999999999999998E-3</v>
      </c>
      <c r="V3369">
        <v>3.0599999999999999E-2</v>
      </c>
      <c r="W3369" t="s">
        <v>66</v>
      </c>
      <c r="X3369" t="s">
        <v>67</v>
      </c>
      <c r="Y3369" t="s">
        <v>67</v>
      </c>
      <c r="Z3369" t="s">
        <v>68</v>
      </c>
      <c r="AB3369">
        <v>4</v>
      </c>
      <c r="AC3369" t="s">
        <v>61</v>
      </c>
      <c r="AJ3369" t="s">
        <v>69</v>
      </c>
      <c r="AY3369" t="s">
        <v>2344</v>
      </c>
      <c r="AZ3369">
        <v>18858</v>
      </c>
      <c r="BA3369" t="s">
        <v>2345</v>
      </c>
      <c r="BB3369" t="s">
        <v>2346</v>
      </c>
      <c r="BC3369">
        <v>1984</v>
      </c>
      <c r="BD3369" t="s">
        <v>90</v>
      </c>
    </row>
    <row r="3370" spans="1:56" x14ac:dyDescent="0.35">
      <c r="A3370">
        <v>7761888</v>
      </c>
      <c r="B3370" t="s">
        <v>2321</v>
      </c>
      <c r="D3370" t="s">
        <v>85</v>
      </c>
      <c r="E3370" t="s">
        <v>86</v>
      </c>
      <c r="F3370" t="s">
        <v>58</v>
      </c>
      <c r="G3370" t="s">
        <v>59</v>
      </c>
      <c r="H3370" t="s">
        <v>60</v>
      </c>
      <c r="J3370" t="s">
        <v>86</v>
      </c>
      <c r="L3370" t="s">
        <v>62</v>
      </c>
      <c r="M3370" t="s">
        <v>63</v>
      </c>
      <c r="N3370" t="s">
        <v>64</v>
      </c>
      <c r="O3370">
        <v>6</v>
      </c>
      <c r="P3370" t="s">
        <v>201</v>
      </c>
      <c r="R3370">
        <v>2.1999999999999999E-2</v>
      </c>
      <c r="T3370">
        <v>0.02</v>
      </c>
      <c r="V3370">
        <v>2.5000000000000001E-2</v>
      </c>
      <c r="W3370" t="s">
        <v>66</v>
      </c>
      <c r="X3370" t="s">
        <v>67</v>
      </c>
      <c r="Y3370" t="s">
        <v>67</v>
      </c>
      <c r="Z3370" t="s">
        <v>68</v>
      </c>
      <c r="AB3370">
        <v>4</v>
      </c>
      <c r="AC3370" t="s">
        <v>61</v>
      </c>
      <c r="AJ3370" t="s">
        <v>69</v>
      </c>
      <c r="AY3370" t="s">
        <v>2127</v>
      </c>
      <c r="AZ3370">
        <v>150469</v>
      </c>
      <c r="BA3370" t="s">
        <v>2128</v>
      </c>
      <c r="BB3370" t="s">
        <v>2129</v>
      </c>
      <c r="BC3370">
        <v>1986</v>
      </c>
      <c r="BD3370" t="s">
        <v>90</v>
      </c>
    </row>
    <row r="3371" spans="1:56" x14ac:dyDescent="0.35">
      <c r="A3371">
        <v>7761888</v>
      </c>
      <c r="B3371" t="s">
        <v>2321</v>
      </c>
      <c r="C3371" t="s">
        <v>195</v>
      </c>
      <c r="D3371" t="s">
        <v>85</v>
      </c>
      <c r="E3371" t="s">
        <v>86</v>
      </c>
      <c r="F3371" t="s">
        <v>58</v>
      </c>
      <c r="G3371" t="s">
        <v>59</v>
      </c>
      <c r="H3371" t="s">
        <v>60</v>
      </c>
      <c r="I3371" t="s">
        <v>188</v>
      </c>
      <c r="J3371">
        <v>28</v>
      </c>
      <c r="K3371" t="s">
        <v>61</v>
      </c>
      <c r="L3371" t="s">
        <v>62</v>
      </c>
      <c r="M3371" t="s">
        <v>63</v>
      </c>
      <c r="N3371" t="s">
        <v>64</v>
      </c>
      <c r="O3371">
        <v>6</v>
      </c>
      <c r="P3371" t="s">
        <v>201</v>
      </c>
      <c r="R3371">
        <v>2.92E-2</v>
      </c>
      <c r="T3371">
        <v>2.6700000000000002E-2</v>
      </c>
      <c r="V3371">
        <v>3.1699999999999999E-2</v>
      </c>
      <c r="W3371" t="s">
        <v>66</v>
      </c>
      <c r="X3371" t="s">
        <v>67</v>
      </c>
      <c r="Y3371" t="s">
        <v>67</v>
      </c>
      <c r="Z3371" t="s">
        <v>68</v>
      </c>
      <c r="AB3371">
        <v>4</v>
      </c>
      <c r="AC3371" t="s">
        <v>61</v>
      </c>
      <c r="AJ3371" t="s">
        <v>69</v>
      </c>
      <c r="AY3371" t="s">
        <v>2328</v>
      </c>
      <c r="AZ3371">
        <v>83754</v>
      </c>
      <c r="BA3371" t="s">
        <v>2329</v>
      </c>
      <c r="BB3371" t="s">
        <v>2330</v>
      </c>
      <c r="BC3371">
        <v>1996</v>
      </c>
      <c r="BD3371" t="s">
        <v>73</v>
      </c>
    </row>
    <row r="3372" spans="1:56" x14ac:dyDescent="0.35">
      <c r="A3372">
        <v>7761888</v>
      </c>
      <c r="B3372" t="s">
        <v>2321</v>
      </c>
      <c r="C3372" t="s">
        <v>195</v>
      </c>
      <c r="D3372" t="s">
        <v>85</v>
      </c>
      <c r="E3372" t="s">
        <v>86</v>
      </c>
      <c r="F3372" t="s">
        <v>58</v>
      </c>
      <c r="G3372" t="s">
        <v>59</v>
      </c>
      <c r="H3372" t="s">
        <v>60</v>
      </c>
      <c r="I3372" t="s">
        <v>188</v>
      </c>
      <c r="J3372">
        <v>28</v>
      </c>
      <c r="K3372" t="s">
        <v>61</v>
      </c>
      <c r="L3372" t="s">
        <v>62</v>
      </c>
      <c r="M3372" t="s">
        <v>63</v>
      </c>
      <c r="N3372" t="s">
        <v>64</v>
      </c>
      <c r="O3372">
        <v>6</v>
      </c>
      <c r="P3372" t="s">
        <v>201</v>
      </c>
      <c r="R3372">
        <v>2.5999999999999999E-2</v>
      </c>
      <c r="T3372">
        <v>2.3900000000000001E-2</v>
      </c>
      <c r="V3372">
        <v>2.8199999999999999E-2</v>
      </c>
      <c r="W3372" t="s">
        <v>66</v>
      </c>
      <c r="X3372" t="s">
        <v>67</v>
      </c>
      <c r="Y3372" t="s">
        <v>67</v>
      </c>
      <c r="Z3372" t="s">
        <v>68</v>
      </c>
      <c r="AB3372">
        <v>4</v>
      </c>
      <c r="AC3372" t="s">
        <v>61</v>
      </c>
      <c r="AJ3372" t="s">
        <v>69</v>
      </c>
      <c r="AY3372" t="s">
        <v>2328</v>
      </c>
      <c r="AZ3372">
        <v>83754</v>
      </c>
      <c r="BA3372" t="s">
        <v>2329</v>
      </c>
      <c r="BB3372" t="s">
        <v>2330</v>
      </c>
      <c r="BC3372">
        <v>1996</v>
      </c>
      <c r="BD3372" t="s">
        <v>73</v>
      </c>
    </row>
    <row r="3373" spans="1:56" x14ac:dyDescent="0.35">
      <c r="A3373">
        <v>7761888</v>
      </c>
      <c r="B3373" t="s">
        <v>2321</v>
      </c>
      <c r="C3373" t="s">
        <v>195</v>
      </c>
      <c r="D3373" t="s">
        <v>85</v>
      </c>
      <c r="E3373" t="s">
        <v>86</v>
      </c>
      <c r="F3373" t="s">
        <v>58</v>
      </c>
      <c r="G3373" t="s">
        <v>59</v>
      </c>
      <c r="H3373" t="s">
        <v>60</v>
      </c>
      <c r="I3373" t="s">
        <v>177</v>
      </c>
      <c r="J3373">
        <v>4</v>
      </c>
      <c r="K3373" t="s">
        <v>61</v>
      </c>
      <c r="L3373" t="s">
        <v>62</v>
      </c>
      <c r="M3373" t="s">
        <v>63</v>
      </c>
      <c r="N3373" t="s">
        <v>64</v>
      </c>
      <c r="O3373">
        <v>6</v>
      </c>
      <c r="P3373" t="s">
        <v>201</v>
      </c>
      <c r="R3373">
        <v>4.1999999999999997E-3</v>
      </c>
      <c r="T3373">
        <v>3.8999999999999998E-3</v>
      </c>
      <c r="V3373">
        <v>4.4999999999999997E-3</v>
      </c>
      <c r="W3373" t="s">
        <v>66</v>
      </c>
      <c r="X3373" t="s">
        <v>67</v>
      </c>
      <c r="Y3373" t="s">
        <v>67</v>
      </c>
      <c r="Z3373" t="s">
        <v>68</v>
      </c>
      <c r="AB3373">
        <v>4</v>
      </c>
      <c r="AC3373" t="s">
        <v>61</v>
      </c>
      <c r="AJ3373" t="s">
        <v>69</v>
      </c>
      <c r="AY3373" t="s">
        <v>2328</v>
      </c>
      <c r="AZ3373">
        <v>83754</v>
      </c>
      <c r="BA3373" t="s">
        <v>2329</v>
      </c>
      <c r="BB3373" t="s">
        <v>2330</v>
      </c>
      <c r="BC3373">
        <v>1996</v>
      </c>
      <c r="BD3373" t="s">
        <v>73</v>
      </c>
    </row>
    <row r="3374" spans="1:56" x14ac:dyDescent="0.35">
      <c r="A3374">
        <v>7761888</v>
      </c>
      <c r="B3374" t="s">
        <v>2321</v>
      </c>
      <c r="C3374" t="s">
        <v>195</v>
      </c>
      <c r="D3374" t="s">
        <v>85</v>
      </c>
      <c r="E3374" t="s">
        <v>86</v>
      </c>
      <c r="F3374" t="s">
        <v>58</v>
      </c>
      <c r="G3374" t="s">
        <v>59</v>
      </c>
      <c r="H3374" t="s">
        <v>60</v>
      </c>
      <c r="I3374" t="s">
        <v>177</v>
      </c>
      <c r="J3374">
        <v>4</v>
      </c>
      <c r="K3374" t="s">
        <v>61</v>
      </c>
      <c r="L3374" t="s">
        <v>62</v>
      </c>
      <c r="M3374" t="s">
        <v>63</v>
      </c>
      <c r="N3374" t="s">
        <v>64</v>
      </c>
      <c r="O3374">
        <v>7</v>
      </c>
      <c r="P3374" t="s">
        <v>201</v>
      </c>
      <c r="R3374">
        <v>1.4E-3</v>
      </c>
      <c r="T3374">
        <v>1E-3</v>
      </c>
      <c r="V3374">
        <v>2E-3</v>
      </c>
      <c r="W3374" t="s">
        <v>66</v>
      </c>
      <c r="X3374" t="s">
        <v>67</v>
      </c>
      <c r="Y3374" t="s">
        <v>67</v>
      </c>
      <c r="Z3374" t="s">
        <v>68</v>
      </c>
      <c r="AB3374">
        <v>4</v>
      </c>
      <c r="AC3374" t="s">
        <v>61</v>
      </c>
      <c r="AJ3374" t="s">
        <v>69</v>
      </c>
      <c r="AY3374" t="s">
        <v>2328</v>
      </c>
      <c r="AZ3374">
        <v>83754</v>
      </c>
      <c r="BA3374" t="s">
        <v>2329</v>
      </c>
      <c r="BB3374" t="s">
        <v>2330</v>
      </c>
      <c r="BC3374">
        <v>1996</v>
      </c>
      <c r="BD3374" t="s">
        <v>73</v>
      </c>
    </row>
    <row r="3375" spans="1:56" x14ac:dyDescent="0.35">
      <c r="A3375">
        <v>7761888</v>
      </c>
      <c r="B3375" t="s">
        <v>2321</v>
      </c>
      <c r="D3375" t="s">
        <v>57</v>
      </c>
      <c r="E3375">
        <v>99.7</v>
      </c>
      <c r="F3375" t="s">
        <v>58</v>
      </c>
      <c r="G3375" t="s">
        <v>59</v>
      </c>
      <c r="H3375" t="s">
        <v>60</v>
      </c>
      <c r="I3375" t="s">
        <v>129</v>
      </c>
      <c r="J3375" t="s">
        <v>86</v>
      </c>
      <c r="L3375" t="s">
        <v>74</v>
      </c>
      <c r="M3375" t="s">
        <v>63</v>
      </c>
      <c r="N3375" t="s">
        <v>64</v>
      </c>
      <c r="P3375" t="s">
        <v>201</v>
      </c>
      <c r="S3375" t="s">
        <v>153</v>
      </c>
      <c r="T3375">
        <v>4</v>
      </c>
      <c r="U3375" t="s">
        <v>435</v>
      </c>
      <c r="V3375">
        <v>8</v>
      </c>
      <c r="W3375" t="s">
        <v>66</v>
      </c>
      <c r="X3375" t="s">
        <v>67</v>
      </c>
      <c r="Y3375" t="s">
        <v>67</v>
      </c>
      <c r="Z3375" t="s">
        <v>68</v>
      </c>
      <c r="AB3375">
        <v>4</v>
      </c>
      <c r="AC3375" t="s">
        <v>61</v>
      </c>
      <c r="AJ3375" t="s">
        <v>69</v>
      </c>
      <c r="AY3375" t="s">
        <v>2334</v>
      </c>
      <c r="AZ3375">
        <v>18938</v>
      </c>
      <c r="BA3375" t="s">
        <v>2335</v>
      </c>
      <c r="BB3375" t="s">
        <v>2336</v>
      </c>
      <c r="BC3375">
        <v>1998</v>
      </c>
      <c r="BD3375" t="s">
        <v>90</v>
      </c>
    </row>
    <row r="3376" spans="1:56" x14ac:dyDescent="0.35">
      <c r="A3376">
        <v>7761888</v>
      </c>
      <c r="B3376" t="s">
        <v>2321</v>
      </c>
      <c r="D3376" t="s">
        <v>57</v>
      </c>
      <c r="E3376">
        <v>99.7</v>
      </c>
      <c r="F3376" t="s">
        <v>58</v>
      </c>
      <c r="G3376" t="s">
        <v>59</v>
      </c>
      <c r="H3376" t="s">
        <v>60</v>
      </c>
      <c r="I3376" t="s">
        <v>129</v>
      </c>
      <c r="J3376" t="s">
        <v>86</v>
      </c>
      <c r="L3376" t="s">
        <v>74</v>
      </c>
      <c r="M3376" t="s">
        <v>63</v>
      </c>
      <c r="N3376" t="s">
        <v>64</v>
      </c>
      <c r="P3376" t="s">
        <v>201</v>
      </c>
      <c r="Q3376" t="s">
        <v>172</v>
      </c>
      <c r="R3376">
        <v>9</v>
      </c>
      <c r="W3376" t="s">
        <v>66</v>
      </c>
      <c r="X3376" t="s">
        <v>67</v>
      </c>
      <c r="Y3376" t="s">
        <v>67</v>
      </c>
      <c r="Z3376" t="s">
        <v>68</v>
      </c>
      <c r="AB3376">
        <v>4</v>
      </c>
      <c r="AC3376" t="s">
        <v>61</v>
      </c>
      <c r="AJ3376" t="s">
        <v>69</v>
      </c>
      <c r="AY3376" t="s">
        <v>2334</v>
      </c>
      <c r="AZ3376">
        <v>18938</v>
      </c>
      <c r="BA3376" t="s">
        <v>2335</v>
      </c>
      <c r="BB3376" t="s">
        <v>2336</v>
      </c>
      <c r="BC3376">
        <v>1998</v>
      </c>
      <c r="BD3376" t="s">
        <v>90</v>
      </c>
    </row>
    <row r="3377" spans="1:56" x14ac:dyDescent="0.35">
      <c r="A3377">
        <v>7761888</v>
      </c>
      <c r="B3377" t="s">
        <v>2321</v>
      </c>
      <c r="D3377" t="s">
        <v>57</v>
      </c>
      <c r="E3377">
        <v>99.7</v>
      </c>
      <c r="F3377" t="s">
        <v>58</v>
      </c>
      <c r="G3377" t="s">
        <v>59</v>
      </c>
      <c r="H3377" t="s">
        <v>60</v>
      </c>
      <c r="I3377" t="s">
        <v>129</v>
      </c>
      <c r="J3377" t="s">
        <v>86</v>
      </c>
      <c r="L3377" t="s">
        <v>74</v>
      </c>
      <c r="M3377" t="s">
        <v>63</v>
      </c>
      <c r="N3377" t="s">
        <v>64</v>
      </c>
      <c r="P3377" t="s">
        <v>201</v>
      </c>
      <c r="Q3377" t="s">
        <v>172</v>
      </c>
      <c r="R3377">
        <v>8</v>
      </c>
      <c r="W3377" t="s">
        <v>66</v>
      </c>
      <c r="X3377" t="s">
        <v>67</v>
      </c>
      <c r="Y3377" t="s">
        <v>67</v>
      </c>
      <c r="Z3377" t="s">
        <v>68</v>
      </c>
      <c r="AB3377">
        <v>4</v>
      </c>
      <c r="AC3377" t="s">
        <v>61</v>
      </c>
      <c r="AJ3377" t="s">
        <v>69</v>
      </c>
      <c r="AY3377" t="s">
        <v>2334</v>
      </c>
      <c r="AZ3377">
        <v>18938</v>
      </c>
      <c r="BA3377" t="s">
        <v>2335</v>
      </c>
      <c r="BB3377" t="s">
        <v>2336</v>
      </c>
      <c r="BC3377">
        <v>1998</v>
      </c>
      <c r="BD3377" t="s">
        <v>90</v>
      </c>
    </row>
    <row r="3378" spans="1:56" x14ac:dyDescent="0.35">
      <c r="A3378">
        <v>7761888</v>
      </c>
      <c r="B3378" t="s">
        <v>2321</v>
      </c>
      <c r="C3378" t="s">
        <v>195</v>
      </c>
      <c r="D3378" t="s">
        <v>85</v>
      </c>
      <c r="E3378" t="s">
        <v>86</v>
      </c>
      <c r="F3378" t="s">
        <v>58</v>
      </c>
      <c r="G3378" t="s">
        <v>59</v>
      </c>
      <c r="H3378" t="s">
        <v>60</v>
      </c>
      <c r="I3378" t="s">
        <v>177</v>
      </c>
      <c r="J3378">
        <v>4</v>
      </c>
      <c r="K3378" t="s">
        <v>61</v>
      </c>
      <c r="L3378" t="s">
        <v>62</v>
      </c>
      <c r="M3378" t="s">
        <v>63</v>
      </c>
      <c r="N3378" t="s">
        <v>64</v>
      </c>
      <c r="O3378">
        <v>6</v>
      </c>
      <c r="P3378" t="s">
        <v>201</v>
      </c>
      <c r="R3378">
        <v>2.2399999999999998E-3</v>
      </c>
      <c r="T3378">
        <v>2.0999999999999999E-3</v>
      </c>
      <c r="V3378">
        <v>2.3999999999999998E-3</v>
      </c>
      <c r="W3378" t="s">
        <v>66</v>
      </c>
      <c r="X3378" t="s">
        <v>67</v>
      </c>
      <c r="Y3378" t="s">
        <v>67</v>
      </c>
      <c r="Z3378" t="s">
        <v>68</v>
      </c>
      <c r="AB3378">
        <v>4</v>
      </c>
      <c r="AC3378" t="s">
        <v>61</v>
      </c>
      <c r="AJ3378" t="s">
        <v>69</v>
      </c>
      <c r="AY3378" t="s">
        <v>2328</v>
      </c>
      <c r="AZ3378">
        <v>83754</v>
      </c>
      <c r="BA3378" t="s">
        <v>2329</v>
      </c>
      <c r="BB3378" t="s">
        <v>2330</v>
      </c>
      <c r="BC3378">
        <v>1996</v>
      </c>
      <c r="BD3378" t="s">
        <v>73</v>
      </c>
    </row>
    <row r="3379" spans="1:56" x14ac:dyDescent="0.35">
      <c r="A3379">
        <v>7761888</v>
      </c>
      <c r="B3379" t="s">
        <v>2321</v>
      </c>
      <c r="C3379" t="s">
        <v>195</v>
      </c>
      <c r="D3379" t="s">
        <v>85</v>
      </c>
      <c r="E3379" t="s">
        <v>86</v>
      </c>
      <c r="F3379" t="s">
        <v>58</v>
      </c>
      <c r="G3379" t="s">
        <v>59</v>
      </c>
      <c r="H3379" t="s">
        <v>60</v>
      </c>
      <c r="I3379" t="s">
        <v>177</v>
      </c>
      <c r="J3379" t="s">
        <v>289</v>
      </c>
      <c r="K3379" t="s">
        <v>184</v>
      </c>
      <c r="L3379" t="s">
        <v>62</v>
      </c>
      <c r="M3379" t="s">
        <v>63</v>
      </c>
      <c r="N3379" t="s">
        <v>64</v>
      </c>
      <c r="P3379" t="s">
        <v>201</v>
      </c>
      <c r="R3379">
        <v>8.3899999999999999E-3</v>
      </c>
      <c r="T3379">
        <v>7.6899999999999998E-3</v>
      </c>
      <c r="V3379">
        <v>9.0900000000000009E-3</v>
      </c>
      <c r="W3379" t="s">
        <v>66</v>
      </c>
      <c r="X3379" t="s">
        <v>67</v>
      </c>
      <c r="Y3379" t="s">
        <v>67</v>
      </c>
      <c r="Z3379" t="s">
        <v>68</v>
      </c>
      <c r="AB3379">
        <v>4</v>
      </c>
      <c r="AC3379" t="s">
        <v>61</v>
      </c>
      <c r="AJ3379" t="s">
        <v>69</v>
      </c>
      <c r="AY3379" t="s">
        <v>2325</v>
      </c>
      <c r="AZ3379">
        <v>19218</v>
      </c>
      <c r="BA3379" t="s">
        <v>2326</v>
      </c>
      <c r="BB3379" t="s">
        <v>2327</v>
      </c>
      <c r="BC3379">
        <v>1999</v>
      </c>
      <c r="BD3379" t="s">
        <v>185</v>
      </c>
    </row>
    <row r="3380" spans="1:56" x14ac:dyDescent="0.35">
      <c r="A3380">
        <v>7761888</v>
      </c>
      <c r="B3380" t="s">
        <v>2321</v>
      </c>
      <c r="C3380" t="s">
        <v>195</v>
      </c>
      <c r="D3380" t="s">
        <v>85</v>
      </c>
      <c r="E3380" t="s">
        <v>86</v>
      </c>
      <c r="F3380" t="s">
        <v>58</v>
      </c>
      <c r="G3380" t="s">
        <v>59</v>
      </c>
      <c r="H3380" t="s">
        <v>60</v>
      </c>
      <c r="I3380" t="s">
        <v>177</v>
      </c>
      <c r="J3380">
        <v>4</v>
      </c>
      <c r="K3380" t="s">
        <v>61</v>
      </c>
      <c r="L3380" t="s">
        <v>62</v>
      </c>
      <c r="M3380" t="s">
        <v>63</v>
      </c>
      <c r="N3380" t="s">
        <v>64</v>
      </c>
      <c r="O3380">
        <v>4</v>
      </c>
      <c r="P3380" t="s">
        <v>201</v>
      </c>
      <c r="R3380">
        <v>4.7999999999999996E-3</v>
      </c>
      <c r="T3380">
        <v>3.3999999999999998E-3</v>
      </c>
      <c r="V3380">
        <v>6.1000000000000004E-3</v>
      </c>
      <c r="W3380" t="s">
        <v>66</v>
      </c>
      <c r="X3380" t="s">
        <v>67</v>
      </c>
      <c r="Y3380" t="s">
        <v>67</v>
      </c>
      <c r="Z3380" t="s">
        <v>68</v>
      </c>
      <c r="AB3380">
        <v>4</v>
      </c>
      <c r="AC3380" t="s">
        <v>61</v>
      </c>
      <c r="AJ3380" t="s">
        <v>69</v>
      </c>
      <c r="AY3380" t="s">
        <v>2328</v>
      </c>
      <c r="AZ3380">
        <v>83754</v>
      </c>
      <c r="BA3380" t="s">
        <v>2329</v>
      </c>
      <c r="BB3380" t="s">
        <v>2330</v>
      </c>
      <c r="BC3380">
        <v>1996</v>
      </c>
      <c r="BD3380" t="s">
        <v>73</v>
      </c>
    </row>
    <row r="3381" spans="1:56" x14ac:dyDescent="0.35">
      <c r="A3381">
        <v>7761888</v>
      </c>
      <c r="B3381" t="s">
        <v>2321</v>
      </c>
      <c r="D3381" t="s">
        <v>85</v>
      </c>
      <c r="E3381" t="s">
        <v>86</v>
      </c>
      <c r="F3381" t="s">
        <v>58</v>
      </c>
      <c r="G3381" t="s">
        <v>59</v>
      </c>
      <c r="H3381" t="s">
        <v>60</v>
      </c>
      <c r="I3381" t="s">
        <v>129</v>
      </c>
      <c r="J3381" t="s">
        <v>86</v>
      </c>
      <c r="L3381" t="s">
        <v>74</v>
      </c>
      <c r="M3381" t="s">
        <v>63</v>
      </c>
      <c r="N3381" t="s">
        <v>64</v>
      </c>
      <c r="P3381" t="s">
        <v>201</v>
      </c>
      <c r="R3381">
        <v>3.8999999999999998E-3</v>
      </c>
      <c r="W3381" t="s">
        <v>66</v>
      </c>
      <c r="X3381" t="s">
        <v>67</v>
      </c>
      <c r="Y3381" t="s">
        <v>67</v>
      </c>
      <c r="Z3381" t="s">
        <v>68</v>
      </c>
      <c r="AB3381">
        <v>4</v>
      </c>
      <c r="AC3381" t="s">
        <v>61</v>
      </c>
      <c r="AJ3381" t="s">
        <v>69</v>
      </c>
      <c r="AY3381" t="s">
        <v>2203</v>
      </c>
      <c r="AZ3381">
        <v>7341</v>
      </c>
      <c r="BA3381" t="s">
        <v>2204</v>
      </c>
      <c r="BB3381" t="s">
        <v>2205</v>
      </c>
      <c r="BC3381">
        <v>1978</v>
      </c>
      <c r="BD3381" t="s">
        <v>90</v>
      </c>
    </row>
    <row r="3382" spans="1:56" x14ac:dyDescent="0.35">
      <c r="A3382">
        <v>7761888</v>
      </c>
      <c r="B3382" t="s">
        <v>2321</v>
      </c>
      <c r="C3382" t="s">
        <v>195</v>
      </c>
      <c r="D3382" t="s">
        <v>85</v>
      </c>
      <c r="E3382" t="s">
        <v>86</v>
      </c>
      <c r="F3382" t="s">
        <v>58</v>
      </c>
      <c r="G3382" t="s">
        <v>59</v>
      </c>
      <c r="H3382" t="s">
        <v>60</v>
      </c>
      <c r="I3382" t="s">
        <v>177</v>
      </c>
      <c r="J3382">
        <v>4</v>
      </c>
      <c r="K3382" t="s">
        <v>61</v>
      </c>
      <c r="L3382" t="s">
        <v>62</v>
      </c>
      <c r="M3382" t="s">
        <v>63</v>
      </c>
      <c r="N3382" t="s">
        <v>64</v>
      </c>
      <c r="O3382">
        <v>6</v>
      </c>
      <c r="P3382" t="s">
        <v>201</v>
      </c>
      <c r="R3382">
        <v>1.12E-2</v>
      </c>
      <c r="T3382">
        <v>1.03E-2</v>
      </c>
      <c r="V3382">
        <v>1.21E-2</v>
      </c>
      <c r="W3382" t="s">
        <v>66</v>
      </c>
      <c r="X3382" t="s">
        <v>67</v>
      </c>
      <c r="Y3382" t="s">
        <v>67</v>
      </c>
      <c r="Z3382" t="s">
        <v>68</v>
      </c>
      <c r="AB3382">
        <v>4</v>
      </c>
      <c r="AC3382" t="s">
        <v>61</v>
      </c>
      <c r="AJ3382" t="s">
        <v>69</v>
      </c>
      <c r="AY3382" t="s">
        <v>2328</v>
      </c>
      <c r="AZ3382">
        <v>83754</v>
      </c>
      <c r="BA3382" t="s">
        <v>2329</v>
      </c>
      <c r="BB3382" t="s">
        <v>2330</v>
      </c>
      <c r="BC3382">
        <v>1996</v>
      </c>
      <c r="BD3382" t="s">
        <v>73</v>
      </c>
    </row>
    <row r="3383" spans="1:56" x14ac:dyDescent="0.35">
      <c r="A3383">
        <v>7761888</v>
      </c>
      <c r="B3383" t="s">
        <v>2321</v>
      </c>
      <c r="D3383" t="s">
        <v>57</v>
      </c>
      <c r="E3383" t="s">
        <v>86</v>
      </c>
      <c r="F3383" t="s">
        <v>58</v>
      </c>
      <c r="G3383" t="s">
        <v>59</v>
      </c>
      <c r="H3383" t="s">
        <v>60</v>
      </c>
      <c r="J3383" t="s">
        <v>86</v>
      </c>
      <c r="L3383" t="s">
        <v>74</v>
      </c>
      <c r="M3383" t="s">
        <v>63</v>
      </c>
      <c r="N3383" t="s">
        <v>64</v>
      </c>
      <c r="P3383" t="s">
        <v>201</v>
      </c>
      <c r="R3383">
        <v>5.0000000000000001E-3</v>
      </c>
      <c r="T3383">
        <v>4.1999999999999997E-3</v>
      </c>
      <c r="V3383">
        <v>5.7000000000000002E-3</v>
      </c>
      <c r="W3383" t="s">
        <v>66</v>
      </c>
      <c r="X3383" t="s">
        <v>67</v>
      </c>
      <c r="Y3383" t="s">
        <v>67</v>
      </c>
      <c r="Z3383" t="s">
        <v>68</v>
      </c>
      <c r="AB3383">
        <v>4</v>
      </c>
      <c r="AC3383" t="s">
        <v>61</v>
      </c>
      <c r="AJ3383" t="s">
        <v>69</v>
      </c>
      <c r="AY3383" t="s">
        <v>771</v>
      </c>
      <c r="AZ3383">
        <v>9479</v>
      </c>
      <c r="BA3383" t="s">
        <v>1117</v>
      </c>
      <c r="BB3383" t="s">
        <v>1118</v>
      </c>
      <c r="BC3383">
        <v>1981</v>
      </c>
      <c r="BD3383" t="s">
        <v>90</v>
      </c>
    </row>
    <row r="3384" spans="1:56" x14ac:dyDescent="0.35">
      <c r="A3384">
        <v>7761888</v>
      </c>
      <c r="B3384" t="s">
        <v>2321</v>
      </c>
      <c r="D3384" t="s">
        <v>57</v>
      </c>
      <c r="E3384" t="s">
        <v>86</v>
      </c>
      <c r="F3384" t="s">
        <v>58</v>
      </c>
      <c r="G3384" t="s">
        <v>59</v>
      </c>
      <c r="H3384" t="s">
        <v>60</v>
      </c>
      <c r="I3384" t="s">
        <v>188</v>
      </c>
      <c r="J3384" t="s">
        <v>289</v>
      </c>
      <c r="K3384" t="s">
        <v>184</v>
      </c>
      <c r="L3384" t="s">
        <v>190</v>
      </c>
      <c r="M3384" t="s">
        <v>63</v>
      </c>
      <c r="N3384" t="s">
        <v>64</v>
      </c>
      <c r="O3384">
        <v>6</v>
      </c>
      <c r="P3384" t="s">
        <v>201</v>
      </c>
      <c r="R3384">
        <v>9.9000000000000008E-3</v>
      </c>
      <c r="W3384" t="s">
        <v>66</v>
      </c>
      <c r="X3384" t="s">
        <v>67</v>
      </c>
      <c r="Y3384" t="s">
        <v>67</v>
      </c>
      <c r="Z3384" t="s">
        <v>68</v>
      </c>
      <c r="AB3384">
        <v>4</v>
      </c>
      <c r="AC3384" t="s">
        <v>61</v>
      </c>
      <c r="AJ3384" t="s">
        <v>69</v>
      </c>
      <c r="AY3384" t="s">
        <v>2322</v>
      </c>
      <c r="AZ3384">
        <v>71734</v>
      </c>
      <c r="BA3384" t="s">
        <v>2323</v>
      </c>
      <c r="BB3384" t="s">
        <v>2324</v>
      </c>
      <c r="BC3384">
        <v>2003</v>
      </c>
      <c r="BD3384" t="s">
        <v>185</v>
      </c>
    </row>
    <row r="3385" spans="1:56" x14ac:dyDescent="0.35">
      <c r="A3385">
        <v>7761888</v>
      </c>
      <c r="B3385" t="s">
        <v>2321</v>
      </c>
      <c r="C3385" t="s">
        <v>195</v>
      </c>
      <c r="D3385" t="s">
        <v>85</v>
      </c>
      <c r="E3385" t="s">
        <v>86</v>
      </c>
      <c r="F3385" t="s">
        <v>58</v>
      </c>
      <c r="G3385" t="s">
        <v>59</v>
      </c>
      <c r="H3385" t="s">
        <v>60</v>
      </c>
      <c r="I3385" t="s">
        <v>177</v>
      </c>
      <c r="J3385" t="s">
        <v>289</v>
      </c>
      <c r="K3385" t="s">
        <v>184</v>
      </c>
      <c r="L3385" t="s">
        <v>62</v>
      </c>
      <c r="M3385" t="s">
        <v>63</v>
      </c>
      <c r="N3385" t="s">
        <v>64</v>
      </c>
      <c r="P3385" t="s">
        <v>201</v>
      </c>
      <c r="R3385">
        <v>6.8300000000000001E-3</v>
      </c>
      <c r="T3385">
        <v>6.3600000000000002E-3</v>
      </c>
      <c r="V3385">
        <v>7.2899999999999996E-3</v>
      </c>
      <c r="W3385" t="s">
        <v>66</v>
      </c>
      <c r="X3385" t="s">
        <v>67</v>
      </c>
      <c r="Y3385" t="s">
        <v>67</v>
      </c>
      <c r="Z3385" t="s">
        <v>68</v>
      </c>
      <c r="AB3385">
        <v>4</v>
      </c>
      <c r="AC3385" t="s">
        <v>61</v>
      </c>
      <c r="AJ3385" t="s">
        <v>69</v>
      </c>
      <c r="AY3385" t="s">
        <v>2325</v>
      </c>
      <c r="AZ3385">
        <v>19218</v>
      </c>
      <c r="BA3385" t="s">
        <v>2326</v>
      </c>
      <c r="BB3385" t="s">
        <v>2327</v>
      </c>
      <c r="BC3385">
        <v>1999</v>
      </c>
      <c r="BD3385" t="s">
        <v>185</v>
      </c>
    </row>
    <row r="3386" spans="1:56" x14ac:dyDescent="0.35">
      <c r="A3386">
        <v>7761888</v>
      </c>
      <c r="B3386" t="s">
        <v>2321</v>
      </c>
      <c r="C3386" t="s">
        <v>195</v>
      </c>
      <c r="D3386" t="s">
        <v>85</v>
      </c>
      <c r="E3386" t="s">
        <v>86</v>
      </c>
      <c r="F3386" t="s">
        <v>58</v>
      </c>
      <c r="G3386" t="s">
        <v>59</v>
      </c>
      <c r="H3386" t="s">
        <v>60</v>
      </c>
      <c r="I3386" t="s">
        <v>188</v>
      </c>
      <c r="J3386">
        <v>28</v>
      </c>
      <c r="K3386" t="s">
        <v>61</v>
      </c>
      <c r="L3386" t="s">
        <v>62</v>
      </c>
      <c r="M3386" t="s">
        <v>63</v>
      </c>
      <c r="N3386" t="s">
        <v>64</v>
      </c>
      <c r="O3386">
        <v>6</v>
      </c>
      <c r="P3386" t="s">
        <v>201</v>
      </c>
      <c r="R3386">
        <v>2.1100000000000001E-2</v>
      </c>
      <c r="T3386">
        <v>1.9900000000000001E-2</v>
      </c>
      <c r="V3386">
        <v>2.23E-2</v>
      </c>
      <c r="W3386" t="s">
        <v>66</v>
      </c>
      <c r="X3386" t="s">
        <v>67</v>
      </c>
      <c r="Y3386" t="s">
        <v>67</v>
      </c>
      <c r="Z3386" t="s">
        <v>68</v>
      </c>
      <c r="AB3386">
        <v>4</v>
      </c>
      <c r="AC3386" t="s">
        <v>61</v>
      </c>
      <c r="AJ3386" t="s">
        <v>69</v>
      </c>
      <c r="AY3386" t="s">
        <v>2328</v>
      </c>
      <c r="AZ3386">
        <v>83754</v>
      </c>
      <c r="BA3386" t="s">
        <v>2329</v>
      </c>
      <c r="BB3386" t="s">
        <v>2330</v>
      </c>
      <c r="BC3386">
        <v>1996</v>
      </c>
      <c r="BD3386" t="s">
        <v>73</v>
      </c>
    </row>
    <row r="3387" spans="1:56" x14ac:dyDescent="0.35">
      <c r="A3387">
        <v>7761888</v>
      </c>
      <c r="B3387" t="s">
        <v>2321</v>
      </c>
      <c r="C3387" t="s">
        <v>195</v>
      </c>
      <c r="D3387" t="s">
        <v>85</v>
      </c>
      <c r="E3387" t="s">
        <v>86</v>
      </c>
      <c r="F3387" t="s">
        <v>58</v>
      </c>
      <c r="G3387" t="s">
        <v>59</v>
      </c>
      <c r="H3387" t="s">
        <v>60</v>
      </c>
      <c r="I3387" t="s">
        <v>177</v>
      </c>
      <c r="J3387">
        <v>4</v>
      </c>
      <c r="K3387" t="s">
        <v>61</v>
      </c>
      <c r="L3387" t="s">
        <v>62</v>
      </c>
      <c r="M3387" t="s">
        <v>63</v>
      </c>
      <c r="N3387" t="s">
        <v>64</v>
      </c>
      <c r="O3387">
        <v>6</v>
      </c>
      <c r="P3387" t="s">
        <v>201</v>
      </c>
      <c r="R3387">
        <v>2E-3</v>
      </c>
      <c r="T3387">
        <v>1.8E-3</v>
      </c>
      <c r="V3387">
        <v>2.0999999999999999E-3</v>
      </c>
      <c r="W3387" t="s">
        <v>66</v>
      </c>
      <c r="X3387" t="s">
        <v>67</v>
      </c>
      <c r="Y3387" t="s">
        <v>67</v>
      </c>
      <c r="Z3387" t="s">
        <v>68</v>
      </c>
      <c r="AB3387">
        <v>4</v>
      </c>
      <c r="AC3387" t="s">
        <v>61</v>
      </c>
      <c r="AJ3387" t="s">
        <v>69</v>
      </c>
      <c r="AY3387" t="s">
        <v>2328</v>
      </c>
      <c r="AZ3387">
        <v>83754</v>
      </c>
      <c r="BA3387" t="s">
        <v>2329</v>
      </c>
      <c r="BB3387" t="s">
        <v>2330</v>
      </c>
      <c r="BC3387">
        <v>1996</v>
      </c>
      <c r="BD3387" t="s">
        <v>73</v>
      </c>
    </row>
    <row r="3388" spans="1:56" x14ac:dyDescent="0.35">
      <c r="A3388">
        <v>7761888</v>
      </c>
      <c r="B3388" t="s">
        <v>2321</v>
      </c>
      <c r="C3388" t="s">
        <v>195</v>
      </c>
      <c r="D3388" t="s">
        <v>85</v>
      </c>
      <c r="E3388" t="s">
        <v>86</v>
      </c>
      <c r="F3388" t="s">
        <v>58</v>
      </c>
      <c r="G3388" t="s">
        <v>59</v>
      </c>
      <c r="H3388" t="s">
        <v>60</v>
      </c>
      <c r="I3388" t="s">
        <v>177</v>
      </c>
      <c r="J3388" t="s">
        <v>289</v>
      </c>
      <c r="K3388" t="s">
        <v>184</v>
      </c>
      <c r="L3388" t="s">
        <v>62</v>
      </c>
      <c r="M3388" t="s">
        <v>63</v>
      </c>
      <c r="N3388" t="s">
        <v>64</v>
      </c>
      <c r="P3388" t="s">
        <v>201</v>
      </c>
      <c r="R3388">
        <v>5.6299999999999996E-3</v>
      </c>
      <c r="T3388">
        <v>5.0000000000000001E-3</v>
      </c>
      <c r="V3388">
        <v>6.2599999999999999E-3</v>
      </c>
      <c r="W3388" t="s">
        <v>66</v>
      </c>
      <c r="X3388" t="s">
        <v>67</v>
      </c>
      <c r="Y3388" t="s">
        <v>67</v>
      </c>
      <c r="Z3388" t="s">
        <v>68</v>
      </c>
      <c r="AB3388">
        <v>4</v>
      </c>
      <c r="AC3388" t="s">
        <v>61</v>
      </c>
      <c r="AJ3388" t="s">
        <v>69</v>
      </c>
      <c r="AY3388" t="s">
        <v>2325</v>
      </c>
      <c r="AZ3388">
        <v>19218</v>
      </c>
      <c r="BA3388" t="s">
        <v>2326</v>
      </c>
      <c r="BB3388" t="s">
        <v>2327</v>
      </c>
      <c r="BC3388">
        <v>1999</v>
      </c>
      <c r="BD3388" t="s">
        <v>185</v>
      </c>
    </row>
    <row r="3389" spans="1:56" x14ac:dyDescent="0.35">
      <c r="A3389">
        <v>7761888</v>
      </c>
      <c r="B3389" t="s">
        <v>2321</v>
      </c>
      <c r="C3389" t="s">
        <v>195</v>
      </c>
      <c r="D3389" t="s">
        <v>85</v>
      </c>
      <c r="E3389" t="s">
        <v>86</v>
      </c>
      <c r="F3389" t="s">
        <v>58</v>
      </c>
      <c r="G3389" t="s">
        <v>59</v>
      </c>
      <c r="H3389" t="s">
        <v>60</v>
      </c>
      <c r="I3389" t="s">
        <v>188</v>
      </c>
      <c r="J3389">
        <v>28</v>
      </c>
      <c r="K3389" t="s">
        <v>61</v>
      </c>
      <c r="L3389" t="s">
        <v>62</v>
      </c>
      <c r="M3389" t="s">
        <v>63</v>
      </c>
      <c r="N3389" t="s">
        <v>64</v>
      </c>
      <c r="O3389">
        <v>6</v>
      </c>
      <c r="P3389" t="s">
        <v>201</v>
      </c>
      <c r="R3389">
        <v>1.9599999999999999E-2</v>
      </c>
      <c r="T3389">
        <v>1.9199999999999998E-2</v>
      </c>
      <c r="V3389">
        <v>0.02</v>
      </c>
      <c r="W3389" t="s">
        <v>66</v>
      </c>
      <c r="X3389" t="s">
        <v>67</v>
      </c>
      <c r="Y3389" t="s">
        <v>67</v>
      </c>
      <c r="Z3389" t="s">
        <v>68</v>
      </c>
      <c r="AB3389">
        <v>4</v>
      </c>
      <c r="AC3389" t="s">
        <v>61</v>
      </c>
      <c r="AJ3389" t="s">
        <v>69</v>
      </c>
      <c r="AY3389" t="s">
        <v>2328</v>
      </c>
      <c r="AZ3389">
        <v>83754</v>
      </c>
      <c r="BA3389" t="s">
        <v>2329</v>
      </c>
      <c r="BB3389" t="s">
        <v>2330</v>
      </c>
      <c r="BC3389">
        <v>1996</v>
      </c>
      <c r="BD3389" t="s">
        <v>73</v>
      </c>
    </row>
    <row r="3390" spans="1:56" x14ac:dyDescent="0.35">
      <c r="A3390">
        <v>7761888</v>
      </c>
      <c r="B3390" t="s">
        <v>2321</v>
      </c>
      <c r="C3390" t="s">
        <v>195</v>
      </c>
      <c r="D3390" t="s">
        <v>85</v>
      </c>
      <c r="E3390" t="s">
        <v>86</v>
      </c>
      <c r="F3390" t="s">
        <v>58</v>
      </c>
      <c r="G3390" t="s">
        <v>59</v>
      </c>
      <c r="H3390" t="s">
        <v>60</v>
      </c>
      <c r="I3390" t="s">
        <v>177</v>
      </c>
      <c r="J3390" t="s">
        <v>289</v>
      </c>
      <c r="K3390" t="s">
        <v>184</v>
      </c>
      <c r="L3390" t="s">
        <v>62</v>
      </c>
      <c r="M3390" t="s">
        <v>63</v>
      </c>
      <c r="N3390" t="s">
        <v>64</v>
      </c>
      <c r="P3390" t="s">
        <v>201</v>
      </c>
      <c r="R3390">
        <v>5.6299999999999996E-3</v>
      </c>
      <c r="T3390">
        <v>5.0899999999999999E-3</v>
      </c>
      <c r="V3390">
        <v>6.1799999999999997E-3</v>
      </c>
      <c r="W3390" t="s">
        <v>66</v>
      </c>
      <c r="X3390" t="s">
        <v>67</v>
      </c>
      <c r="Y3390" t="s">
        <v>67</v>
      </c>
      <c r="Z3390" t="s">
        <v>68</v>
      </c>
      <c r="AB3390">
        <v>4</v>
      </c>
      <c r="AC3390" t="s">
        <v>61</v>
      </c>
      <c r="AJ3390" t="s">
        <v>69</v>
      </c>
      <c r="AY3390" t="s">
        <v>2325</v>
      </c>
      <c r="AZ3390">
        <v>19218</v>
      </c>
      <c r="BA3390" t="s">
        <v>2326</v>
      </c>
      <c r="BB3390" t="s">
        <v>2327</v>
      </c>
      <c r="BC3390">
        <v>1999</v>
      </c>
      <c r="BD3390" t="s">
        <v>185</v>
      </c>
    </row>
    <row r="3391" spans="1:56" x14ac:dyDescent="0.35">
      <c r="A3391">
        <v>7761888</v>
      </c>
      <c r="B3391" t="s">
        <v>2321</v>
      </c>
      <c r="D3391" t="s">
        <v>57</v>
      </c>
      <c r="E3391">
        <v>99.7</v>
      </c>
      <c r="F3391" t="s">
        <v>58</v>
      </c>
      <c r="G3391" t="s">
        <v>59</v>
      </c>
      <c r="H3391" t="s">
        <v>60</v>
      </c>
      <c r="I3391" t="s">
        <v>129</v>
      </c>
      <c r="J3391" t="s">
        <v>86</v>
      </c>
      <c r="L3391" t="s">
        <v>74</v>
      </c>
      <c r="M3391" t="s">
        <v>63</v>
      </c>
      <c r="N3391" t="s">
        <v>64</v>
      </c>
      <c r="P3391" t="s">
        <v>201</v>
      </c>
      <c r="Q3391" t="s">
        <v>172</v>
      </c>
      <c r="R3391">
        <v>5</v>
      </c>
      <c r="W3391" t="s">
        <v>66</v>
      </c>
      <c r="X3391" t="s">
        <v>67</v>
      </c>
      <c r="Y3391" t="s">
        <v>67</v>
      </c>
      <c r="Z3391" t="s">
        <v>68</v>
      </c>
      <c r="AB3391">
        <v>4</v>
      </c>
      <c r="AC3391" t="s">
        <v>61</v>
      </c>
      <c r="AJ3391" t="s">
        <v>69</v>
      </c>
      <c r="AY3391" t="s">
        <v>2334</v>
      </c>
      <c r="AZ3391">
        <v>18938</v>
      </c>
      <c r="BA3391" t="s">
        <v>2335</v>
      </c>
      <c r="BB3391" t="s">
        <v>2336</v>
      </c>
      <c r="BC3391">
        <v>1998</v>
      </c>
      <c r="BD3391" t="s">
        <v>90</v>
      </c>
    </row>
    <row r="3392" spans="1:56" x14ac:dyDescent="0.35">
      <c r="A3392">
        <v>7761888</v>
      </c>
      <c r="B3392" t="s">
        <v>2321</v>
      </c>
      <c r="D3392" t="s">
        <v>57</v>
      </c>
      <c r="E3392">
        <v>99.7</v>
      </c>
      <c r="F3392" t="s">
        <v>58</v>
      </c>
      <c r="G3392" t="s">
        <v>59</v>
      </c>
      <c r="H3392" t="s">
        <v>60</v>
      </c>
      <c r="I3392" t="s">
        <v>129</v>
      </c>
      <c r="J3392" t="s">
        <v>86</v>
      </c>
      <c r="L3392" t="s">
        <v>62</v>
      </c>
      <c r="M3392" t="s">
        <v>63</v>
      </c>
      <c r="N3392" t="s">
        <v>64</v>
      </c>
      <c r="P3392" t="s">
        <v>201</v>
      </c>
      <c r="Q3392" t="s">
        <v>172</v>
      </c>
      <c r="R3392">
        <v>0.02</v>
      </c>
      <c r="W3392" t="s">
        <v>66</v>
      </c>
      <c r="X3392" t="s">
        <v>67</v>
      </c>
      <c r="Y3392" t="s">
        <v>67</v>
      </c>
      <c r="Z3392" t="s">
        <v>68</v>
      </c>
      <c r="AB3392">
        <v>4</v>
      </c>
      <c r="AC3392" t="s">
        <v>61</v>
      </c>
      <c r="AJ3392" t="s">
        <v>69</v>
      </c>
      <c r="AY3392" t="s">
        <v>2334</v>
      </c>
      <c r="AZ3392">
        <v>18938</v>
      </c>
      <c r="BA3392" t="s">
        <v>2335</v>
      </c>
      <c r="BB3392" t="s">
        <v>2336</v>
      </c>
      <c r="BC3392">
        <v>1998</v>
      </c>
      <c r="BD3392" t="s">
        <v>90</v>
      </c>
    </row>
    <row r="3393" spans="1:56" x14ac:dyDescent="0.35">
      <c r="A3393">
        <v>7761888</v>
      </c>
      <c r="B3393" t="s">
        <v>2321</v>
      </c>
      <c r="D3393" t="s">
        <v>57</v>
      </c>
      <c r="E3393" t="s">
        <v>86</v>
      </c>
      <c r="F3393" t="s">
        <v>58</v>
      </c>
      <c r="G3393" t="s">
        <v>59</v>
      </c>
      <c r="H3393" t="s">
        <v>60</v>
      </c>
      <c r="I3393" t="s">
        <v>188</v>
      </c>
      <c r="J3393" t="s">
        <v>289</v>
      </c>
      <c r="K3393" t="s">
        <v>184</v>
      </c>
      <c r="L3393" t="s">
        <v>190</v>
      </c>
      <c r="M3393" t="s">
        <v>63</v>
      </c>
      <c r="N3393" t="s">
        <v>64</v>
      </c>
      <c r="O3393">
        <v>6</v>
      </c>
      <c r="P3393" t="s">
        <v>201</v>
      </c>
      <c r="R3393">
        <v>9.1999999999999998E-3</v>
      </c>
      <c r="W3393" t="s">
        <v>66</v>
      </c>
      <c r="X3393" t="s">
        <v>67</v>
      </c>
      <c r="Y3393" t="s">
        <v>67</v>
      </c>
      <c r="Z3393" t="s">
        <v>68</v>
      </c>
      <c r="AB3393">
        <v>4</v>
      </c>
      <c r="AC3393" t="s">
        <v>61</v>
      </c>
      <c r="AJ3393" t="s">
        <v>69</v>
      </c>
      <c r="AY3393" t="s">
        <v>2322</v>
      </c>
      <c r="AZ3393">
        <v>71734</v>
      </c>
      <c r="BA3393" t="s">
        <v>2323</v>
      </c>
      <c r="BB3393" t="s">
        <v>2324</v>
      </c>
      <c r="BC3393">
        <v>2003</v>
      </c>
      <c r="BD3393" t="s">
        <v>185</v>
      </c>
    </row>
    <row r="3394" spans="1:56" x14ac:dyDescent="0.35">
      <c r="A3394">
        <v>7761888</v>
      </c>
      <c r="B3394" t="s">
        <v>2321</v>
      </c>
      <c r="C3394" t="s">
        <v>195</v>
      </c>
      <c r="D3394" t="s">
        <v>85</v>
      </c>
      <c r="E3394" t="s">
        <v>86</v>
      </c>
      <c r="F3394" t="s">
        <v>58</v>
      </c>
      <c r="G3394" t="s">
        <v>59</v>
      </c>
      <c r="H3394" t="s">
        <v>60</v>
      </c>
      <c r="I3394" t="s">
        <v>177</v>
      </c>
      <c r="J3394" t="s">
        <v>289</v>
      </c>
      <c r="K3394" t="s">
        <v>184</v>
      </c>
      <c r="L3394" t="s">
        <v>62</v>
      </c>
      <c r="M3394" t="s">
        <v>63</v>
      </c>
      <c r="N3394" t="s">
        <v>64</v>
      </c>
      <c r="P3394" t="s">
        <v>201</v>
      </c>
      <c r="R3394">
        <v>4.4099999999999999E-3</v>
      </c>
      <c r="T3394">
        <v>4.0699999999999998E-3</v>
      </c>
      <c r="V3394">
        <v>4.7600000000000003E-3</v>
      </c>
      <c r="W3394" t="s">
        <v>66</v>
      </c>
      <c r="X3394" t="s">
        <v>67</v>
      </c>
      <c r="Y3394" t="s">
        <v>67</v>
      </c>
      <c r="Z3394" t="s">
        <v>68</v>
      </c>
      <c r="AB3394">
        <v>4</v>
      </c>
      <c r="AC3394" t="s">
        <v>61</v>
      </c>
      <c r="AJ3394" t="s">
        <v>69</v>
      </c>
      <c r="AY3394" t="s">
        <v>2325</v>
      </c>
      <c r="AZ3394">
        <v>19218</v>
      </c>
      <c r="BA3394" t="s">
        <v>2326</v>
      </c>
      <c r="BB3394" t="s">
        <v>2327</v>
      </c>
      <c r="BC3394">
        <v>1999</v>
      </c>
      <c r="BD3394" t="s">
        <v>185</v>
      </c>
    </row>
    <row r="3395" spans="1:56" x14ac:dyDescent="0.35">
      <c r="A3395">
        <v>7761888</v>
      </c>
      <c r="B3395" t="s">
        <v>2321</v>
      </c>
      <c r="D3395" t="s">
        <v>57</v>
      </c>
      <c r="E3395" t="s">
        <v>86</v>
      </c>
      <c r="F3395" t="s">
        <v>58</v>
      </c>
      <c r="G3395" t="s">
        <v>59</v>
      </c>
      <c r="H3395" t="s">
        <v>60</v>
      </c>
      <c r="I3395" t="s">
        <v>188</v>
      </c>
      <c r="J3395" t="s">
        <v>289</v>
      </c>
      <c r="K3395" t="s">
        <v>184</v>
      </c>
      <c r="L3395" t="s">
        <v>190</v>
      </c>
      <c r="M3395" t="s">
        <v>63</v>
      </c>
      <c r="N3395" t="s">
        <v>64</v>
      </c>
      <c r="O3395">
        <v>6</v>
      </c>
      <c r="P3395" t="s">
        <v>201</v>
      </c>
      <c r="R3395">
        <v>1.6E-2</v>
      </c>
      <c r="W3395" t="s">
        <v>66</v>
      </c>
      <c r="X3395" t="s">
        <v>67</v>
      </c>
      <c r="Y3395" t="s">
        <v>67</v>
      </c>
      <c r="Z3395" t="s">
        <v>68</v>
      </c>
      <c r="AB3395">
        <v>4</v>
      </c>
      <c r="AC3395" t="s">
        <v>61</v>
      </c>
      <c r="AJ3395" t="s">
        <v>69</v>
      </c>
      <c r="AY3395" t="s">
        <v>2322</v>
      </c>
      <c r="AZ3395">
        <v>71734</v>
      </c>
      <c r="BA3395" t="s">
        <v>2323</v>
      </c>
      <c r="BB3395" t="s">
        <v>2324</v>
      </c>
      <c r="BC3395">
        <v>2003</v>
      </c>
      <c r="BD3395" t="s">
        <v>185</v>
      </c>
    </row>
    <row r="3396" spans="1:56" x14ac:dyDescent="0.35">
      <c r="A3396">
        <v>7761888</v>
      </c>
      <c r="B3396" t="s">
        <v>2321</v>
      </c>
      <c r="D3396" t="s">
        <v>57</v>
      </c>
      <c r="E3396" t="s">
        <v>86</v>
      </c>
      <c r="F3396" t="s">
        <v>58</v>
      </c>
      <c r="G3396" t="s">
        <v>59</v>
      </c>
      <c r="H3396" t="s">
        <v>60</v>
      </c>
      <c r="J3396" t="s">
        <v>86</v>
      </c>
      <c r="L3396" t="s">
        <v>62</v>
      </c>
      <c r="M3396" t="s">
        <v>63</v>
      </c>
      <c r="N3396" t="s">
        <v>64</v>
      </c>
      <c r="P3396" t="s">
        <v>201</v>
      </c>
      <c r="R3396">
        <v>0.23</v>
      </c>
      <c r="T3396">
        <v>0.18</v>
      </c>
      <c r="V3396">
        <v>0.28999999999999998</v>
      </c>
      <c r="W3396" t="s">
        <v>66</v>
      </c>
      <c r="X3396" t="s">
        <v>67</v>
      </c>
      <c r="Y3396" t="s">
        <v>67</v>
      </c>
      <c r="Z3396" t="s">
        <v>68</v>
      </c>
      <c r="AB3396">
        <v>4</v>
      </c>
      <c r="AC3396" t="s">
        <v>61</v>
      </c>
      <c r="AJ3396" t="s">
        <v>69</v>
      </c>
      <c r="AY3396" t="s">
        <v>771</v>
      </c>
      <c r="AZ3396">
        <v>9479</v>
      </c>
      <c r="BA3396" t="s">
        <v>1117</v>
      </c>
      <c r="BB3396" t="s">
        <v>1118</v>
      </c>
      <c r="BC3396">
        <v>1981</v>
      </c>
      <c r="BD3396" t="s">
        <v>90</v>
      </c>
    </row>
    <row r="3397" spans="1:56" x14ac:dyDescent="0.35">
      <c r="A3397">
        <v>7761888</v>
      </c>
      <c r="B3397" t="s">
        <v>2321</v>
      </c>
      <c r="C3397" t="s">
        <v>195</v>
      </c>
      <c r="D3397" t="s">
        <v>85</v>
      </c>
      <c r="E3397" t="s">
        <v>86</v>
      </c>
      <c r="F3397" t="s">
        <v>58</v>
      </c>
      <c r="G3397" t="s">
        <v>59</v>
      </c>
      <c r="H3397" t="s">
        <v>60</v>
      </c>
      <c r="I3397" t="s">
        <v>177</v>
      </c>
      <c r="J3397">
        <v>4</v>
      </c>
      <c r="K3397" t="s">
        <v>61</v>
      </c>
      <c r="L3397" t="s">
        <v>62</v>
      </c>
      <c r="M3397" t="s">
        <v>63</v>
      </c>
      <c r="N3397" t="s">
        <v>64</v>
      </c>
      <c r="O3397">
        <v>6</v>
      </c>
      <c r="P3397" t="s">
        <v>201</v>
      </c>
      <c r="R3397">
        <v>9.7900000000000001E-3</v>
      </c>
      <c r="T3397">
        <v>8.9999999999999993E-3</v>
      </c>
      <c r="V3397">
        <v>1.06E-2</v>
      </c>
      <c r="W3397" t="s">
        <v>66</v>
      </c>
      <c r="X3397" t="s">
        <v>67</v>
      </c>
      <c r="Y3397" t="s">
        <v>67</v>
      </c>
      <c r="Z3397" t="s">
        <v>68</v>
      </c>
      <c r="AB3397">
        <v>4</v>
      </c>
      <c r="AC3397" t="s">
        <v>61</v>
      </c>
      <c r="AJ3397" t="s">
        <v>69</v>
      </c>
      <c r="AY3397" t="s">
        <v>2328</v>
      </c>
      <c r="AZ3397">
        <v>83754</v>
      </c>
      <c r="BA3397" t="s">
        <v>2329</v>
      </c>
      <c r="BB3397" t="s">
        <v>2330</v>
      </c>
      <c r="BC3397">
        <v>1996</v>
      </c>
      <c r="BD3397" t="s">
        <v>73</v>
      </c>
    </row>
    <row r="3398" spans="1:56" x14ac:dyDescent="0.35">
      <c r="A3398">
        <v>7761888</v>
      </c>
      <c r="B3398" t="s">
        <v>2321</v>
      </c>
      <c r="C3398" t="s">
        <v>195</v>
      </c>
      <c r="D3398" t="s">
        <v>85</v>
      </c>
      <c r="E3398" t="s">
        <v>86</v>
      </c>
      <c r="F3398" t="s">
        <v>58</v>
      </c>
      <c r="G3398" t="s">
        <v>59</v>
      </c>
      <c r="H3398" t="s">
        <v>60</v>
      </c>
      <c r="I3398" t="s">
        <v>188</v>
      </c>
      <c r="J3398">
        <v>28</v>
      </c>
      <c r="K3398" t="s">
        <v>61</v>
      </c>
      <c r="L3398" t="s">
        <v>62</v>
      </c>
      <c r="M3398" t="s">
        <v>63</v>
      </c>
      <c r="N3398" t="s">
        <v>64</v>
      </c>
      <c r="O3398">
        <v>6</v>
      </c>
      <c r="P3398" t="s">
        <v>201</v>
      </c>
      <c r="R3398">
        <v>1.9800000000000002E-2</v>
      </c>
      <c r="T3398">
        <v>1.9400000000000001E-2</v>
      </c>
      <c r="V3398">
        <v>2.01E-2</v>
      </c>
      <c r="W3398" t="s">
        <v>66</v>
      </c>
      <c r="X3398" t="s">
        <v>67</v>
      </c>
      <c r="Y3398" t="s">
        <v>67</v>
      </c>
      <c r="Z3398" t="s">
        <v>68</v>
      </c>
      <c r="AB3398">
        <v>4</v>
      </c>
      <c r="AC3398" t="s">
        <v>61</v>
      </c>
      <c r="AJ3398" t="s">
        <v>69</v>
      </c>
      <c r="AY3398" t="s">
        <v>2328</v>
      </c>
      <c r="AZ3398">
        <v>83754</v>
      </c>
      <c r="BA3398" t="s">
        <v>2329</v>
      </c>
      <c r="BB3398" t="s">
        <v>2330</v>
      </c>
      <c r="BC3398">
        <v>1996</v>
      </c>
      <c r="BD3398" t="s">
        <v>73</v>
      </c>
    </row>
    <row r="3399" spans="1:56" x14ac:dyDescent="0.35">
      <c r="A3399">
        <v>7761888</v>
      </c>
      <c r="B3399" t="s">
        <v>2321</v>
      </c>
      <c r="D3399" t="s">
        <v>57</v>
      </c>
      <c r="E3399" t="s">
        <v>86</v>
      </c>
      <c r="F3399" t="s">
        <v>58</v>
      </c>
      <c r="G3399" t="s">
        <v>59</v>
      </c>
      <c r="H3399" t="s">
        <v>60</v>
      </c>
      <c r="I3399" t="s">
        <v>188</v>
      </c>
      <c r="J3399" t="s">
        <v>289</v>
      </c>
      <c r="K3399" t="s">
        <v>184</v>
      </c>
      <c r="L3399" t="s">
        <v>190</v>
      </c>
      <c r="M3399" t="s">
        <v>63</v>
      </c>
      <c r="N3399" t="s">
        <v>64</v>
      </c>
      <c r="O3399">
        <v>6</v>
      </c>
      <c r="P3399" t="s">
        <v>201</v>
      </c>
      <c r="R3399">
        <v>1.43E-2</v>
      </c>
      <c r="W3399" t="s">
        <v>66</v>
      </c>
      <c r="X3399" t="s">
        <v>67</v>
      </c>
      <c r="Y3399" t="s">
        <v>67</v>
      </c>
      <c r="Z3399" t="s">
        <v>68</v>
      </c>
      <c r="AB3399">
        <v>4</v>
      </c>
      <c r="AC3399" t="s">
        <v>61</v>
      </c>
      <c r="AJ3399" t="s">
        <v>69</v>
      </c>
      <c r="AY3399" t="s">
        <v>2322</v>
      </c>
      <c r="AZ3399">
        <v>71734</v>
      </c>
      <c r="BA3399" t="s">
        <v>2323</v>
      </c>
      <c r="BB3399" t="s">
        <v>2324</v>
      </c>
      <c r="BC3399">
        <v>2003</v>
      </c>
      <c r="BD3399" t="s">
        <v>185</v>
      </c>
    </row>
    <row r="3400" spans="1:56" x14ac:dyDescent="0.35">
      <c r="A3400">
        <v>7761888</v>
      </c>
      <c r="B3400" t="s">
        <v>2321</v>
      </c>
      <c r="C3400" t="s">
        <v>195</v>
      </c>
      <c r="D3400" t="s">
        <v>85</v>
      </c>
      <c r="E3400" t="s">
        <v>86</v>
      </c>
      <c r="F3400" t="s">
        <v>58</v>
      </c>
      <c r="G3400" t="s">
        <v>59</v>
      </c>
      <c r="H3400" t="s">
        <v>60</v>
      </c>
      <c r="I3400" t="s">
        <v>177</v>
      </c>
      <c r="J3400">
        <v>4</v>
      </c>
      <c r="K3400" t="s">
        <v>61</v>
      </c>
      <c r="L3400" t="s">
        <v>62</v>
      </c>
      <c r="M3400" t="s">
        <v>63</v>
      </c>
      <c r="N3400" t="s">
        <v>64</v>
      </c>
      <c r="O3400">
        <v>6</v>
      </c>
      <c r="P3400" t="s">
        <v>201</v>
      </c>
      <c r="R3400">
        <v>2.4299999999999999E-3</v>
      </c>
      <c r="T3400">
        <v>2.2000000000000001E-3</v>
      </c>
      <c r="V3400">
        <v>2.5999999999999999E-3</v>
      </c>
      <c r="W3400" t="s">
        <v>66</v>
      </c>
      <c r="X3400" t="s">
        <v>67</v>
      </c>
      <c r="Y3400" t="s">
        <v>67</v>
      </c>
      <c r="Z3400" t="s">
        <v>68</v>
      </c>
      <c r="AB3400">
        <v>4</v>
      </c>
      <c r="AC3400" t="s">
        <v>61</v>
      </c>
      <c r="AJ3400" t="s">
        <v>69</v>
      </c>
      <c r="AY3400" t="s">
        <v>2328</v>
      </c>
      <c r="AZ3400">
        <v>83754</v>
      </c>
      <c r="BA3400" t="s">
        <v>2329</v>
      </c>
      <c r="BB3400" t="s">
        <v>2330</v>
      </c>
      <c r="BC3400">
        <v>1996</v>
      </c>
      <c r="BD3400" t="s">
        <v>73</v>
      </c>
    </row>
    <row r="3401" spans="1:56" x14ac:dyDescent="0.35">
      <c r="A3401">
        <v>7761888</v>
      </c>
      <c r="B3401" t="s">
        <v>2321</v>
      </c>
      <c r="D3401" t="s">
        <v>57</v>
      </c>
      <c r="E3401" t="s">
        <v>86</v>
      </c>
      <c r="F3401" t="s">
        <v>58</v>
      </c>
      <c r="G3401" t="s">
        <v>59</v>
      </c>
      <c r="H3401" t="s">
        <v>60</v>
      </c>
      <c r="J3401" t="s">
        <v>86</v>
      </c>
      <c r="L3401" t="s">
        <v>62</v>
      </c>
      <c r="M3401" t="s">
        <v>63</v>
      </c>
      <c r="N3401" t="s">
        <v>64</v>
      </c>
      <c r="P3401" t="s">
        <v>201</v>
      </c>
      <c r="R3401">
        <v>1.9599999999999999E-2</v>
      </c>
      <c r="T3401">
        <v>1.77E-2</v>
      </c>
      <c r="V3401">
        <v>2.3800000000000002E-2</v>
      </c>
      <c r="W3401" t="s">
        <v>66</v>
      </c>
      <c r="X3401" t="s">
        <v>67</v>
      </c>
      <c r="Y3401" t="s">
        <v>67</v>
      </c>
      <c r="Z3401" t="s">
        <v>68</v>
      </c>
      <c r="AB3401">
        <v>4</v>
      </c>
      <c r="AC3401" t="s">
        <v>61</v>
      </c>
      <c r="AJ3401" t="s">
        <v>69</v>
      </c>
      <c r="AY3401" t="s">
        <v>771</v>
      </c>
      <c r="AZ3401">
        <v>9479</v>
      </c>
      <c r="BA3401" t="s">
        <v>1117</v>
      </c>
      <c r="BB3401" t="s">
        <v>1118</v>
      </c>
      <c r="BC3401">
        <v>1981</v>
      </c>
      <c r="BD3401" t="s">
        <v>90</v>
      </c>
    </row>
    <row r="3402" spans="1:56" x14ac:dyDescent="0.35">
      <c r="A3402">
        <v>7761888</v>
      </c>
      <c r="B3402" t="s">
        <v>2321</v>
      </c>
      <c r="C3402" t="s">
        <v>386</v>
      </c>
      <c r="D3402" t="s">
        <v>85</v>
      </c>
      <c r="E3402" t="s">
        <v>86</v>
      </c>
      <c r="F3402" t="s">
        <v>58</v>
      </c>
      <c r="G3402" t="s">
        <v>59</v>
      </c>
      <c r="H3402" t="s">
        <v>60</v>
      </c>
      <c r="J3402" t="s">
        <v>86</v>
      </c>
      <c r="L3402" t="s">
        <v>62</v>
      </c>
      <c r="M3402" t="s">
        <v>63</v>
      </c>
      <c r="N3402" t="s">
        <v>64</v>
      </c>
      <c r="O3402">
        <v>6</v>
      </c>
      <c r="P3402" t="s">
        <v>201</v>
      </c>
      <c r="R3402">
        <v>4.6399999999999997E-2</v>
      </c>
      <c r="T3402">
        <v>1.2500000000000001E-2</v>
      </c>
      <c r="V3402">
        <v>5.3600000000000002E-2</v>
      </c>
      <c r="W3402" t="s">
        <v>66</v>
      </c>
      <c r="X3402" t="s">
        <v>67</v>
      </c>
      <c r="Y3402" t="s">
        <v>67</v>
      </c>
      <c r="Z3402" t="s">
        <v>68</v>
      </c>
      <c r="AB3402">
        <v>4</v>
      </c>
      <c r="AC3402" t="s">
        <v>61</v>
      </c>
      <c r="AJ3402" t="s">
        <v>69</v>
      </c>
      <c r="AY3402" t="s">
        <v>2344</v>
      </c>
      <c r="AZ3402">
        <v>18858</v>
      </c>
      <c r="BA3402" t="s">
        <v>2345</v>
      </c>
      <c r="BB3402" t="s">
        <v>2346</v>
      </c>
      <c r="BC3402">
        <v>1984</v>
      </c>
      <c r="BD3402" t="s">
        <v>90</v>
      </c>
    </row>
    <row r="3403" spans="1:56" x14ac:dyDescent="0.35">
      <c r="A3403">
        <v>7761888</v>
      </c>
      <c r="B3403" t="s">
        <v>2321</v>
      </c>
      <c r="C3403" t="s">
        <v>195</v>
      </c>
      <c r="D3403" t="s">
        <v>85</v>
      </c>
      <c r="E3403" t="s">
        <v>86</v>
      </c>
      <c r="F3403" t="s">
        <v>58</v>
      </c>
      <c r="G3403" t="s">
        <v>59</v>
      </c>
      <c r="H3403" t="s">
        <v>60</v>
      </c>
      <c r="I3403" t="s">
        <v>177</v>
      </c>
      <c r="J3403" t="s">
        <v>289</v>
      </c>
      <c r="K3403" t="s">
        <v>184</v>
      </c>
      <c r="L3403" t="s">
        <v>62</v>
      </c>
      <c r="M3403" t="s">
        <v>63</v>
      </c>
      <c r="N3403" t="s">
        <v>64</v>
      </c>
      <c r="P3403" t="s">
        <v>201</v>
      </c>
      <c r="R3403">
        <v>5.47E-3</v>
      </c>
      <c r="T3403">
        <v>5.0800000000000003E-3</v>
      </c>
      <c r="V3403">
        <v>5.8700000000000002E-3</v>
      </c>
      <c r="W3403" t="s">
        <v>66</v>
      </c>
      <c r="X3403" t="s">
        <v>67</v>
      </c>
      <c r="Y3403" t="s">
        <v>67</v>
      </c>
      <c r="Z3403" t="s">
        <v>68</v>
      </c>
      <c r="AB3403">
        <v>4</v>
      </c>
      <c r="AC3403" t="s">
        <v>61</v>
      </c>
      <c r="AJ3403" t="s">
        <v>69</v>
      </c>
      <c r="AY3403" t="s">
        <v>2325</v>
      </c>
      <c r="AZ3403">
        <v>19218</v>
      </c>
      <c r="BA3403" t="s">
        <v>2326</v>
      </c>
      <c r="BB3403" t="s">
        <v>2327</v>
      </c>
      <c r="BC3403">
        <v>1999</v>
      </c>
      <c r="BD3403" t="s">
        <v>185</v>
      </c>
    </row>
    <row r="3404" spans="1:56" x14ac:dyDescent="0.35">
      <c r="A3404">
        <v>7761888</v>
      </c>
      <c r="B3404" t="s">
        <v>2321</v>
      </c>
      <c r="C3404" t="s">
        <v>195</v>
      </c>
      <c r="D3404" t="s">
        <v>85</v>
      </c>
      <c r="E3404" t="s">
        <v>86</v>
      </c>
      <c r="F3404" t="s">
        <v>58</v>
      </c>
      <c r="G3404" t="s">
        <v>59</v>
      </c>
      <c r="H3404" t="s">
        <v>60</v>
      </c>
      <c r="I3404" t="s">
        <v>177</v>
      </c>
      <c r="J3404" t="s">
        <v>289</v>
      </c>
      <c r="K3404" t="s">
        <v>184</v>
      </c>
      <c r="L3404" t="s">
        <v>62</v>
      </c>
      <c r="M3404" t="s">
        <v>63</v>
      </c>
      <c r="N3404" t="s">
        <v>64</v>
      </c>
      <c r="P3404" t="s">
        <v>201</v>
      </c>
      <c r="R3404">
        <v>2.4299999999999999E-3</v>
      </c>
      <c r="T3404">
        <v>2.2200000000000002E-3</v>
      </c>
      <c r="V3404">
        <v>2.64E-3</v>
      </c>
      <c r="W3404" t="s">
        <v>66</v>
      </c>
      <c r="X3404" t="s">
        <v>67</v>
      </c>
      <c r="Y3404" t="s">
        <v>67</v>
      </c>
      <c r="Z3404" t="s">
        <v>68</v>
      </c>
      <c r="AB3404">
        <v>4</v>
      </c>
      <c r="AC3404" t="s">
        <v>61</v>
      </c>
      <c r="AJ3404" t="s">
        <v>69</v>
      </c>
      <c r="AY3404" t="s">
        <v>2325</v>
      </c>
      <c r="AZ3404">
        <v>19218</v>
      </c>
      <c r="BA3404" t="s">
        <v>2326</v>
      </c>
      <c r="BB3404" t="s">
        <v>2327</v>
      </c>
      <c r="BC3404">
        <v>1999</v>
      </c>
      <c r="BD3404" t="s">
        <v>185</v>
      </c>
    </row>
    <row r="3405" spans="1:56" x14ac:dyDescent="0.35">
      <c r="A3405">
        <v>7761888</v>
      </c>
      <c r="B3405" t="s">
        <v>2321</v>
      </c>
      <c r="C3405" t="s">
        <v>195</v>
      </c>
      <c r="D3405" t="s">
        <v>85</v>
      </c>
      <c r="E3405" t="s">
        <v>86</v>
      </c>
      <c r="F3405" t="s">
        <v>58</v>
      </c>
      <c r="G3405" t="s">
        <v>59</v>
      </c>
      <c r="H3405" t="s">
        <v>60</v>
      </c>
      <c r="I3405" t="s">
        <v>177</v>
      </c>
      <c r="J3405" t="s">
        <v>289</v>
      </c>
      <c r="K3405" t="s">
        <v>184</v>
      </c>
      <c r="L3405" t="s">
        <v>62</v>
      </c>
      <c r="M3405" t="s">
        <v>63</v>
      </c>
      <c r="N3405" t="s">
        <v>64</v>
      </c>
      <c r="P3405" t="s">
        <v>201</v>
      </c>
      <c r="R3405">
        <v>6.0499999999999998E-3</v>
      </c>
      <c r="T3405">
        <v>5.5500000000000002E-3</v>
      </c>
      <c r="V3405">
        <v>6.6E-3</v>
      </c>
      <c r="W3405" t="s">
        <v>66</v>
      </c>
      <c r="X3405" t="s">
        <v>67</v>
      </c>
      <c r="Y3405" t="s">
        <v>67</v>
      </c>
      <c r="Z3405" t="s">
        <v>68</v>
      </c>
      <c r="AB3405">
        <v>4</v>
      </c>
      <c r="AC3405" t="s">
        <v>61</v>
      </c>
      <c r="AJ3405" t="s">
        <v>69</v>
      </c>
      <c r="AY3405" t="s">
        <v>2325</v>
      </c>
      <c r="AZ3405">
        <v>19218</v>
      </c>
      <c r="BA3405" t="s">
        <v>2326</v>
      </c>
      <c r="BB3405" t="s">
        <v>2327</v>
      </c>
      <c r="BC3405">
        <v>1999</v>
      </c>
      <c r="BD3405" t="s">
        <v>185</v>
      </c>
    </row>
    <row r="3406" spans="1:56" x14ac:dyDescent="0.35">
      <c r="A3406">
        <v>7761888</v>
      </c>
      <c r="B3406" t="s">
        <v>2321</v>
      </c>
      <c r="C3406" t="s">
        <v>386</v>
      </c>
      <c r="D3406" t="s">
        <v>85</v>
      </c>
      <c r="E3406" t="s">
        <v>86</v>
      </c>
      <c r="F3406" t="s">
        <v>58</v>
      </c>
      <c r="G3406" t="s">
        <v>59</v>
      </c>
      <c r="H3406" t="s">
        <v>60</v>
      </c>
      <c r="J3406" t="s">
        <v>86</v>
      </c>
      <c r="L3406" t="s">
        <v>62</v>
      </c>
      <c r="M3406" t="s">
        <v>63</v>
      </c>
      <c r="N3406" t="s">
        <v>64</v>
      </c>
      <c r="O3406">
        <v>6</v>
      </c>
      <c r="P3406" t="s">
        <v>201</v>
      </c>
      <c r="R3406">
        <v>3.7199999999999997E-2</v>
      </c>
      <c r="T3406">
        <v>2.3300000000000001E-2</v>
      </c>
      <c r="V3406">
        <v>4.3400000000000001E-2</v>
      </c>
      <c r="W3406" t="s">
        <v>66</v>
      </c>
      <c r="X3406" t="s">
        <v>67</v>
      </c>
      <c r="Y3406" t="s">
        <v>67</v>
      </c>
      <c r="Z3406" t="s">
        <v>68</v>
      </c>
      <c r="AB3406">
        <v>4</v>
      </c>
      <c r="AC3406" t="s">
        <v>61</v>
      </c>
      <c r="AJ3406" t="s">
        <v>69</v>
      </c>
      <c r="AY3406" t="s">
        <v>2344</v>
      </c>
      <c r="AZ3406">
        <v>18858</v>
      </c>
      <c r="BA3406" t="s">
        <v>2345</v>
      </c>
      <c r="BB3406" t="s">
        <v>2346</v>
      </c>
      <c r="BC3406">
        <v>1984</v>
      </c>
      <c r="BD3406" t="s">
        <v>90</v>
      </c>
    </row>
    <row r="3407" spans="1:56" x14ac:dyDescent="0.35">
      <c r="A3407">
        <v>7761888</v>
      </c>
      <c r="B3407" t="s">
        <v>2321</v>
      </c>
      <c r="D3407" t="s">
        <v>57</v>
      </c>
      <c r="E3407" t="s">
        <v>86</v>
      </c>
      <c r="F3407" t="s">
        <v>58</v>
      </c>
      <c r="G3407" t="s">
        <v>59</v>
      </c>
      <c r="H3407" t="s">
        <v>60</v>
      </c>
      <c r="J3407" t="s">
        <v>86</v>
      </c>
      <c r="L3407" t="s">
        <v>62</v>
      </c>
      <c r="M3407" t="s">
        <v>63</v>
      </c>
      <c r="N3407" t="s">
        <v>64</v>
      </c>
      <c r="P3407" t="s">
        <v>201</v>
      </c>
      <c r="R3407">
        <v>1.38E-2</v>
      </c>
      <c r="T3407">
        <v>1.14E-2</v>
      </c>
      <c r="V3407">
        <v>1.67E-2</v>
      </c>
      <c r="W3407" t="s">
        <v>66</v>
      </c>
      <c r="X3407" t="s">
        <v>67</v>
      </c>
      <c r="Y3407" t="s">
        <v>67</v>
      </c>
      <c r="Z3407" t="s">
        <v>68</v>
      </c>
      <c r="AB3407">
        <v>4</v>
      </c>
      <c r="AC3407" t="s">
        <v>61</v>
      </c>
      <c r="AJ3407" t="s">
        <v>69</v>
      </c>
      <c r="AY3407" t="s">
        <v>771</v>
      </c>
      <c r="AZ3407">
        <v>9479</v>
      </c>
      <c r="BA3407" t="s">
        <v>1117</v>
      </c>
      <c r="BB3407" t="s">
        <v>1118</v>
      </c>
      <c r="BC3407">
        <v>1981</v>
      </c>
      <c r="BD3407" t="s">
        <v>90</v>
      </c>
    </row>
    <row r="3408" spans="1:56" x14ac:dyDescent="0.35">
      <c r="A3408">
        <v>7761888</v>
      </c>
      <c r="B3408" t="s">
        <v>2321</v>
      </c>
      <c r="C3408" t="s">
        <v>195</v>
      </c>
      <c r="D3408" t="s">
        <v>85</v>
      </c>
      <c r="E3408" t="s">
        <v>86</v>
      </c>
      <c r="F3408" t="s">
        <v>58</v>
      </c>
      <c r="G3408" t="s">
        <v>59</v>
      </c>
      <c r="H3408" t="s">
        <v>60</v>
      </c>
      <c r="I3408" t="s">
        <v>177</v>
      </c>
      <c r="J3408">
        <v>4</v>
      </c>
      <c r="K3408" t="s">
        <v>61</v>
      </c>
      <c r="L3408" t="s">
        <v>62</v>
      </c>
      <c r="M3408" t="s">
        <v>63</v>
      </c>
      <c r="N3408" t="s">
        <v>64</v>
      </c>
      <c r="O3408">
        <v>4</v>
      </c>
      <c r="P3408" t="s">
        <v>201</v>
      </c>
      <c r="R3408">
        <v>1.4E-2</v>
      </c>
      <c r="T3408">
        <v>1.2E-2</v>
      </c>
      <c r="V3408">
        <v>1.7000000000000001E-2</v>
      </c>
      <c r="W3408" t="s">
        <v>66</v>
      </c>
      <c r="X3408" t="s">
        <v>67</v>
      </c>
      <c r="Y3408" t="s">
        <v>67</v>
      </c>
      <c r="Z3408" t="s">
        <v>68</v>
      </c>
      <c r="AB3408">
        <v>4</v>
      </c>
      <c r="AC3408" t="s">
        <v>61</v>
      </c>
      <c r="AJ3408" t="s">
        <v>69</v>
      </c>
      <c r="AY3408" t="s">
        <v>2328</v>
      </c>
      <c r="AZ3408">
        <v>83754</v>
      </c>
      <c r="BA3408" t="s">
        <v>2329</v>
      </c>
      <c r="BB3408" t="s">
        <v>2330</v>
      </c>
      <c r="BC3408">
        <v>1996</v>
      </c>
      <c r="BD3408" t="s">
        <v>73</v>
      </c>
    </row>
    <row r="3409" spans="1:56" x14ac:dyDescent="0.35">
      <c r="A3409">
        <v>7761888</v>
      </c>
      <c r="B3409" t="s">
        <v>2321</v>
      </c>
      <c r="C3409" t="s">
        <v>195</v>
      </c>
      <c r="D3409" t="s">
        <v>85</v>
      </c>
      <c r="E3409" t="s">
        <v>86</v>
      </c>
      <c r="F3409" t="s">
        <v>58</v>
      </c>
      <c r="G3409" t="s">
        <v>59</v>
      </c>
      <c r="H3409" t="s">
        <v>60</v>
      </c>
      <c r="I3409" t="s">
        <v>188</v>
      </c>
      <c r="J3409">
        <v>28</v>
      </c>
      <c r="K3409" t="s">
        <v>61</v>
      </c>
      <c r="L3409" t="s">
        <v>62</v>
      </c>
      <c r="M3409" t="s">
        <v>63</v>
      </c>
      <c r="N3409" t="s">
        <v>64</v>
      </c>
      <c r="O3409">
        <v>6</v>
      </c>
      <c r="P3409" t="s">
        <v>201</v>
      </c>
      <c r="R3409">
        <v>2.6499999999999999E-2</v>
      </c>
      <c r="T3409">
        <v>2.4400000000000002E-2</v>
      </c>
      <c r="V3409">
        <v>2.87E-2</v>
      </c>
      <c r="W3409" t="s">
        <v>66</v>
      </c>
      <c r="X3409" t="s">
        <v>67</v>
      </c>
      <c r="Y3409" t="s">
        <v>67</v>
      </c>
      <c r="Z3409" t="s">
        <v>68</v>
      </c>
      <c r="AB3409">
        <v>4</v>
      </c>
      <c r="AC3409" t="s">
        <v>61</v>
      </c>
      <c r="AJ3409" t="s">
        <v>69</v>
      </c>
      <c r="AY3409" t="s">
        <v>2328</v>
      </c>
      <c r="AZ3409">
        <v>83754</v>
      </c>
      <c r="BA3409" t="s">
        <v>2329</v>
      </c>
      <c r="BB3409" t="s">
        <v>2330</v>
      </c>
      <c r="BC3409">
        <v>1996</v>
      </c>
      <c r="BD3409" t="s">
        <v>73</v>
      </c>
    </row>
    <row r="3410" spans="1:56" x14ac:dyDescent="0.35">
      <c r="A3410">
        <v>7761888</v>
      </c>
      <c r="B3410" t="s">
        <v>2321</v>
      </c>
      <c r="C3410" t="s">
        <v>195</v>
      </c>
      <c r="D3410" t="s">
        <v>85</v>
      </c>
      <c r="E3410" t="s">
        <v>86</v>
      </c>
      <c r="F3410" t="s">
        <v>58</v>
      </c>
      <c r="G3410" t="s">
        <v>59</v>
      </c>
      <c r="H3410" t="s">
        <v>60</v>
      </c>
      <c r="I3410" t="s">
        <v>177</v>
      </c>
      <c r="J3410">
        <v>4</v>
      </c>
      <c r="K3410" t="s">
        <v>61</v>
      </c>
      <c r="L3410" t="s">
        <v>62</v>
      </c>
      <c r="M3410" t="s">
        <v>63</v>
      </c>
      <c r="N3410" t="s">
        <v>64</v>
      </c>
      <c r="O3410">
        <v>6</v>
      </c>
      <c r="P3410" t="s">
        <v>201</v>
      </c>
      <c r="R3410">
        <v>2.7000000000000001E-3</v>
      </c>
      <c r="T3410">
        <v>2.5000000000000001E-3</v>
      </c>
      <c r="V3410">
        <v>2.8999999999999998E-3</v>
      </c>
      <c r="W3410" t="s">
        <v>66</v>
      </c>
      <c r="X3410" t="s">
        <v>67</v>
      </c>
      <c r="Y3410" t="s">
        <v>67</v>
      </c>
      <c r="Z3410" t="s">
        <v>68</v>
      </c>
      <c r="AB3410">
        <v>4</v>
      </c>
      <c r="AC3410" t="s">
        <v>61</v>
      </c>
      <c r="AJ3410" t="s">
        <v>69</v>
      </c>
      <c r="AY3410" t="s">
        <v>2328</v>
      </c>
      <c r="AZ3410">
        <v>83754</v>
      </c>
      <c r="BA3410" t="s">
        <v>2329</v>
      </c>
      <c r="BB3410" t="s">
        <v>2330</v>
      </c>
      <c r="BC3410">
        <v>1996</v>
      </c>
      <c r="BD3410" t="s">
        <v>73</v>
      </c>
    </row>
    <row r="3411" spans="1:56" x14ac:dyDescent="0.35">
      <c r="A3411">
        <v>7761888</v>
      </c>
      <c r="B3411" t="s">
        <v>2321</v>
      </c>
      <c r="C3411" t="s">
        <v>195</v>
      </c>
      <c r="D3411" t="s">
        <v>85</v>
      </c>
      <c r="E3411" t="s">
        <v>86</v>
      </c>
      <c r="F3411" t="s">
        <v>58</v>
      </c>
      <c r="G3411" t="s">
        <v>59</v>
      </c>
      <c r="H3411" t="s">
        <v>60</v>
      </c>
      <c r="I3411" t="s">
        <v>177</v>
      </c>
      <c r="J3411" t="s">
        <v>289</v>
      </c>
      <c r="K3411" t="s">
        <v>184</v>
      </c>
      <c r="L3411" t="s">
        <v>62</v>
      </c>
      <c r="M3411" t="s">
        <v>63</v>
      </c>
      <c r="N3411" t="s">
        <v>64</v>
      </c>
      <c r="P3411" t="s">
        <v>201</v>
      </c>
      <c r="R3411">
        <v>1.1180000000000001E-2</v>
      </c>
      <c r="T3411">
        <v>1.025E-2</v>
      </c>
      <c r="V3411">
        <v>1.21E-2</v>
      </c>
      <c r="W3411" t="s">
        <v>66</v>
      </c>
      <c r="X3411" t="s">
        <v>67</v>
      </c>
      <c r="Y3411" t="s">
        <v>67</v>
      </c>
      <c r="Z3411" t="s">
        <v>68</v>
      </c>
      <c r="AB3411">
        <v>4</v>
      </c>
      <c r="AC3411" t="s">
        <v>61</v>
      </c>
      <c r="AJ3411" t="s">
        <v>69</v>
      </c>
      <c r="AY3411" t="s">
        <v>2325</v>
      </c>
      <c r="AZ3411">
        <v>19218</v>
      </c>
      <c r="BA3411" t="s">
        <v>2326</v>
      </c>
      <c r="BB3411" t="s">
        <v>2327</v>
      </c>
      <c r="BC3411">
        <v>1999</v>
      </c>
      <c r="BD3411" t="s">
        <v>185</v>
      </c>
    </row>
    <row r="3412" spans="1:56" x14ac:dyDescent="0.35">
      <c r="A3412">
        <v>7761888</v>
      </c>
      <c r="B3412" t="s">
        <v>2321</v>
      </c>
      <c r="D3412" t="s">
        <v>57</v>
      </c>
      <c r="E3412">
        <v>99.7</v>
      </c>
      <c r="F3412" t="s">
        <v>58</v>
      </c>
      <c r="G3412" t="s">
        <v>59</v>
      </c>
      <c r="H3412" t="s">
        <v>60</v>
      </c>
      <c r="I3412" t="s">
        <v>129</v>
      </c>
      <c r="J3412">
        <v>29</v>
      </c>
      <c r="K3412" t="s">
        <v>61</v>
      </c>
      <c r="L3412" t="s">
        <v>74</v>
      </c>
      <c r="M3412" t="s">
        <v>63</v>
      </c>
      <c r="N3412" t="s">
        <v>64</v>
      </c>
      <c r="O3412">
        <v>6</v>
      </c>
      <c r="P3412" t="s">
        <v>201</v>
      </c>
      <c r="R3412">
        <v>9.9000000000000008E-3</v>
      </c>
      <c r="T3412">
        <v>8.2000000000000007E-3</v>
      </c>
      <c r="V3412">
        <v>1.2E-2</v>
      </c>
      <c r="W3412" t="s">
        <v>66</v>
      </c>
      <c r="X3412" t="s">
        <v>67</v>
      </c>
      <c r="Y3412" t="s">
        <v>67</v>
      </c>
      <c r="Z3412" t="s">
        <v>68</v>
      </c>
      <c r="AB3412">
        <v>4</v>
      </c>
      <c r="AC3412" t="s">
        <v>61</v>
      </c>
      <c r="AJ3412" t="s">
        <v>69</v>
      </c>
      <c r="AY3412" t="s">
        <v>309</v>
      </c>
      <c r="AZ3412">
        <v>77568</v>
      </c>
      <c r="BA3412" t="s">
        <v>2347</v>
      </c>
      <c r="BB3412" t="s">
        <v>2348</v>
      </c>
      <c r="BC3412">
        <v>1993</v>
      </c>
      <c r="BD3412" t="s">
        <v>73</v>
      </c>
    </row>
    <row r="3413" spans="1:56" x14ac:dyDescent="0.35">
      <c r="A3413">
        <v>7761888</v>
      </c>
      <c r="B3413" t="s">
        <v>2321</v>
      </c>
      <c r="C3413" t="s">
        <v>195</v>
      </c>
      <c r="D3413" t="s">
        <v>85</v>
      </c>
      <c r="E3413" t="s">
        <v>86</v>
      </c>
      <c r="F3413" t="s">
        <v>58</v>
      </c>
      <c r="G3413" t="s">
        <v>59</v>
      </c>
      <c r="H3413" t="s">
        <v>60</v>
      </c>
      <c r="I3413" t="s">
        <v>177</v>
      </c>
      <c r="J3413" t="s">
        <v>289</v>
      </c>
      <c r="K3413" t="s">
        <v>184</v>
      </c>
      <c r="L3413" t="s">
        <v>62</v>
      </c>
      <c r="M3413" t="s">
        <v>63</v>
      </c>
      <c r="N3413" t="s">
        <v>64</v>
      </c>
      <c r="P3413" t="s">
        <v>201</v>
      </c>
      <c r="R3413">
        <v>1.2279999999999999E-2</v>
      </c>
      <c r="T3413">
        <v>1.145E-2</v>
      </c>
      <c r="V3413">
        <v>1.312E-2</v>
      </c>
      <c r="W3413" t="s">
        <v>66</v>
      </c>
      <c r="X3413" t="s">
        <v>67</v>
      </c>
      <c r="Y3413" t="s">
        <v>67</v>
      </c>
      <c r="Z3413" t="s">
        <v>68</v>
      </c>
      <c r="AB3413">
        <v>4</v>
      </c>
      <c r="AC3413" t="s">
        <v>61</v>
      </c>
      <c r="AJ3413" t="s">
        <v>69</v>
      </c>
      <c r="AY3413" t="s">
        <v>2325</v>
      </c>
      <c r="AZ3413">
        <v>19218</v>
      </c>
      <c r="BA3413" t="s">
        <v>2326</v>
      </c>
      <c r="BB3413" t="s">
        <v>2327</v>
      </c>
      <c r="BC3413">
        <v>1999</v>
      </c>
      <c r="BD3413" t="s">
        <v>185</v>
      </c>
    </row>
    <row r="3414" spans="1:56" x14ac:dyDescent="0.35">
      <c r="A3414">
        <v>7761888</v>
      </c>
      <c r="B3414" t="s">
        <v>2321</v>
      </c>
      <c r="D3414" t="s">
        <v>57</v>
      </c>
      <c r="E3414" t="s">
        <v>86</v>
      </c>
      <c r="F3414" t="s">
        <v>58</v>
      </c>
      <c r="G3414" t="s">
        <v>59</v>
      </c>
      <c r="H3414" t="s">
        <v>60</v>
      </c>
      <c r="J3414" t="s">
        <v>86</v>
      </c>
      <c r="L3414" t="s">
        <v>74</v>
      </c>
      <c r="M3414" t="s">
        <v>63</v>
      </c>
      <c r="N3414" t="s">
        <v>64</v>
      </c>
      <c r="P3414" t="s">
        <v>201</v>
      </c>
      <c r="R3414">
        <v>1.098E-2</v>
      </c>
      <c r="T3414">
        <v>9.3100000000000006E-3</v>
      </c>
      <c r="V3414">
        <v>1.277E-2</v>
      </c>
      <c r="W3414" t="s">
        <v>66</v>
      </c>
      <c r="X3414" t="s">
        <v>67</v>
      </c>
      <c r="Y3414" t="s">
        <v>67</v>
      </c>
      <c r="Z3414" t="s">
        <v>68</v>
      </c>
      <c r="AB3414">
        <v>4</v>
      </c>
      <c r="AC3414" t="s">
        <v>61</v>
      </c>
      <c r="AJ3414" t="s">
        <v>69</v>
      </c>
      <c r="AY3414" t="s">
        <v>771</v>
      </c>
      <c r="AZ3414">
        <v>9479</v>
      </c>
      <c r="BA3414" t="s">
        <v>1117</v>
      </c>
      <c r="BB3414" t="s">
        <v>1118</v>
      </c>
      <c r="BC3414">
        <v>1981</v>
      </c>
      <c r="BD3414" t="s">
        <v>90</v>
      </c>
    </row>
    <row r="3415" spans="1:56" x14ac:dyDescent="0.35">
      <c r="A3415">
        <v>7761888</v>
      </c>
      <c r="B3415" t="s">
        <v>2321</v>
      </c>
      <c r="D3415" t="s">
        <v>85</v>
      </c>
      <c r="E3415" t="s">
        <v>86</v>
      </c>
      <c r="F3415" t="s">
        <v>58</v>
      </c>
      <c r="G3415" t="s">
        <v>59</v>
      </c>
      <c r="H3415" t="s">
        <v>60</v>
      </c>
      <c r="J3415" t="s">
        <v>86</v>
      </c>
      <c r="L3415" t="s">
        <v>62</v>
      </c>
      <c r="M3415" t="s">
        <v>63</v>
      </c>
      <c r="N3415" t="s">
        <v>64</v>
      </c>
      <c r="O3415">
        <v>6</v>
      </c>
      <c r="P3415" t="s">
        <v>201</v>
      </c>
      <c r="R3415">
        <v>2.4E-2</v>
      </c>
      <c r="T3415">
        <v>2.1999999999999999E-2</v>
      </c>
      <c r="V3415">
        <v>2.5999999999999999E-2</v>
      </c>
      <c r="W3415" t="s">
        <v>66</v>
      </c>
      <c r="X3415" t="s">
        <v>67</v>
      </c>
      <c r="Y3415" t="s">
        <v>67</v>
      </c>
      <c r="Z3415" t="s">
        <v>68</v>
      </c>
      <c r="AB3415">
        <v>4</v>
      </c>
      <c r="AC3415" t="s">
        <v>61</v>
      </c>
      <c r="AJ3415" t="s">
        <v>69</v>
      </c>
      <c r="AY3415" t="s">
        <v>2127</v>
      </c>
      <c r="AZ3415">
        <v>150469</v>
      </c>
      <c r="BA3415" t="s">
        <v>2128</v>
      </c>
      <c r="BB3415" t="s">
        <v>2129</v>
      </c>
      <c r="BC3415">
        <v>1986</v>
      </c>
      <c r="BD3415" t="s">
        <v>90</v>
      </c>
    </row>
    <row r="3416" spans="1:56" x14ac:dyDescent="0.35">
      <c r="A3416">
        <v>7761888</v>
      </c>
      <c r="B3416" t="s">
        <v>2321</v>
      </c>
      <c r="D3416" t="s">
        <v>57</v>
      </c>
      <c r="E3416" t="s">
        <v>86</v>
      </c>
      <c r="F3416" t="s">
        <v>58</v>
      </c>
      <c r="G3416" t="s">
        <v>59</v>
      </c>
      <c r="H3416" t="s">
        <v>60</v>
      </c>
      <c r="J3416" t="s">
        <v>86</v>
      </c>
      <c r="L3416" t="s">
        <v>74</v>
      </c>
      <c r="M3416" t="s">
        <v>63</v>
      </c>
      <c r="N3416" t="s">
        <v>64</v>
      </c>
      <c r="P3416" t="s">
        <v>201</v>
      </c>
      <c r="R3416">
        <v>5.5999999999999999E-3</v>
      </c>
      <c r="T3416">
        <v>4.5199999999999997E-3</v>
      </c>
      <c r="V3416">
        <v>6.3800000000000003E-3</v>
      </c>
      <c r="W3416" t="s">
        <v>66</v>
      </c>
      <c r="X3416" t="s">
        <v>67</v>
      </c>
      <c r="Y3416" t="s">
        <v>67</v>
      </c>
      <c r="Z3416" t="s">
        <v>68</v>
      </c>
      <c r="AB3416">
        <v>4</v>
      </c>
      <c r="AC3416" t="s">
        <v>61</v>
      </c>
      <c r="AJ3416" t="s">
        <v>69</v>
      </c>
      <c r="AY3416" t="s">
        <v>771</v>
      </c>
      <c r="AZ3416">
        <v>9479</v>
      </c>
      <c r="BA3416" t="s">
        <v>1117</v>
      </c>
      <c r="BB3416" t="s">
        <v>1118</v>
      </c>
      <c r="BC3416">
        <v>1981</v>
      </c>
      <c r="BD3416" t="s">
        <v>90</v>
      </c>
    </row>
    <row r="3417" spans="1:56" x14ac:dyDescent="0.35">
      <c r="A3417">
        <v>7761888</v>
      </c>
      <c r="B3417" t="s">
        <v>2321</v>
      </c>
      <c r="C3417" t="s">
        <v>195</v>
      </c>
      <c r="D3417" t="s">
        <v>85</v>
      </c>
      <c r="E3417" t="s">
        <v>86</v>
      </c>
      <c r="F3417" t="s">
        <v>58</v>
      </c>
      <c r="G3417" t="s">
        <v>59</v>
      </c>
      <c r="H3417" t="s">
        <v>60</v>
      </c>
      <c r="I3417" t="s">
        <v>177</v>
      </c>
      <c r="J3417" t="s">
        <v>289</v>
      </c>
      <c r="K3417" t="s">
        <v>184</v>
      </c>
      <c r="L3417" t="s">
        <v>62</v>
      </c>
      <c r="M3417" t="s">
        <v>63</v>
      </c>
      <c r="N3417" t="s">
        <v>64</v>
      </c>
      <c r="P3417" t="s">
        <v>201</v>
      </c>
      <c r="R3417">
        <v>3.1900000000000001E-3</v>
      </c>
      <c r="T3417">
        <v>2.9099999999999998E-3</v>
      </c>
      <c r="V3417">
        <v>3.47E-3</v>
      </c>
      <c r="W3417" t="s">
        <v>66</v>
      </c>
      <c r="X3417" t="s">
        <v>67</v>
      </c>
      <c r="Y3417" t="s">
        <v>67</v>
      </c>
      <c r="Z3417" t="s">
        <v>68</v>
      </c>
      <c r="AB3417">
        <v>4</v>
      </c>
      <c r="AC3417" t="s">
        <v>61</v>
      </c>
      <c r="AJ3417" t="s">
        <v>69</v>
      </c>
      <c r="AY3417" t="s">
        <v>2325</v>
      </c>
      <c r="AZ3417">
        <v>19218</v>
      </c>
      <c r="BA3417" t="s">
        <v>2326</v>
      </c>
      <c r="BB3417" t="s">
        <v>2327</v>
      </c>
      <c r="BC3417">
        <v>1999</v>
      </c>
      <c r="BD3417" t="s">
        <v>185</v>
      </c>
    </row>
    <row r="3418" spans="1:56" x14ac:dyDescent="0.35">
      <c r="A3418">
        <v>7761888</v>
      </c>
      <c r="B3418" t="s">
        <v>2321</v>
      </c>
      <c r="D3418" t="s">
        <v>57</v>
      </c>
      <c r="E3418">
        <v>99.99</v>
      </c>
      <c r="F3418" t="s">
        <v>58</v>
      </c>
      <c r="G3418" t="s">
        <v>59</v>
      </c>
      <c r="H3418" t="s">
        <v>60</v>
      </c>
      <c r="J3418" t="s">
        <v>86</v>
      </c>
      <c r="K3418" t="s">
        <v>61</v>
      </c>
      <c r="L3418" t="s">
        <v>74</v>
      </c>
      <c r="M3418" t="s">
        <v>63</v>
      </c>
      <c r="N3418" t="s">
        <v>64</v>
      </c>
      <c r="P3418" t="s">
        <v>201</v>
      </c>
      <c r="R3418">
        <v>6.7000000000000002E-3</v>
      </c>
      <c r="T3418">
        <v>6.4000000000000003E-3</v>
      </c>
      <c r="V3418">
        <v>7.0000000000000001E-3</v>
      </c>
      <c r="W3418" t="s">
        <v>66</v>
      </c>
      <c r="X3418" t="s">
        <v>67</v>
      </c>
      <c r="Y3418" t="s">
        <v>67</v>
      </c>
      <c r="Z3418" t="s">
        <v>68</v>
      </c>
      <c r="AB3418">
        <v>4</v>
      </c>
      <c r="AC3418" t="s">
        <v>61</v>
      </c>
      <c r="AJ3418" t="s">
        <v>69</v>
      </c>
      <c r="AY3418" t="s">
        <v>611</v>
      </c>
      <c r="AZ3418">
        <v>10417</v>
      </c>
      <c r="BA3418" t="s">
        <v>612</v>
      </c>
      <c r="BB3418" t="s">
        <v>613</v>
      </c>
      <c r="BC3418">
        <v>1983</v>
      </c>
      <c r="BD3418" t="s">
        <v>614</v>
      </c>
    </row>
    <row r="3419" spans="1:56" x14ac:dyDescent="0.35">
      <c r="A3419">
        <v>7761888</v>
      </c>
      <c r="B3419" t="s">
        <v>2321</v>
      </c>
      <c r="C3419" t="s">
        <v>195</v>
      </c>
      <c r="D3419" t="s">
        <v>85</v>
      </c>
      <c r="E3419" t="s">
        <v>86</v>
      </c>
      <c r="F3419" t="s">
        <v>58</v>
      </c>
      <c r="G3419" t="s">
        <v>59</v>
      </c>
      <c r="H3419" t="s">
        <v>60</v>
      </c>
      <c r="I3419" t="s">
        <v>177</v>
      </c>
      <c r="J3419" t="s">
        <v>289</v>
      </c>
      <c r="K3419" t="s">
        <v>184</v>
      </c>
      <c r="L3419" t="s">
        <v>62</v>
      </c>
      <c r="M3419" t="s">
        <v>63</v>
      </c>
      <c r="N3419" t="s">
        <v>64</v>
      </c>
      <c r="P3419" t="s">
        <v>201</v>
      </c>
      <c r="R3419">
        <v>8.6999999999999994E-3</v>
      </c>
      <c r="T3419">
        <v>7.8499999999999993E-3</v>
      </c>
      <c r="V3419">
        <v>9.5399999999999999E-3</v>
      </c>
      <c r="W3419" t="s">
        <v>66</v>
      </c>
      <c r="X3419" t="s">
        <v>67</v>
      </c>
      <c r="Y3419" t="s">
        <v>67</v>
      </c>
      <c r="Z3419" t="s">
        <v>68</v>
      </c>
      <c r="AB3419">
        <v>4</v>
      </c>
      <c r="AC3419" t="s">
        <v>61</v>
      </c>
      <c r="AJ3419" t="s">
        <v>69</v>
      </c>
      <c r="AY3419" t="s">
        <v>2325</v>
      </c>
      <c r="AZ3419">
        <v>19218</v>
      </c>
      <c r="BA3419" t="s">
        <v>2326</v>
      </c>
      <c r="BB3419" t="s">
        <v>2327</v>
      </c>
      <c r="BC3419">
        <v>1999</v>
      </c>
      <c r="BD3419" t="s">
        <v>185</v>
      </c>
    </row>
    <row r="3420" spans="1:56" x14ac:dyDescent="0.35">
      <c r="A3420">
        <v>7761888</v>
      </c>
      <c r="B3420" t="s">
        <v>2321</v>
      </c>
      <c r="C3420" t="s">
        <v>195</v>
      </c>
      <c r="D3420" t="s">
        <v>85</v>
      </c>
      <c r="E3420" t="s">
        <v>86</v>
      </c>
      <c r="F3420" t="s">
        <v>58</v>
      </c>
      <c r="G3420" t="s">
        <v>59</v>
      </c>
      <c r="H3420" t="s">
        <v>60</v>
      </c>
      <c r="I3420" t="s">
        <v>177</v>
      </c>
      <c r="J3420">
        <v>4</v>
      </c>
      <c r="K3420" t="s">
        <v>61</v>
      </c>
      <c r="L3420" t="s">
        <v>62</v>
      </c>
      <c r="M3420" t="s">
        <v>63</v>
      </c>
      <c r="N3420" t="s">
        <v>64</v>
      </c>
      <c r="O3420">
        <v>6</v>
      </c>
      <c r="P3420" t="s">
        <v>201</v>
      </c>
      <c r="R3420">
        <v>8.9999999999999993E-3</v>
      </c>
      <c r="T3420">
        <v>8.2000000000000007E-3</v>
      </c>
      <c r="V3420">
        <v>9.7999999999999997E-3</v>
      </c>
      <c r="W3420" t="s">
        <v>66</v>
      </c>
      <c r="X3420" t="s">
        <v>67</v>
      </c>
      <c r="Y3420" t="s">
        <v>67</v>
      </c>
      <c r="Z3420" t="s">
        <v>68</v>
      </c>
      <c r="AB3420">
        <v>4</v>
      </c>
      <c r="AC3420" t="s">
        <v>61</v>
      </c>
      <c r="AJ3420" t="s">
        <v>69</v>
      </c>
      <c r="AY3420" t="s">
        <v>2328</v>
      </c>
      <c r="AZ3420">
        <v>83754</v>
      </c>
      <c r="BA3420" t="s">
        <v>2329</v>
      </c>
      <c r="BB3420" t="s">
        <v>2330</v>
      </c>
      <c r="BC3420">
        <v>1996</v>
      </c>
      <c r="BD3420" t="s">
        <v>73</v>
      </c>
    </row>
    <row r="3421" spans="1:56" x14ac:dyDescent="0.35">
      <c r="A3421">
        <v>7761888</v>
      </c>
      <c r="B3421" t="s">
        <v>2321</v>
      </c>
      <c r="C3421" t="s">
        <v>386</v>
      </c>
      <c r="D3421" t="s">
        <v>85</v>
      </c>
      <c r="E3421" t="s">
        <v>86</v>
      </c>
      <c r="F3421" t="s">
        <v>58</v>
      </c>
      <c r="G3421" t="s">
        <v>59</v>
      </c>
      <c r="H3421" t="s">
        <v>60</v>
      </c>
      <c r="J3421" t="s">
        <v>86</v>
      </c>
      <c r="L3421" t="s">
        <v>62</v>
      </c>
      <c r="M3421" t="s">
        <v>63</v>
      </c>
      <c r="N3421" t="s">
        <v>64</v>
      </c>
      <c r="O3421">
        <v>6</v>
      </c>
      <c r="P3421" t="s">
        <v>201</v>
      </c>
      <c r="R3421">
        <v>3.1E-2</v>
      </c>
      <c r="W3421" t="s">
        <v>66</v>
      </c>
      <c r="X3421" t="s">
        <v>67</v>
      </c>
      <c r="Y3421" t="s">
        <v>67</v>
      </c>
      <c r="Z3421" t="s">
        <v>68</v>
      </c>
      <c r="AB3421">
        <v>4</v>
      </c>
      <c r="AC3421" t="s">
        <v>61</v>
      </c>
      <c r="AJ3421" t="s">
        <v>69</v>
      </c>
      <c r="AY3421" t="s">
        <v>2344</v>
      </c>
      <c r="AZ3421">
        <v>18858</v>
      </c>
      <c r="BA3421" t="s">
        <v>2345</v>
      </c>
      <c r="BB3421" t="s">
        <v>2346</v>
      </c>
      <c r="BC3421">
        <v>1984</v>
      </c>
      <c r="BD3421" t="s">
        <v>90</v>
      </c>
    </row>
    <row r="3422" spans="1:56" x14ac:dyDescent="0.35">
      <c r="A3422">
        <v>7761888</v>
      </c>
      <c r="B3422" t="s">
        <v>2321</v>
      </c>
      <c r="D3422" t="s">
        <v>57</v>
      </c>
      <c r="E3422">
        <v>99.7</v>
      </c>
      <c r="F3422" t="s">
        <v>58</v>
      </c>
      <c r="G3422" t="s">
        <v>59</v>
      </c>
      <c r="H3422" t="s">
        <v>60</v>
      </c>
      <c r="I3422" t="s">
        <v>129</v>
      </c>
      <c r="J3422" t="s">
        <v>86</v>
      </c>
      <c r="L3422" t="s">
        <v>74</v>
      </c>
      <c r="M3422" t="s">
        <v>63</v>
      </c>
      <c r="N3422" t="s">
        <v>64</v>
      </c>
      <c r="P3422" t="s">
        <v>201</v>
      </c>
      <c r="Q3422" t="s">
        <v>172</v>
      </c>
      <c r="R3422">
        <v>12</v>
      </c>
      <c r="W3422" t="s">
        <v>66</v>
      </c>
      <c r="X3422" t="s">
        <v>67</v>
      </c>
      <c r="Y3422" t="s">
        <v>67</v>
      </c>
      <c r="Z3422" t="s">
        <v>68</v>
      </c>
      <c r="AB3422">
        <v>4</v>
      </c>
      <c r="AC3422" t="s">
        <v>61</v>
      </c>
      <c r="AJ3422" t="s">
        <v>69</v>
      </c>
      <c r="AY3422" t="s">
        <v>2334</v>
      </c>
      <c r="AZ3422">
        <v>18938</v>
      </c>
      <c r="BA3422" t="s">
        <v>2335</v>
      </c>
      <c r="BB3422" t="s">
        <v>2336</v>
      </c>
      <c r="BC3422">
        <v>1998</v>
      </c>
      <c r="BD3422" t="s">
        <v>90</v>
      </c>
    </row>
    <row r="3423" spans="1:56" x14ac:dyDescent="0.35">
      <c r="A3423">
        <v>7761888</v>
      </c>
      <c r="B3423" t="s">
        <v>2321</v>
      </c>
      <c r="C3423" t="s">
        <v>195</v>
      </c>
      <c r="D3423" t="s">
        <v>85</v>
      </c>
      <c r="E3423" t="s">
        <v>86</v>
      </c>
      <c r="F3423" t="s">
        <v>58</v>
      </c>
      <c r="G3423" t="s">
        <v>59</v>
      </c>
      <c r="H3423" t="s">
        <v>60</v>
      </c>
      <c r="I3423" t="s">
        <v>177</v>
      </c>
      <c r="J3423" t="s">
        <v>289</v>
      </c>
      <c r="K3423" t="s">
        <v>184</v>
      </c>
      <c r="L3423" t="s">
        <v>62</v>
      </c>
      <c r="M3423" t="s">
        <v>63</v>
      </c>
      <c r="N3423" t="s">
        <v>64</v>
      </c>
      <c r="P3423" t="s">
        <v>201</v>
      </c>
      <c r="R3423">
        <v>8.5000000000000006E-3</v>
      </c>
      <c r="T3423">
        <v>7.7200000000000003E-3</v>
      </c>
      <c r="V3423">
        <v>9.2899999999999996E-3</v>
      </c>
      <c r="W3423" t="s">
        <v>66</v>
      </c>
      <c r="X3423" t="s">
        <v>67</v>
      </c>
      <c r="Y3423" t="s">
        <v>67</v>
      </c>
      <c r="Z3423" t="s">
        <v>68</v>
      </c>
      <c r="AB3423">
        <v>4</v>
      </c>
      <c r="AC3423" t="s">
        <v>61</v>
      </c>
      <c r="AJ3423" t="s">
        <v>69</v>
      </c>
      <c r="AY3423" t="s">
        <v>2325</v>
      </c>
      <c r="AZ3423">
        <v>19218</v>
      </c>
      <c r="BA3423" t="s">
        <v>2326</v>
      </c>
      <c r="BB3423" t="s">
        <v>2327</v>
      </c>
      <c r="BC3423">
        <v>1999</v>
      </c>
      <c r="BD3423" t="s">
        <v>185</v>
      </c>
    </row>
    <row r="3424" spans="1:56" x14ac:dyDescent="0.35">
      <c r="A3424">
        <v>7761888</v>
      </c>
      <c r="B3424" t="s">
        <v>2321</v>
      </c>
      <c r="D3424" t="s">
        <v>57</v>
      </c>
      <c r="E3424">
        <v>99.7</v>
      </c>
      <c r="F3424" t="s">
        <v>58</v>
      </c>
      <c r="G3424" t="s">
        <v>59</v>
      </c>
      <c r="H3424" t="s">
        <v>60</v>
      </c>
      <c r="I3424" t="s">
        <v>129</v>
      </c>
      <c r="J3424" t="s">
        <v>86</v>
      </c>
      <c r="L3424" t="s">
        <v>62</v>
      </c>
      <c r="M3424" t="s">
        <v>63</v>
      </c>
      <c r="N3424" t="s">
        <v>64</v>
      </c>
      <c r="P3424" t="s">
        <v>201</v>
      </c>
      <c r="S3424" t="s">
        <v>153</v>
      </c>
      <c r="T3424">
        <v>0.01</v>
      </c>
      <c r="U3424" t="s">
        <v>435</v>
      </c>
      <c r="V3424">
        <v>1.4999999999999999E-2</v>
      </c>
      <c r="W3424" t="s">
        <v>66</v>
      </c>
      <c r="X3424" t="s">
        <v>67</v>
      </c>
      <c r="Y3424" t="s">
        <v>67</v>
      </c>
      <c r="Z3424" t="s">
        <v>68</v>
      </c>
      <c r="AB3424">
        <v>4</v>
      </c>
      <c r="AC3424" t="s">
        <v>61</v>
      </c>
      <c r="AJ3424" t="s">
        <v>69</v>
      </c>
      <c r="AY3424" t="s">
        <v>2334</v>
      </c>
      <c r="AZ3424">
        <v>18938</v>
      </c>
      <c r="BA3424" t="s">
        <v>2335</v>
      </c>
      <c r="BB3424" t="s">
        <v>2336</v>
      </c>
      <c r="BC3424">
        <v>1998</v>
      </c>
      <c r="BD3424" t="s">
        <v>90</v>
      </c>
    </row>
    <row r="3425" spans="1:56" x14ac:dyDescent="0.35">
      <c r="A3425">
        <v>7761888</v>
      </c>
      <c r="B3425" t="s">
        <v>2321</v>
      </c>
      <c r="D3425" t="s">
        <v>57</v>
      </c>
      <c r="E3425" t="s">
        <v>86</v>
      </c>
      <c r="F3425" t="s">
        <v>58</v>
      </c>
      <c r="G3425" t="s">
        <v>59</v>
      </c>
      <c r="H3425" t="s">
        <v>60</v>
      </c>
      <c r="J3425" t="s">
        <v>86</v>
      </c>
      <c r="L3425" t="s">
        <v>62</v>
      </c>
      <c r="M3425" t="s">
        <v>63</v>
      </c>
      <c r="N3425" t="s">
        <v>64</v>
      </c>
      <c r="P3425" t="s">
        <v>201</v>
      </c>
      <c r="R3425">
        <v>1.03E-2</v>
      </c>
      <c r="T3425">
        <v>9.5999999999999992E-3</v>
      </c>
      <c r="V3425">
        <v>1.11E-2</v>
      </c>
      <c r="W3425" t="s">
        <v>66</v>
      </c>
      <c r="X3425" t="s">
        <v>67</v>
      </c>
      <c r="Y3425" t="s">
        <v>67</v>
      </c>
      <c r="Z3425" t="s">
        <v>68</v>
      </c>
      <c r="AB3425">
        <v>4</v>
      </c>
      <c r="AC3425" t="s">
        <v>61</v>
      </c>
      <c r="AJ3425" t="s">
        <v>69</v>
      </c>
      <c r="AY3425" t="s">
        <v>771</v>
      </c>
      <c r="AZ3425">
        <v>9479</v>
      </c>
      <c r="BA3425" t="s">
        <v>1117</v>
      </c>
      <c r="BB3425" t="s">
        <v>1118</v>
      </c>
      <c r="BC3425">
        <v>1981</v>
      </c>
      <c r="BD3425" t="s">
        <v>90</v>
      </c>
    </row>
    <row r="3426" spans="1:56" x14ac:dyDescent="0.35">
      <c r="A3426">
        <v>7761888</v>
      </c>
      <c r="B3426" t="s">
        <v>2321</v>
      </c>
      <c r="D3426" t="s">
        <v>57</v>
      </c>
      <c r="E3426">
        <v>99.7</v>
      </c>
      <c r="F3426" t="s">
        <v>58</v>
      </c>
      <c r="G3426" t="s">
        <v>59</v>
      </c>
      <c r="H3426" t="s">
        <v>60</v>
      </c>
      <c r="I3426" t="s">
        <v>129</v>
      </c>
      <c r="J3426" t="s">
        <v>86</v>
      </c>
      <c r="L3426" t="s">
        <v>74</v>
      </c>
      <c r="M3426" t="s">
        <v>63</v>
      </c>
      <c r="N3426" t="s">
        <v>64</v>
      </c>
      <c r="P3426" t="s">
        <v>201</v>
      </c>
      <c r="Q3426" t="s">
        <v>172</v>
      </c>
      <c r="R3426">
        <v>8.9999999999999993E-3</v>
      </c>
      <c r="W3426" t="s">
        <v>66</v>
      </c>
      <c r="X3426" t="s">
        <v>67</v>
      </c>
      <c r="Y3426" t="s">
        <v>67</v>
      </c>
      <c r="Z3426" t="s">
        <v>68</v>
      </c>
      <c r="AB3426">
        <v>4</v>
      </c>
      <c r="AC3426" t="s">
        <v>61</v>
      </c>
      <c r="AJ3426" t="s">
        <v>69</v>
      </c>
      <c r="AY3426" t="s">
        <v>2334</v>
      </c>
      <c r="AZ3426">
        <v>18938</v>
      </c>
      <c r="BA3426" t="s">
        <v>2335</v>
      </c>
      <c r="BB3426" t="s">
        <v>2336</v>
      </c>
      <c r="BC3426">
        <v>1998</v>
      </c>
      <c r="BD3426" t="s">
        <v>90</v>
      </c>
    </row>
    <row r="3427" spans="1:56" x14ac:dyDescent="0.35">
      <c r="A3427">
        <v>7761888</v>
      </c>
      <c r="B3427" t="s">
        <v>2321</v>
      </c>
      <c r="D3427" t="s">
        <v>57</v>
      </c>
      <c r="E3427" t="s">
        <v>86</v>
      </c>
      <c r="F3427" t="s">
        <v>58</v>
      </c>
      <c r="G3427" t="s">
        <v>59</v>
      </c>
      <c r="H3427" t="s">
        <v>60</v>
      </c>
      <c r="J3427" t="s">
        <v>86</v>
      </c>
      <c r="L3427" t="s">
        <v>62</v>
      </c>
      <c r="M3427" t="s">
        <v>63</v>
      </c>
      <c r="N3427" t="s">
        <v>64</v>
      </c>
      <c r="P3427" t="s">
        <v>201</v>
      </c>
      <c r="R3427">
        <v>9.4000000000000004E-3</v>
      </c>
      <c r="T3427">
        <v>8.3999999999999995E-3</v>
      </c>
      <c r="V3427">
        <v>1.04E-2</v>
      </c>
      <c r="W3427" t="s">
        <v>66</v>
      </c>
      <c r="X3427" t="s">
        <v>67</v>
      </c>
      <c r="Y3427" t="s">
        <v>67</v>
      </c>
      <c r="Z3427" t="s">
        <v>68</v>
      </c>
      <c r="AB3427">
        <v>4</v>
      </c>
      <c r="AC3427" t="s">
        <v>61</v>
      </c>
      <c r="AJ3427" t="s">
        <v>69</v>
      </c>
      <c r="AY3427" t="s">
        <v>2349</v>
      </c>
      <c r="AZ3427">
        <v>10525</v>
      </c>
      <c r="BA3427" t="s">
        <v>2350</v>
      </c>
      <c r="BB3427" t="s">
        <v>2351</v>
      </c>
      <c r="BC3427">
        <v>1983</v>
      </c>
      <c r="BD3427" t="s">
        <v>90</v>
      </c>
    </row>
    <row r="3428" spans="1:56" x14ac:dyDescent="0.35">
      <c r="A3428">
        <v>7761888</v>
      </c>
      <c r="B3428" t="s">
        <v>2321</v>
      </c>
      <c r="C3428" t="s">
        <v>195</v>
      </c>
      <c r="D3428" t="s">
        <v>85</v>
      </c>
      <c r="E3428" t="s">
        <v>86</v>
      </c>
      <c r="F3428" t="s">
        <v>58</v>
      </c>
      <c r="G3428" t="s">
        <v>59</v>
      </c>
      <c r="H3428" t="s">
        <v>60</v>
      </c>
      <c r="I3428" t="s">
        <v>177</v>
      </c>
      <c r="J3428">
        <v>4</v>
      </c>
      <c r="K3428" t="s">
        <v>61</v>
      </c>
      <c r="L3428" t="s">
        <v>62</v>
      </c>
      <c r="M3428" t="s">
        <v>63</v>
      </c>
      <c r="N3428" t="s">
        <v>64</v>
      </c>
      <c r="O3428">
        <v>6</v>
      </c>
      <c r="P3428" t="s">
        <v>201</v>
      </c>
      <c r="R3428">
        <v>8.4600000000000005E-3</v>
      </c>
      <c r="T3428">
        <v>7.4999999999999997E-3</v>
      </c>
      <c r="V3428">
        <v>9.4000000000000004E-3</v>
      </c>
      <c r="W3428" t="s">
        <v>66</v>
      </c>
      <c r="X3428" t="s">
        <v>67</v>
      </c>
      <c r="Y3428" t="s">
        <v>67</v>
      </c>
      <c r="Z3428" t="s">
        <v>68</v>
      </c>
      <c r="AB3428">
        <v>4</v>
      </c>
      <c r="AC3428" t="s">
        <v>61</v>
      </c>
      <c r="AJ3428" t="s">
        <v>69</v>
      </c>
      <c r="AY3428" t="s">
        <v>2328</v>
      </c>
      <c r="AZ3428">
        <v>83754</v>
      </c>
      <c r="BA3428" t="s">
        <v>2329</v>
      </c>
      <c r="BB3428" t="s">
        <v>2330</v>
      </c>
      <c r="BC3428">
        <v>1996</v>
      </c>
      <c r="BD3428" t="s">
        <v>73</v>
      </c>
    </row>
    <row r="3429" spans="1:56" x14ac:dyDescent="0.35">
      <c r="A3429">
        <v>7761888</v>
      </c>
      <c r="B3429" t="s">
        <v>2321</v>
      </c>
      <c r="D3429" t="s">
        <v>85</v>
      </c>
      <c r="E3429" t="s">
        <v>86</v>
      </c>
      <c r="F3429" t="s">
        <v>58</v>
      </c>
      <c r="G3429" t="s">
        <v>59</v>
      </c>
      <c r="H3429" t="s">
        <v>60</v>
      </c>
      <c r="J3429" t="s">
        <v>86</v>
      </c>
      <c r="L3429" t="s">
        <v>190</v>
      </c>
      <c r="M3429" t="s">
        <v>63</v>
      </c>
      <c r="N3429" t="s">
        <v>64</v>
      </c>
      <c r="P3429" t="s">
        <v>1296</v>
      </c>
      <c r="R3429">
        <v>8.3999999999999995E-3</v>
      </c>
      <c r="W3429" t="s">
        <v>66</v>
      </c>
      <c r="X3429" t="s">
        <v>67</v>
      </c>
      <c r="Y3429" t="s">
        <v>67</v>
      </c>
      <c r="Z3429" t="s">
        <v>68</v>
      </c>
      <c r="AB3429">
        <v>4</v>
      </c>
      <c r="AC3429" t="s">
        <v>61</v>
      </c>
      <c r="AJ3429" t="s">
        <v>69</v>
      </c>
      <c r="AQ3429" t="s">
        <v>69</v>
      </c>
      <c r="AY3429" t="s">
        <v>2337</v>
      </c>
      <c r="AZ3429">
        <v>19262</v>
      </c>
      <c r="BA3429" t="s">
        <v>2338</v>
      </c>
      <c r="BB3429" t="s">
        <v>2339</v>
      </c>
      <c r="BC3429">
        <v>1999</v>
      </c>
      <c r="BD3429" t="s">
        <v>2352</v>
      </c>
    </row>
    <row r="3430" spans="1:56" x14ac:dyDescent="0.35">
      <c r="A3430">
        <v>7761888</v>
      </c>
      <c r="B3430" t="s">
        <v>2321</v>
      </c>
      <c r="D3430" t="s">
        <v>57</v>
      </c>
      <c r="E3430" t="s">
        <v>86</v>
      </c>
      <c r="F3430" t="s">
        <v>58</v>
      </c>
      <c r="G3430" t="s">
        <v>59</v>
      </c>
      <c r="H3430" t="s">
        <v>60</v>
      </c>
      <c r="J3430" t="s">
        <v>86</v>
      </c>
      <c r="L3430" t="s">
        <v>74</v>
      </c>
      <c r="M3430" t="s">
        <v>63</v>
      </c>
      <c r="N3430" t="s">
        <v>64</v>
      </c>
      <c r="P3430" t="s">
        <v>201</v>
      </c>
      <c r="R3430">
        <v>8.9999999999999993E-3</v>
      </c>
      <c r="T3430">
        <v>8.0000000000000002E-3</v>
      </c>
      <c r="V3430">
        <v>0.01</v>
      </c>
      <c r="W3430" t="s">
        <v>66</v>
      </c>
      <c r="X3430" t="s">
        <v>67</v>
      </c>
      <c r="Y3430" t="s">
        <v>67</v>
      </c>
      <c r="Z3430" t="s">
        <v>68</v>
      </c>
      <c r="AB3430">
        <v>4</v>
      </c>
      <c r="AC3430" t="s">
        <v>61</v>
      </c>
      <c r="AJ3430" t="s">
        <v>69</v>
      </c>
      <c r="AY3430" t="s">
        <v>144</v>
      </c>
      <c r="AZ3430">
        <v>12665</v>
      </c>
      <c r="BA3430" t="s">
        <v>145</v>
      </c>
      <c r="BB3430" t="s">
        <v>146</v>
      </c>
      <c r="BC3430">
        <v>1987</v>
      </c>
      <c r="BD3430" t="s">
        <v>90</v>
      </c>
    </row>
    <row r="3431" spans="1:56" x14ac:dyDescent="0.35">
      <c r="A3431">
        <v>7761888</v>
      </c>
      <c r="B3431" t="s">
        <v>2321</v>
      </c>
      <c r="C3431" t="s">
        <v>386</v>
      </c>
      <c r="D3431" t="s">
        <v>85</v>
      </c>
      <c r="E3431" t="s">
        <v>86</v>
      </c>
      <c r="F3431" t="s">
        <v>58</v>
      </c>
      <c r="G3431" t="s">
        <v>59</v>
      </c>
      <c r="H3431" t="s">
        <v>60</v>
      </c>
      <c r="J3431" t="s">
        <v>86</v>
      </c>
      <c r="L3431" t="s">
        <v>62</v>
      </c>
      <c r="M3431" t="s">
        <v>63</v>
      </c>
      <c r="N3431" t="s">
        <v>64</v>
      </c>
      <c r="O3431">
        <v>6</v>
      </c>
      <c r="P3431" t="s">
        <v>201</v>
      </c>
      <c r="R3431">
        <v>1.83E-2</v>
      </c>
      <c r="T3431">
        <v>1.12E-2</v>
      </c>
      <c r="V3431">
        <v>2.29E-2</v>
      </c>
      <c r="W3431" t="s">
        <v>66</v>
      </c>
      <c r="X3431" t="s">
        <v>67</v>
      </c>
      <c r="Y3431" t="s">
        <v>67</v>
      </c>
      <c r="Z3431" t="s">
        <v>68</v>
      </c>
      <c r="AB3431">
        <v>4</v>
      </c>
      <c r="AC3431" t="s">
        <v>61</v>
      </c>
      <c r="AJ3431" t="s">
        <v>69</v>
      </c>
      <c r="AY3431" t="s">
        <v>2344</v>
      </c>
      <c r="AZ3431">
        <v>18858</v>
      </c>
      <c r="BA3431" t="s">
        <v>2345</v>
      </c>
      <c r="BB3431" t="s">
        <v>2346</v>
      </c>
      <c r="BC3431">
        <v>1984</v>
      </c>
      <c r="BD3431" t="s">
        <v>90</v>
      </c>
    </row>
    <row r="3432" spans="1:56" x14ac:dyDescent="0.35">
      <c r="A3432">
        <v>7761888</v>
      </c>
      <c r="B3432" t="s">
        <v>2321</v>
      </c>
      <c r="C3432" t="s">
        <v>195</v>
      </c>
      <c r="D3432" t="s">
        <v>85</v>
      </c>
      <c r="E3432" t="s">
        <v>86</v>
      </c>
      <c r="F3432" t="s">
        <v>58</v>
      </c>
      <c r="G3432" t="s">
        <v>59</v>
      </c>
      <c r="H3432" t="s">
        <v>60</v>
      </c>
      <c r="I3432" t="s">
        <v>177</v>
      </c>
      <c r="J3432" t="s">
        <v>289</v>
      </c>
      <c r="K3432" t="s">
        <v>184</v>
      </c>
      <c r="L3432" t="s">
        <v>62</v>
      </c>
      <c r="M3432" t="s">
        <v>63</v>
      </c>
      <c r="N3432" t="s">
        <v>64</v>
      </c>
      <c r="P3432" t="s">
        <v>201</v>
      </c>
      <c r="R3432">
        <v>9.8200000000000006E-3</v>
      </c>
      <c r="T3432">
        <v>8.1700000000000002E-3</v>
      </c>
      <c r="V3432">
        <v>1.094E-2</v>
      </c>
      <c r="W3432" t="s">
        <v>66</v>
      </c>
      <c r="X3432" t="s">
        <v>67</v>
      </c>
      <c r="Y3432" t="s">
        <v>67</v>
      </c>
      <c r="Z3432" t="s">
        <v>68</v>
      </c>
      <c r="AB3432">
        <v>4</v>
      </c>
      <c r="AC3432" t="s">
        <v>61</v>
      </c>
      <c r="AJ3432" t="s">
        <v>69</v>
      </c>
      <c r="AY3432" t="s">
        <v>2325</v>
      </c>
      <c r="AZ3432">
        <v>19218</v>
      </c>
      <c r="BA3432" t="s">
        <v>2326</v>
      </c>
      <c r="BB3432" t="s">
        <v>2327</v>
      </c>
      <c r="BC3432">
        <v>1999</v>
      </c>
      <c r="BD3432" t="s">
        <v>185</v>
      </c>
    </row>
    <row r="3433" spans="1:56" x14ac:dyDescent="0.35">
      <c r="A3433">
        <v>7761888</v>
      </c>
      <c r="B3433" t="s">
        <v>2321</v>
      </c>
      <c r="C3433" t="s">
        <v>195</v>
      </c>
      <c r="D3433" t="s">
        <v>85</v>
      </c>
      <c r="E3433" t="s">
        <v>86</v>
      </c>
      <c r="F3433" t="s">
        <v>58</v>
      </c>
      <c r="G3433" t="s">
        <v>59</v>
      </c>
      <c r="H3433" t="s">
        <v>60</v>
      </c>
      <c r="I3433" t="s">
        <v>177</v>
      </c>
      <c r="J3433" t="s">
        <v>289</v>
      </c>
      <c r="K3433" t="s">
        <v>184</v>
      </c>
      <c r="L3433" t="s">
        <v>62</v>
      </c>
      <c r="M3433" t="s">
        <v>63</v>
      </c>
      <c r="N3433" t="s">
        <v>64</v>
      </c>
      <c r="P3433" t="s">
        <v>201</v>
      </c>
      <c r="R3433">
        <v>1.97E-3</v>
      </c>
      <c r="T3433">
        <v>1.81E-3</v>
      </c>
      <c r="V3433">
        <v>2.14E-3</v>
      </c>
      <c r="W3433" t="s">
        <v>66</v>
      </c>
      <c r="X3433" t="s">
        <v>67</v>
      </c>
      <c r="Y3433" t="s">
        <v>67</v>
      </c>
      <c r="Z3433" t="s">
        <v>68</v>
      </c>
      <c r="AB3433">
        <v>4</v>
      </c>
      <c r="AC3433" t="s">
        <v>61</v>
      </c>
      <c r="AJ3433" t="s">
        <v>69</v>
      </c>
      <c r="AY3433" t="s">
        <v>2325</v>
      </c>
      <c r="AZ3433">
        <v>19218</v>
      </c>
      <c r="BA3433" t="s">
        <v>2326</v>
      </c>
      <c r="BB3433" t="s">
        <v>2327</v>
      </c>
      <c r="BC3433">
        <v>1999</v>
      </c>
      <c r="BD3433" t="s">
        <v>185</v>
      </c>
    </row>
    <row r="3434" spans="1:56" x14ac:dyDescent="0.35">
      <c r="A3434">
        <v>7761888</v>
      </c>
      <c r="B3434" t="s">
        <v>2321</v>
      </c>
      <c r="D3434" t="s">
        <v>85</v>
      </c>
      <c r="E3434" t="s">
        <v>86</v>
      </c>
      <c r="F3434" t="s">
        <v>58</v>
      </c>
      <c r="G3434" t="s">
        <v>59</v>
      </c>
      <c r="H3434" t="s">
        <v>60</v>
      </c>
      <c r="J3434" t="s">
        <v>86</v>
      </c>
      <c r="L3434" t="s">
        <v>62</v>
      </c>
      <c r="M3434" t="s">
        <v>63</v>
      </c>
      <c r="N3434" t="s">
        <v>64</v>
      </c>
      <c r="O3434">
        <v>6</v>
      </c>
      <c r="P3434" t="s">
        <v>201</v>
      </c>
      <c r="R3434">
        <v>2.7E-2</v>
      </c>
      <c r="T3434">
        <v>2.4E-2</v>
      </c>
      <c r="V3434">
        <v>0.03</v>
      </c>
      <c r="W3434" t="s">
        <v>66</v>
      </c>
      <c r="X3434" t="s">
        <v>67</v>
      </c>
      <c r="Y3434" t="s">
        <v>67</v>
      </c>
      <c r="Z3434" t="s">
        <v>68</v>
      </c>
      <c r="AB3434">
        <v>4</v>
      </c>
      <c r="AC3434" t="s">
        <v>61</v>
      </c>
      <c r="AJ3434" t="s">
        <v>69</v>
      </c>
      <c r="AY3434" t="s">
        <v>2127</v>
      </c>
      <c r="AZ3434">
        <v>150469</v>
      </c>
      <c r="BA3434" t="s">
        <v>2128</v>
      </c>
      <c r="BB3434" t="s">
        <v>2129</v>
      </c>
      <c r="BC3434">
        <v>1986</v>
      </c>
      <c r="BD3434" t="s">
        <v>90</v>
      </c>
    </row>
    <row r="3435" spans="1:56" x14ac:dyDescent="0.35">
      <c r="A3435">
        <v>7761888</v>
      </c>
      <c r="B3435" t="s">
        <v>2321</v>
      </c>
      <c r="C3435" t="s">
        <v>195</v>
      </c>
      <c r="D3435" t="s">
        <v>85</v>
      </c>
      <c r="E3435" t="s">
        <v>86</v>
      </c>
      <c r="F3435" t="s">
        <v>58</v>
      </c>
      <c r="G3435" t="s">
        <v>59</v>
      </c>
      <c r="H3435" t="s">
        <v>60</v>
      </c>
      <c r="I3435" t="s">
        <v>177</v>
      </c>
      <c r="J3435" t="s">
        <v>289</v>
      </c>
      <c r="K3435" t="s">
        <v>184</v>
      </c>
      <c r="L3435" t="s">
        <v>62</v>
      </c>
      <c r="M3435" t="s">
        <v>63</v>
      </c>
      <c r="N3435" t="s">
        <v>64</v>
      </c>
      <c r="P3435" t="s">
        <v>201</v>
      </c>
      <c r="R3435">
        <v>8.9800000000000001E-3</v>
      </c>
      <c r="T3435">
        <v>8.1899999999999994E-3</v>
      </c>
      <c r="V3435">
        <v>9.7599999999999996E-3</v>
      </c>
      <c r="W3435" t="s">
        <v>66</v>
      </c>
      <c r="X3435" t="s">
        <v>67</v>
      </c>
      <c r="Y3435" t="s">
        <v>67</v>
      </c>
      <c r="Z3435" t="s">
        <v>68</v>
      </c>
      <c r="AB3435">
        <v>4</v>
      </c>
      <c r="AC3435" t="s">
        <v>61</v>
      </c>
      <c r="AJ3435" t="s">
        <v>69</v>
      </c>
      <c r="AY3435" t="s">
        <v>2325</v>
      </c>
      <c r="AZ3435">
        <v>19218</v>
      </c>
      <c r="BA3435" t="s">
        <v>2326</v>
      </c>
      <c r="BB3435" t="s">
        <v>2327</v>
      </c>
      <c r="BC3435">
        <v>1999</v>
      </c>
      <c r="BD3435" t="s">
        <v>185</v>
      </c>
    </row>
    <row r="3436" spans="1:56" x14ac:dyDescent="0.35">
      <c r="A3436">
        <v>7761888</v>
      </c>
      <c r="B3436" t="s">
        <v>2321</v>
      </c>
      <c r="D3436" t="s">
        <v>57</v>
      </c>
      <c r="E3436" t="s">
        <v>86</v>
      </c>
      <c r="F3436" t="s">
        <v>58</v>
      </c>
      <c r="G3436" t="s">
        <v>59</v>
      </c>
      <c r="H3436" t="s">
        <v>60</v>
      </c>
      <c r="I3436" t="s">
        <v>188</v>
      </c>
      <c r="J3436" t="s">
        <v>289</v>
      </c>
      <c r="K3436" t="s">
        <v>184</v>
      </c>
      <c r="L3436" t="s">
        <v>190</v>
      </c>
      <c r="M3436" t="s">
        <v>63</v>
      </c>
      <c r="N3436" t="s">
        <v>64</v>
      </c>
      <c r="O3436">
        <v>6</v>
      </c>
      <c r="P3436" t="s">
        <v>201</v>
      </c>
      <c r="R3436">
        <v>6.1999999999999998E-3</v>
      </c>
      <c r="W3436" t="s">
        <v>66</v>
      </c>
      <c r="X3436" t="s">
        <v>67</v>
      </c>
      <c r="Y3436" t="s">
        <v>67</v>
      </c>
      <c r="Z3436" t="s">
        <v>68</v>
      </c>
      <c r="AB3436">
        <v>4</v>
      </c>
      <c r="AC3436" t="s">
        <v>61</v>
      </c>
      <c r="AJ3436" t="s">
        <v>69</v>
      </c>
      <c r="AY3436" t="s">
        <v>2322</v>
      </c>
      <c r="AZ3436">
        <v>71734</v>
      </c>
      <c r="BA3436" t="s">
        <v>2323</v>
      </c>
      <c r="BB3436" t="s">
        <v>2324</v>
      </c>
      <c r="BC3436">
        <v>2003</v>
      </c>
      <c r="BD3436" t="s">
        <v>185</v>
      </c>
    </row>
    <row r="3437" spans="1:56" x14ac:dyDescent="0.35">
      <c r="A3437">
        <v>7761888</v>
      </c>
      <c r="B3437" t="s">
        <v>2321</v>
      </c>
      <c r="D3437" t="s">
        <v>57</v>
      </c>
      <c r="E3437" t="s">
        <v>86</v>
      </c>
      <c r="F3437" t="s">
        <v>58</v>
      </c>
      <c r="G3437" t="s">
        <v>59</v>
      </c>
      <c r="H3437" t="s">
        <v>60</v>
      </c>
      <c r="I3437" t="s">
        <v>188</v>
      </c>
      <c r="J3437" t="s">
        <v>289</v>
      </c>
      <c r="K3437" t="s">
        <v>184</v>
      </c>
      <c r="L3437" t="s">
        <v>190</v>
      </c>
      <c r="M3437" t="s">
        <v>63</v>
      </c>
      <c r="N3437" t="s">
        <v>64</v>
      </c>
      <c r="O3437">
        <v>6</v>
      </c>
      <c r="P3437" t="s">
        <v>201</v>
      </c>
      <c r="R3437">
        <v>7.6E-3</v>
      </c>
      <c r="W3437" t="s">
        <v>66</v>
      </c>
      <c r="X3437" t="s">
        <v>67</v>
      </c>
      <c r="Y3437" t="s">
        <v>67</v>
      </c>
      <c r="Z3437" t="s">
        <v>68</v>
      </c>
      <c r="AB3437">
        <v>4</v>
      </c>
      <c r="AC3437" t="s">
        <v>61</v>
      </c>
      <c r="AJ3437" t="s">
        <v>69</v>
      </c>
      <c r="AY3437" t="s">
        <v>2322</v>
      </c>
      <c r="AZ3437">
        <v>71734</v>
      </c>
      <c r="BA3437" t="s">
        <v>2323</v>
      </c>
      <c r="BB3437" t="s">
        <v>2324</v>
      </c>
      <c r="BC3437">
        <v>2003</v>
      </c>
      <c r="BD3437" t="s">
        <v>185</v>
      </c>
    </row>
    <row r="3438" spans="1:56" x14ac:dyDescent="0.35">
      <c r="A3438">
        <v>7761888</v>
      </c>
      <c r="B3438" t="s">
        <v>2321</v>
      </c>
      <c r="C3438" t="s">
        <v>195</v>
      </c>
      <c r="D3438" t="s">
        <v>85</v>
      </c>
      <c r="E3438" t="s">
        <v>86</v>
      </c>
      <c r="F3438" t="s">
        <v>58</v>
      </c>
      <c r="G3438" t="s">
        <v>59</v>
      </c>
      <c r="H3438" t="s">
        <v>60</v>
      </c>
      <c r="I3438" t="s">
        <v>177</v>
      </c>
      <c r="J3438">
        <v>4</v>
      </c>
      <c r="K3438" t="s">
        <v>61</v>
      </c>
      <c r="L3438" t="s">
        <v>62</v>
      </c>
      <c r="M3438" t="s">
        <v>63</v>
      </c>
      <c r="N3438" t="s">
        <v>64</v>
      </c>
      <c r="O3438">
        <v>6</v>
      </c>
      <c r="P3438" t="s">
        <v>201</v>
      </c>
      <c r="R3438">
        <v>2.3E-3</v>
      </c>
      <c r="T3438">
        <v>2.0999999999999999E-3</v>
      </c>
      <c r="V3438">
        <v>3.5000000000000001E-3</v>
      </c>
      <c r="W3438" t="s">
        <v>66</v>
      </c>
      <c r="X3438" t="s">
        <v>67</v>
      </c>
      <c r="Y3438" t="s">
        <v>67</v>
      </c>
      <c r="Z3438" t="s">
        <v>68</v>
      </c>
      <c r="AB3438">
        <v>4</v>
      </c>
      <c r="AC3438" t="s">
        <v>61</v>
      </c>
      <c r="AJ3438" t="s">
        <v>69</v>
      </c>
      <c r="AY3438" t="s">
        <v>2328</v>
      </c>
      <c r="AZ3438">
        <v>83754</v>
      </c>
      <c r="BA3438" t="s">
        <v>2329</v>
      </c>
      <c r="BB3438" t="s">
        <v>2330</v>
      </c>
      <c r="BC3438">
        <v>1996</v>
      </c>
      <c r="BD3438" t="s">
        <v>73</v>
      </c>
    </row>
    <row r="3439" spans="1:56" x14ac:dyDescent="0.35">
      <c r="A3439">
        <v>7761888</v>
      </c>
      <c r="B3439" t="s">
        <v>2321</v>
      </c>
      <c r="D3439" t="s">
        <v>57</v>
      </c>
      <c r="E3439">
        <v>99.7</v>
      </c>
      <c r="F3439" t="s">
        <v>58</v>
      </c>
      <c r="G3439" t="s">
        <v>59</v>
      </c>
      <c r="H3439" t="s">
        <v>60</v>
      </c>
      <c r="I3439" t="s">
        <v>129</v>
      </c>
      <c r="J3439" t="s">
        <v>86</v>
      </c>
      <c r="L3439" t="s">
        <v>62</v>
      </c>
      <c r="M3439" t="s">
        <v>63</v>
      </c>
      <c r="N3439" t="s">
        <v>64</v>
      </c>
      <c r="P3439" t="s">
        <v>201</v>
      </c>
      <c r="R3439">
        <v>1.04E-2</v>
      </c>
      <c r="T3439">
        <v>8.6E-3</v>
      </c>
      <c r="V3439">
        <v>1.2500000000000001E-2</v>
      </c>
      <c r="W3439" t="s">
        <v>66</v>
      </c>
      <c r="X3439" t="s">
        <v>67</v>
      </c>
      <c r="Y3439" t="s">
        <v>67</v>
      </c>
      <c r="Z3439" t="s">
        <v>68</v>
      </c>
      <c r="AB3439">
        <v>4</v>
      </c>
      <c r="AC3439" t="s">
        <v>61</v>
      </c>
      <c r="AJ3439" t="s">
        <v>69</v>
      </c>
      <c r="AY3439" t="s">
        <v>2334</v>
      </c>
      <c r="AZ3439">
        <v>18938</v>
      </c>
      <c r="BA3439" t="s">
        <v>2335</v>
      </c>
      <c r="BB3439" t="s">
        <v>2336</v>
      </c>
      <c r="BC3439">
        <v>1998</v>
      </c>
      <c r="BD3439" t="s">
        <v>90</v>
      </c>
    </row>
    <row r="3440" spans="1:56" x14ac:dyDescent="0.35">
      <c r="A3440">
        <v>7761888</v>
      </c>
      <c r="B3440" t="s">
        <v>2321</v>
      </c>
      <c r="C3440" t="s">
        <v>386</v>
      </c>
      <c r="D3440" t="s">
        <v>85</v>
      </c>
      <c r="E3440" t="s">
        <v>86</v>
      </c>
      <c r="F3440" t="s">
        <v>58</v>
      </c>
      <c r="G3440" t="s">
        <v>59</v>
      </c>
      <c r="H3440" t="s">
        <v>60</v>
      </c>
      <c r="J3440" t="s">
        <v>86</v>
      </c>
      <c r="L3440" t="s">
        <v>62</v>
      </c>
      <c r="M3440" t="s">
        <v>63</v>
      </c>
      <c r="N3440" t="s">
        <v>64</v>
      </c>
      <c r="O3440">
        <v>6</v>
      </c>
      <c r="P3440" t="s">
        <v>201</v>
      </c>
      <c r="R3440">
        <v>4.2599999999999999E-2</v>
      </c>
      <c r="T3440">
        <v>3.5400000000000001E-2</v>
      </c>
      <c r="V3440">
        <v>6.3799999999999996E-2</v>
      </c>
      <c r="W3440" t="s">
        <v>66</v>
      </c>
      <c r="X3440" t="s">
        <v>67</v>
      </c>
      <c r="Y3440" t="s">
        <v>67</v>
      </c>
      <c r="Z3440" t="s">
        <v>68</v>
      </c>
      <c r="AB3440">
        <v>4</v>
      </c>
      <c r="AC3440" t="s">
        <v>61</v>
      </c>
      <c r="AJ3440" t="s">
        <v>69</v>
      </c>
      <c r="AY3440" t="s">
        <v>2344</v>
      </c>
      <c r="AZ3440">
        <v>18858</v>
      </c>
      <c r="BA3440" t="s">
        <v>2345</v>
      </c>
      <c r="BB3440" t="s">
        <v>2346</v>
      </c>
      <c r="BC3440">
        <v>1984</v>
      </c>
      <c r="BD3440" t="s">
        <v>90</v>
      </c>
    </row>
    <row r="3441" spans="1:56" x14ac:dyDescent="0.35">
      <c r="A3441">
        <v>7761888</v>
      </c>
      <c r="B3441" t="s">
        <v>2321</v>
      </c>
      <c r="C3441" t="s">
        <v>195</v>
      </c>
      <c r="D3441" t="s">
        <v>85</v>
      </c>
      <c r="E3441" t="s">
        <v>86</v>
      </c>
      <c r="F3441" t="s">
        <v>58</v>
      </c>
      <c r="G3441" t="s">
        <v>59</v>
      </c>
      <c r="H3441" t="s">
        <v>60</v>
      </c>
      <c r="I3441" t="s">
        <v>177</v>
      </c>
      <c r="J3441" t="s">
        <v>289</v>
      </c>
      <c r="K3441" t="s">
        <v>184</v>
      </c>
      <c r="L3441" t="s">
        <v>62</v>
      </c>
      <c r="M3441" t="s">
        <v>63</v>
      </c>
      <c r="N3441" t="s">
        <v>64</v>
      </c>
      <c r="P3441" t="s">
        <v>201</v>
      </c>
      <c r="R3441">
        <v>2.7899999999999999E-3</v>
      </c>
      <c r="T3441">
        <v>2.5100000000000001E-3</v>
      </c>
      <c r="V3441">
        <v>3.0799999999999998E-3</v>
      </c>
      <c r="W3441" t="s">
        <v>66</v>
      </c>
      <c r="X3441" t="s">
        <v>67</v>
      </c>
      <c r="Y3441" t="s">
        <v>67</v>
      </c>
      <c r="Z3441" t="s">
        <v>68</v>
      </c>
      <c r="AB3441">
        <v>4</v>
      </c>
      <c r="AC3441" t="s">
        <v>61</v>
      </c>
      <c r="AJ3441" t="s">
        <v>69</v>
      </c>
      <c r="AY3441" t="s">
        <v>2325</v>
      </c>
      <c r="AZ3441">
        <v>19218</v>
      </c>
      <c r="BA3441" t="s">
        <v>2326</v>
      </c>
      <c r="BB3441" t="s">
        <v>2327</v>
      </c>
      <c r="BC3441">
        <v>1999</v>
      </c>
      <c r="BD3441" t="s">
        <v>185</v>
      </c>
    </row>
    <row r="3442" spans="1:56" x14ac:dyDescent="0.35">
      <c r="A3442">
        <v>7761888</v>
      </c>
      <c r="B3442" t="s">
        <v>2321</v>
      </c>
      <c r="D3442" t="s">
        <v>57</v>
      </c>
      <c r="E3442" t="s">
        <v>86</v>
      </c>
      <c r="F3442" t="s">
        <v>58</v>
      </c>
      <c r="G3442" t="s">
        <v>59</v>
      </c>
      <c r="H3442" t="s">
        <v>60</v>
      </c>
      <c r="J3442" t="s">
        <v>86</v>
      </c>
      <c r="L3442" t="s">
        <v>62</v>
      </c>
      <c r="M3442" t="s">
        <v>63</v>
      </c>
      <c r="N3442" t="s">
        <v>64</v>
      </c>
      <c r="P3442" t="s">
        <v>201</v>
      </c>
      <c r="R3442">
        <v>9.7400000000000004E-3</v>
      </c>
      <c r="T3442">
        <v>8.4899999999999993E-3</v>
      </c>
      <c r="V3442">
        <v>1.119E-2</v>
      </c>
      <c r="W3442" t="s">
        <v>66</v>
      </c>
      <c r="X3442" t="s">
        <v>67</v>
      </c>
      <c r="Y3442" t="s">
        <v>67</v>
      </c>
      <c r="Z3442" t="s">
        <v>68</v>
      </c>
      <c r="AB3442">
        <v>4</v>
      </c>
      <c r="AC3442" t="s">
        <v>61</v>
      </c>
      <c r="AJ3442" t="s">
        <v>69</v>
      </c>
      <c r="AY3442" t="s">
        <v>771</v>
      </c>
      <c r="AZ3442">
        <v>9479</v>
      </c>
      <c r="BA3442" t="s">
        <v>1117</v>
      </c>
      <c r="BB3442" t="s">
        <v>1118</v>
      </c>
      <c r="BC3442">
        <v>1981</v>
      </c>
      <c r="BD3442" t="s">
        <v>90</v>
      </c>
    </row>
    <row r="3443" spans="1:56" x14ac:dyDescent="0.35">
      <c r="A3443">
        <v>7761888</v>
      </c>
      <c r="B3443" t="s">
        <v>2321</v>
      </c>
      <c r="D3443" t="s">
        <v>57</v>
      </c>
      <c r="E3443" t="s">
        <v>86</v>
      </c>
      <c r="F3443" t="s">
        <v>58</v>
      </c>
      <c r="G3443" t="s">
        <v>59</v>
      </c>
      <c r="H3443" t="s">
        <v>60</v>
      </c>
      <c r="I3443" t="s">
        <v>188</v>
      </c>
      <c r="J3443" t="s">
        <v>289</v>
      </c>
      <c r="K3443" t="s">
        <v>184</v>
      </c>
      <c r="L3443" t="s">
        <v>190</v>
      </c>
      <c r="M3443" t="s">
        <v>63</v>
      </c>
      <c r="N3443" t="s">
        <v>64</v>
      </c>
      <c r="O3443">
        <v>6</v>
      </c>
      <c r="P3443" t="s">
        <v>201</v>
      </c>
      <c r="R3443">
        <v>3.2899999999999999E-2</v>
      </c>
      <c r="W3443" t="s">
        <v>66</v>
      </c>
      <c r="X3443" t="s">
        <v>67</v>
      </c>
      <c r="Y3443" t="s">
        <v>67</v>
      </c>
      <c r="Z3443" t="s">
        <v>68</v>
      </c>
      <c r="AB3443">
        <v>4</v>
      </c>
      <c r="AC3443" t="s">
        <v>61</v>
      </c>
      <c r="AJ3443" t="s">
        <v>69</v>
      </c>
      <c r="AY3443" t="s">
        <v>2322</v>
      </c>
      <c r="AZ3443">
        <v>71734</v>
      </c>
      <c r="BA3443" t="s">
        <v>2323</v>
      </c>
      <c r="BB3443" t="s">
        <v>2324</v>
      </c>
      <c r="BC3443">
        <v>2003</v>
      </c>
      <c r="BD3443" t="s">
        <v>185</v>
      </c>
    </row>
    <row r="3444" spans="1:56" x14ac:dyDescent="0.35">
      <c r="A3444">
        <v>7761888</v>
      </c>
      <c r="B3444" t="s">
        <v>2321</v>
      </c>
      <c r="C3444" t="s">
        <v>195</v>
      </c>
      <c r="D3444" t="s">
        <v>85</v>
      </c>
      <c r="E3444" t="s">
        <v>86</v>
      </c>
      <c r="F3444" t="s">
        <v>58</v>
      </c>
      <c r="G3444" t="s">
        <v>59</v>
      </c>
      <c r="H3444" t="s">
        <v>60</v>
      </c>
      <c r="I3444" t="s">
        <v>177</v>
      </c>
      <c r="J3444" t="s">
        <v>289</v>
      </c>
      <c r="K3444" t="s">
        <v>184</v>
      </c>
      <c r="L3444" t="s">
        <v>62</v>
      </c>
      <c r="M3444" t="s">
        <v>63</v>
      </c>
      <c r="N3444" t="s">
        <v>64</v>
      </c>
      <c r="P3444" t="s">
        <v>201</v>
      </c>
      <c r="R3444">
        <v>8.4399999999999996E-3</v>
      </c>
      <c r="T3444">
        <v>7.7400000000000004E-3</v>
      </c>
      <c r="V3444">
        <v>9.1500000000000001E-3</v>
      </c>
      <c r="W3444" t="s">
        <v>66</v>
      </c>
      <c r="X3444" t="s">
        <v>67</v>
      </c>
      <c r="Y3444" t="s">
        <v>67</v>
      </c>
      <c r="Z3444" t="s">
        <v>68</v>
      </c>
      <c r="AB3444">
        <v>4</v>
      </c>
      <c r="AC3444" t="s">
        <v>61</v>
      </c>
      <c r="AJ3444" t="s">
        <v>69</v>
      </c>
      <c r="AY3444" t="s">
        <v>2325</v>
      </c>
      <c r="AZ3444">
        <v>19218</v>
      </c>
      <c r="BA3444" t="s">
        <v>2326</v>
      </c>
      <c r="BB3444" t="s">
        <v>2327</v>
      </c>
      <c r="BC3444">
        <v>1999</v>
      </c>
      <c r="BD3444" t="s">
        <v>185</v>
      </c>
    </row>
    <row r="3445" spans="1:56" x14ac:dyDescent="0.35">
      <c r="A3445">
        <v>7761888</v>
      </c>
      <c r="B3445" t="s">
        <v>2321</v>
      </c>
      <c r="C3445" t="s">
        <v>195</v>
      </c>
      <c r="D3445" t="s">
        <v>85</v>
      </c>
      <c r="E3445" t="s">
        <v>86</v>
      </c>
      <c r="F3445" t="s">
        <v>58</v>
      </c>
      <c r="G3445" t="s">
        <v>59</v>
      </c>
      <c r="H3445" t="s">
        <v>60</v>
      </c>
      <c r="I3445" t="s">
        <v>177</v>
      </c>
      <c r="J3445">
        <v>4</v>
      </c>
      <c r="K3445" t="s">
        <v>61</v>
      </c>
      <c r="L3445" t="s">
        <v>62</v>
      </c>
      <c r="M3445" t="s">
        <v>63</v>
      </c>
      <c r="N3445" t="s">
        <v>64</v>
      </c>
      <c r="O3445">
        <v>6</v>
      </c>
      <c r="P3445" t="s">
        <v>201</v>
      </c>
      <c r="R3445">
        <v>8.8999999999999999E-3</v>
      </c>
      <c r="T3445">
        <v>8.0999999999999996E-3</v>
      </c>
      <c r="V3445">
        <v>9.7000000000000003E-3</v>
      </c>
      <c r="W3445" t="s">
        <v>66</v>
      </c>
      <c r="X3445" t="s">
        <v>67</v>
      </c>
      <c r="Y3445" t="s">
        <v>67</v>
      </c>
      <c r="Z3445" t="s">
        <v>68</v>
      </c>
      <c r="AB3445">
        <v>4</v>
      </c>
      <c r="AC3445" t="s">
        <v>61</v>
      </c>
      <c r="AJ3445" t="s">
        <v>69</v>
      </c>
      <c r="AY3445" t="s">
        <v>2328</v>
      </c>
      <c r="AZ3445">
        <v>83754</v>
      </c>
      <c r="BA3445" t="s">
        <v>2329</v>
      </c>
      <c r="BB3445" t="s">
        <v>2330</v>
      </c>
      <c r="BC3445">
        <v>1996</v>
      </c>
      <c r="BD3445" t="s">
        <v>73</v>
      </c>
    </row>
    <row r="3446" spans="1:56" x14ac:dyDescent="0.35">
      <c r="A3446">
        <v>7761888</v>
      </c>
      <c r="B3446" t="s">
        <v>2321</v>
      </c>
      <c r="C3446" t="s">
        <v>195</v>
      </c>
      <c r="D3446" t="s">
        <v>85</v>
      </c>
      <c r="E3446" t="s">
        <v>86</v>
      </c>
      <c r="F3446" t="s">
        <v>58</v>
      </c>
      <c r="G3446" t="s">
        <v>59</v>
      </c>
      <c r="H3446" t="s">
        <v>60</v>
      </c>
      <c r="I3446" t="s">
        <v>177</v>
      </c>
      <c r="J3446" t="s">
        <v>289</v>
      </c>
      <c r="K3446" t="s">
        <v>184</v>
      </c>
      <c r="L3446" t="s">
        <v>62</v>
      </c>
      <c r="M3446" t="s">
        <v>63</v>
      </c>
      <c r="N3446" t="s">
        <v>64</v>
      </c>
      <c r="P3446" t="s">
        <v>201</v>
      </c>
      <c r="R3446">
        <v>1.0189999999999999E-2</v>
      </c>
      <c r="T3446">
        <v>9.11E-3</v>
      </c>
      <c r="V3446">
        <v>1.141E-2</v>
      </c>
      <c r="W3446" t="s">
        <v>66</v>
      </c>
      <c r="X3446" t="s">
        <v>67</v>
      </c>
      <c r="Y3446" t="s">
        <v>67</v>
      </c>
      <c r="Z3446" t="s">
        <v>68</v>
      </c>
      <c r="AB3446">
        <v>4</v>
      </c>
      <c r="AC3446" t="s">
        <v>61</v>
      </c>
      <c r="AJ3446" t="s">
        <v>69</v>
      </c>
      <c r="AY3446" t="s">
        <v>2325</v>
      </c>
      <c r="AZ3446">
        <v>19218</v>
      </c>
      <c r="BA3446" t="s">
        <v>2326</v>
      </c>
      <c r="BB3446" t="s">
        <v>2327</v>
      </c>
      <c r="BC3446">
        <v>1999</v>
      </c>
      <c r="BD3446" t="s">
        <v>185</v>
      </c>
    </row>
    <row r="3447" spans="1:56" x14ac:dyDescent="0.35">
      <c r="A3447">
        <v>7761888</v>
      </c>
      <c r="B3447" t="s">
        <v>2321</v>
      </c>
      <c r="C3447" t="s">
        <v>195</v>
      </c>
      <c r="D3447" t="s">
        <v>85</v>
      </c>
      <c r="E3447" t="s">
        <v>86</v>
      </c>
      <c r="F3447" t="s">
        <v>58</v>
      </c>
      <c r="G3447" t="s">
        <v>59</v>
      </c>
      <c r="H3447" t="s">
        <v>60</v>
      </c>
      <c r="I3447" t="s">
        <v>177</v>
      </c>
      <c r="J3447" t="s">
        <v>289</v>
      </c>
      <c r="K3447" t="s">
        <v>184</v>
      </c>
      <c r="L3447" t="s">
        <v>62</v>
      </c>
      <c r="M3447" t="s">
        <v>63</v>
      </c>
      <c r="N3447" t="s">
        <v>64</v>
      </c>
      <c r="P3447" t="s">
        <v>201</v>
      </c>
      <c r="R3447">
        <v>5.3899999999999998E-3</v>
      </c>
      <c r="T3447">
        <v>4.9199999999999999E-3</v>
      </c>
      <c r="V3447">
        <v>5.8500000000000002E-3</v>
      </c>
      <c r="W3447" t="s">
        <v>66</v>
      </c>
      <c r="X3447" t="s">
        <v>67</v>
      </c>
      <c r="Y3447" t="s">
        <v>67</v>
      </c>
      <c r="Z3447" t="s">
        <v>68</v>
      </c>
      <c r="AB3447">
        <v>4</v>
      </c>
      <c r="AC3447" t="s">
        <v>61</v>
      </c>
      <c r="AJ3447" t="s">
        <v>69</v>
      </c>
      <c r="AY3447" t="s">
        <v>2325</v>
      </c>
      <c r="AZ3447">
        <v>19218</v>
      </c>
      <c r="BA3447" t="s">
        <v>2326</v>
      </c>
      <c r="BB3447" t="s">
        <v>2327</v>
      </c>
      <c r="BC3447">
        <v>1999</v>
      </c>
      <c r="BD3447" t="s">
        <v>185</v>
      </c>
    </row>
    <row r="3448" spans="1:56" x14ac:dyDescent="0.35">
      <c r="A3448">
        <v>7761888</v>
      </c>
      <c r="B3448" t="s">
        <v>2321</v>
      </c>
      <c r="D3448" t="s">
        <v>57</v>
      </c>
      <c r="E3448" t="s">
        <v>86</v>
      </c>
      <c r="F3448" t="s">
        <v>58</v>
      </c>
      <c r="G3448" t="s">
        <v>59</v>
      </c>
      <c r="H3448" t="s">
        <v>60</v>
      </c>
      <c r="J3448" t="s">
        <v>86</v>
      </c>
      <c r="L3448" t="s">
        <v>74</v>
      </c>
      <c r="M3448" t="s">
        <v>63</v>
      </c>
      <c r="N3448" t="s">
        <v>64</v>
      </c>
      <c r="P3448" t="s">
        <v>201</v>
      </c>
      <c r="R3448">
        <v>7.4000000000000003E-3</v>
      </c>
      <c r="T3448">
        <v>7.1999999999999998E-3</v>
      </c>
      <c r="V3448">
        <v>1.11E-2</v>
      </c>
      <c r="W3448" t="s">
        <v>66</v>
      </c>
      <c r="X3448" t="s">
        <v>67</v>
      </c>
      <c r="Y3448" t="s">
        <v>67</v>
      </c>
      <c r="Z3448" t="s">
        <v>68</v>
      </c>
      <c r="AB3448">
        <v>4</v>
      </c>
      <c r="AC3448" t="s">
        <v>61</v>
      </c>
      <c r="AJ3448" t="s">
        <v>69</v>
      </c>
      <c r="AY3448" t="s">
        <v>2349</v>
      </c>
      <c r="AZ3448">
        <v>10525</v>
      </c>
      <c r="BA3448" t="s">
        <v>2350</v>
      </c>
      <c r="BB3448" t="s">
        <v>2351</v>
      </c>
      <c r="BC3448">
        <v>1983</v>
      </c>
      <c r="BD3448" t="s">
        <v>90</v>
      </c>
    </row>
    <row r="3449" spans="1:56" x14ac:dyDescent="0.35">
      <c r="A3449">
        <v>7761888</v>
      </c>
      <c r="B3449" t="s">
        <v>2321</v>
      </c>
      <c r="C3449" t="s">
        <v>195</v>
      </c>
      <c r="D3449" t="s">
        <v>85</v>
      </c>
      <c r="E3449" t="s">
        <v>86</v>
      </c>
      <c r="F3449" t="s">
        <v>58</v>
      </c>
      <c r="G3449" t="s">
        <v>59</v>
      </c>
      <c r="H3449" t="s">
        <v>60</v>
      </c>
      <c r="I3449" t="s">
        <v>177</v>
      </c>
      <c r="J3449" t="s">
        <v>289</v>
      </c>
      <c r="K3449" t="s">
        <v>184</v>
      </c>
      <c r="L3449" t="s">
        <v>62</v>
      </c>
      <c r="M3449" t="s">
        <v>63</v>
      </c>
      <c r="N3449" t="s">
        <v>64</v>
      </c>
      <c r="P3449" t="s">
        <v>201</v>
      </c>
      <c r="R3449">
        <v>5.4999999999999997E-3</v>
      </c>
      <c r="T3449">
        <v>5.1700000000000001E-3</v>
      </c>
      <c r="V3449">
        <v>5.8399999999999997E-3</v>
      </c>
      <c r="W3449" t="s">
        <v>66</v>
      </c>
      <c r="X3449" t="s">
        <v>67</v>
      </c>
      <c r="Y3449" t="s">
        <v>67</v>
      </c>
      <c r="Z3449" t="s">
        <v>68</v>
      </c>
      <c r="AB3449">
        <v>4</v>
      </c>
      <c r="AC3449" t="s">
        <v>61</v>
      </c>
      <c r="AJ3449" t="s">
        <v>69</v>
      </c>
      <c r="AY3449" t="s">
        <v>2325</v>
      </c>
      <c r="AZ3449">
        <v>19218</v>
      </c>
      <c r="BA3449" t="s">
        <v>2326</v>
      </c>
      <c r="BB3449" t="s">
        <v>2327</v>
      </c>
      <c r="BC3449">
        <v>1999</v>
      </c>
      <c r="BD3449" t="s">
        <v>185</v>
      </c>
    </row>
    <row r="3450" spans="1:56" x14ac:dyDescent="0.35">
      <c r="A3450">
        <v>7761888</v>
      </c>
      <c r="B3450" t="s">
        <v>2321</v>
      </c>
      <c r="D3450" t="s">
        <v>57</v>
      </c>
      <c r="E3450" t="s">
        <v>86</v>
      </c>
      <c r="F3450" t="s">
        <v>58</v>
      </c>
      <c r="G3450" t="s">
        <v>59</v>
      </c>
      <c r="H3450" t="s">
        <v>60</v>
      </c>
      <c r="J3450" t="s">
        <v>86</v>
      </c>
      <c r="L3450" t="s">
        <v>74</v>
      </c>
      <c r="M3450" t="s">
        <v>63</v>
      </c>
      <c r="N3450" t="s">
        <v>64</v>
      </c>
      <c r="P3450" t="s">
        <v>201</v>
      </c>
      <c r="R3450">
        <v>1.6E-2</v>
      </c>
      <c r="T3450">
        <v>1.2E-2</v>
      </c>
      <c r="V3450">
        <v>0.02</v>
      </c>
      <c r="W3450" t="s">
        <v>66</v>
      </c>
      <c r="X3450" t="s">
        <v>67</v>
      </c>
      <c r="Y3450" t="s">
        <v>67</v>
      </c>
      <c r="Z3450" t="s">
        <v>68</v>
      </c>
      <c r="AB3450">
        <v>4</v>
      </c>
      <c r="AC3450" t="s">
        <v>61</v>
      </c>
      <c r="AJ3450" t="s">
        <v>69</v>
      </c>
      <c r="AY3450" t="s">
        <v>2353</v>
      </c>
      <c r="AZ3450">
        <v>10538</v>
      </c>
      <c r="BA3450" t="s">
        <v>2354</v>
      </c>
      <c r="BB3450" t="s">
        <v>2355</v>
      </c>
      <c r="BC3450">
        <v>1984</v>
      </c>
      <c r="BD3450" t="s">
        <v>90</v>
      </c>
    </row>
    <row r="3451" spans="1:56" x14ac:dyDescent="0.35">
      <c r="A3451">
        <v>7761888</v>
      </c>
      <c r="B3451" t="s">
        <v>2321</v>
      </c>
      <c r="C3451" t="s">
        <v>195</v>
      </c>
      <c r="D3451" t="s">
        <v>85</v>
      </c>
      <c r="E3451" t="s">
        <v>86</v>
      </c>
      <c r="F3451" t="s">
        <v>58</v>
      </c>
      <c r="G3451" t="s">
        <v>59</v>
      </c>
      <c r="H3451" t="s">
        <v>60</v>
      </c>
      <c r="I3451" t="s">
        <v>188</v>
      </c>
      <c r="J3451">
        <v>28</v>
      </c>
      <c r="K3451" t="s">
        <v>61</v>
      </c>
      <c r="L3451" t="s">
        <v>62</v>
      </c>
      <c r="M3451" t="s">
        <v>63</v>
      </c>
      <c r="N3451" t="s">
        <v>64</v>
      </c>
      <c r="O3451">
        <v>6</v>
      </c>
      <c r="P3451" t="s">
        <v>201</v>
      </c>
      <c r="R3451">
        <v>2.4299999999999999E-2</v>
      </c>
      <c r="T3451">
        <v>2.23E-2</v>
      </c>
      <c r="V3451">
        <v>2.6200000000000001E-2</v>
      </c>
      <c r="W3451" t="s">
        <v>66</v>
      </c>
      <c r="X3451" t="s">
        <v>67</v>
      </c>
      <c r="Y3451" t="s">
        <v>67</v>
      </c>
      <c r="Z3451" t="s">
        <v>68</v>
      </c>
      <c r="AB3451">
        <v>4</v>
      </c>
      <c r="AC3451" t="s">
        <v>61</v>
      </c>
      <c r="AJ3451" t="s">
        <v>69</v>
      </c>
      <c r="AY3451" t="s">
        <v>2328</v>
      </c>
      <c r="AZ3451">
        <v>83754</v>
      </c>
      <c r="BA3451" t="s">
        <v>2329</v>
      </c>
      <c r="BB3451" t="s">
        <v>2330</v>
      </c>
      <c r="BC3451">
        <v>1996</v>
      </c>
      <c r="BD3451" t="s">
        <v>73</v>
      </c>
    </row>
    <row r="3452" spans="1:56" x14ac:dyDescent="0.35">
      <c r="A3452">
        <v>7761888</v>
      </c>
      <c r="B3452" t="s">
        <v>2321</v>
      </c>
      <c r="C3452" t="s">
        <v>195</v>
      </c>
      <c r="D3452" t="s">
        <v>85</v>
      </c>
      <c r="E3452" t="s">
        <v>86</v>
      </c>
      <c r="F3452" t="s">
        <v>58</v>
      </c>
      <c r="G3452" t="s">
        <v>59</v>
      </c>
      <c r="H3452" t="s">
        <v>60</v>
      </c>
      <c r="I3452" t="s">
        <v>177</v>
      </c>
      <c r="J3452">
        <v>4</v>
      </c>
      <c r="K3452" t="s">
        <v>61</v>
      </c>
      <c r="L3452" t="s">
        <v>62</v>
      </c>
      <c r="M3452" t="s">
        <v>63</v>
      </c>
      <c r="N3452" t="s">
        <v>64</v>
      </c>
      <c r="O3452">
        <v>6</v>
      </c>
      <c r="P3452" t="s">
        <v>201</v>
      </c>
      <c r="R3452">
        <v>5.5999999999999999E-3</v>
      </c>
      <c r="T3452">
        <v>5.0000000000000001E-3</v>
      </c>
      <c r="V3452">
        <v>6.3E-3</v>
      </c>
      <c r="W3452" t="s">
        <v>66</v>
      </c>
      <c r="X3452" t="s">
        <v>67</v>
      </c>
      <c r="Y3452" t="s">
        <v>67</v>
      </c>
      <c r="Z3452" t="s">
        <v>68</v>
      </c>
      <c r="AB3452">
        <v>4</v>
      </c>
      <c r="AC3452" t="s">
        <v>61</v>
      </c>
      <c r="AJ3452" t="s">
        <v>69</v>
      </c>
      <c r="AY3452" t="s">
        <v>2328</v>
      </c>
      <c r="AZ3452">
        <v>83754</v>
      </c>
      <c r="BA3452" t="s">
        <v>2329</v>
      </c>
      <c r="BB3452" t="s">
        <v>2330</v>
      </c>
      <c r="BC3452">
        <v>1996</v>
      </c>
      <c r="BD3452" t="s">
        <v>73</v>
      </c>
    </row>
    <row r="3453" spans="1:56" x14ac:dyDescent="0.35">
      <c r="A3453">
        <v>7761888</v>
      </c>
      <c r="B3453" t="s">
        <v>2321</v>
      </c>
      <c r="D3453" t="s">
        <v>57</v>
      </c>
      <c r="E3453" t="s">
        <v>86</v>
      </c>
      <c r="F3453" t="s">
        <v>58</v>
      </c>
      <c r="G3453" t="s">
        <v>59</v>
      </c>
      <c r="H3453" t="s">
        <v>60</v>
      </c>
      <c r="I3453" t="s">
        <v>188</v>
      </c>
      <c r="J3453" t="s">
        <v>289</v>
      </c>
      <c r="K3453" t="s">
        <v>184</v>
      </c>
      <c r="L3453" t="s">
        <v>190</v>
      </c>
      <c r="M3453" t="s">
        <v>63</v>
      </c>
      <c r="N3453" t="s">
        <v>64</v>
      </c>
      <c r="O3453">
        <v>6</v>
      </c>
      <c r="P3453" t="s">
        <v>201</v>
      </c>
      <c r="R3453">
        <v>1.34E-2</v>
      </c>
      <c r="W3453" t="s">
        <v>66</v>
      </c>
      <c r="X3453" t="s">
        <v>67</v>
      </c>
      <c r="Y3453" t="s">
        <v>67</v>
      </c>
      <c r="Z3453" t="s">
        <v>68</v>
      </c>
      <c r="AB3453">
        <v>4</v>
      </c>
      <c r="AC3453" t="s">
        <v>61</v>
      </c>
      <c r="AJ3453" t="s">
        <v>69</v>
      </c>
      <c r="AY3453" t="s">
        <v>2322</v>
      </c>
      <c r="AZ3453">
        <v>71734</v>
      </c>
      <c r="BA3453" t="s">
        <v>2323</v>
      </c>
      <c r="BB3453" t="s">
        <v>2324</v>
      </c>
      <c r="BC3453">
        <v>2003</v>
      </c>
      <c r="BD3453" t="s">
        <v>185</v>
      </c>
    </row>
    <row r="3454" spans="1:56" x14ac:dyDescent="0.35">
      <c r="A3454">
        <v>7761888</v>
      </c>
      <c r="B3454" t="s">
        <v>2321</v>
      </c>
      <c r="C3454" t="s">
        <v>195</v>
      </c>
      <c r="D3454" t="s">
        <v>85</v>
      </c>
      <c r="E3454" t="s">
        <v>86</v>
      </c>
      <c r="F3454" t="s">
        <v>58</v>
      </c>
      <c r="G3454" t="s">
        <v>59</v>
      </c>
      <c r="H3454" t="s">
        <v>60</v>
      </c>
      <c r="I3454" t="s">
        <v>188</v>
      </c>
      <c r="J3454">
        <v>28</v>
      </c>
      <c r="K3454" t="s">
        <v>61</v>
      </c>
      <c r="L3454" t="s">
        <v>62</v>
      </c>
      <c r="M3454" t="s">
        <v>63</v>
      </c>
      <c r="N3454" t="s">
        <v>64</v>
      </c>
      <c r="O3454">
        <v>6</v>
      </c>
      <c r="P3454" t="s">
        <v>201</v>
      </c>
      <c r="R3454">
        <v>2.6200000000000001E-2</v>
      </c>
      <c r="T3454">
        <v>2.4E-2</v>
      </c>
      <c r="V3454">
        <v>2.8400000000000002E-2</v>
      </c>
      <c r="W3454" t="s">
        <v>66</v>
      </c>
      <c r="X3454" t="s">
        <v>67</v>
      </c>
      <c r="Y3454" t="s">
        <v>67</v>
      </c>
      <c r="Z3454" t="s">
        <v>68</v>
      </c>
      <c r="AB3454">
        <v>4</v>
      </c>
      <c r="AC3454" t="s">
        <v>61</v>
      </c>
      <c r="AJ3454" t="s">
        <v>69</v>
      </c>
      <c r="AY3454" t="s">
        <v>2328</v>
      </c>
      <c r="AZ3454">
        <v>83754</v>
      </c>
      <c r="BA3454" t="s">
        <v>2329</v>
      </c>
      <c r="BB3454" t="s">
        <v>2330</v>
      </c>
      <c r="BC3454">
        <v>1996</v>
      </c>
      <c r="BD3454" t="s">
        <v>73</v>
      </c>
    </row>
    <row r="3455" spans="1:56" x14ac:dyDescent="0.35">
      <c r="A3455">
        <v>7761888</v>
      </c>
      <c r="B3455" t="s">
        <v>2321</v>
      </c>
      <c r="C3455" t="s">
        <v>195</v>
      </c>
      <c r="D3455" t="s">
        <v>85</v>
      </c>
      <c r="E3455" t="s">
        <v>86</v>
      </c>
      <c r="F3455" t="s">
        <v>58</v>
      </c>
      <c r="G3455" t="s">
        <v>59</v>
      </c>
      <c r="H3455" t="s">
        <v>60</v>
      </c>
      <c r="I3455" t="s">
        <v>177</v>
      </c>
      <c r="J3455" t="s">
        <v>289</v>
      </c>
      <c r="K3455" t="s">
        <v>184</v>
      </c>
      <c r="L3455" t="s">
        <v>62</v>
      </c>
      <c r="M3455" t="s">
        <v>63</v>
      </c>
      <c r="N3455" t="s">
        <v>64</v>
      </c>
      <c r="P3455" t="s">
        <v>201</v>
      </c>
      <c r="R3455">
        <v>1.3350000000000001E-2</v>
      </c>
      <c r="T3455">
        <v>1.196E-2</v>
      </c>
      <c r="V3455">
        <v>1.489E-2</v>
      </c>
      <c r="W3455" t="s">
        <v>66</v>
      </c>
      <c r="X3455" t="s">
        <v>67</v>
      </c>
      <c r="Y3455" t="s">
        <v>67</v>
      </c>
      <c r="Z3455" t="s">
        <v>68</v>
      </c>
      <c r="AB3455">
        <v>4</v>
      </c>
      <c r="AC3455" t="s">
        <v>61</v>
      </c>
      <c r="AJ3455" t="s">
        <v>69</v>
      </c>
      <c r="AY3455" t="s">
        <v>2325</v>
      </c>
      <c r="AZ3455">
        <v>19218</v>
      </c>
      <c r="BA3455" t="s">
        <v>2326</v>
      </c>
      <c r="BB3455" t="s">
        <v>2327</v>
      </c>
      <c r="BC3455">
        <v>1999</v>
      </c>
      <c r="BD3455" t="s">
        <v>185</v>
      </c>
    </row>
    <row r="3456" spans="1:56" x14ac:dyDescent="0.35">
      <c r="A3456">
        <v>7761888</v>
      </c>
      <c r="B3456" t="s">
        <v>2321</v>
      </c>
      <c r="D3456" t="s">
        <v>85</v>
      </c>
      <c r="E3456" t="s">
        <v>86</v>
      </c>
      <c r="F3456" t="s">
        <v>58</v>
      </c>
      <c r="G3456" t="s">
        <v>59</v>
      </c>
      <c r="H3456" t="s">
        <v>60</v>
      </c>
      <c r="J3456" t="s">
        <v>86</v>
      </c>
      <c r="L3456" t="s">
        <v>62</v>
      </c>
      <c r="M3456" t="s">
        <v>63</v>
      </c>
      <c r="N3456" t="s">
        <v>64</v>
      </c>
      <c r="O3456">
        <v>6</v>
      </c>
      <c r="P3456" t="s">
        <v>201</v>
      </c>
      <c r="R3456">
        <v>2.1000000000000001E-2</v>
      </c>
      <c r="T3456">
        <v>1.9E-2</v>
      </c>
      <c r="V3456">
        <v>2.3E-2</v>
      </c>
      <c r="W3456" t="s">
        <v>66</v>
      </c>
      <c r="X3456" t="s">
        <v>67</v>
      </c>
      <c r="Y3456" t="s">
        <v>67</v>
      </c>
      <c r="Z3456" t="s">
        <v>68</v>
      </c>
      <c r="AB3456">
        <v>4</v>
      </c>
      <c r="AC3456" t="s">
        <v>61</v>
      </c>
      <c r="AJ3456" t="s">
        <v>69</v>
      </c>
      <c r="AY3456" t="s">
        <v>2127</v>
      </c>
      <c r="AZ3456">
        <v>150469</v>
      </c>
      <c r="BA3456" t="s">
        <v>2128</v>
      </c>
      <c r="BB3456" t="s">
        <v>2129</v>
      </c>
      <c r="BC3456">
        <v>1986</v>
      </c>
      <c r="BD3456" t="s">
        <v>90</v>
      </c>
    </row>
    <row r="3457" spans="1:56" x14ac:dyDescent="0.35">
      <c r="A3457">
        <v>7761888</v>
      </c>
      <c r="B3457" t="s">
        <v>2321</v>
      </c>
      <c r="D3457" t="s">
        <v>57</v>
      </c>
      <c r="E3457" t="s">
        <v>86</v>
      </c>
      <c r="F3457" t="s">
        <v>58</v>
      </c>
      <c r="G3457" t="s">
        <v>59</v>
      </c>
      <c r="H3457" t="s">
        <v>60</v>
      </c>
      <c r="J3457" t="s">
        <v>86</v>
      </c>
      <c r="L3457" t="s">
        <v>74</v>
      </c>
      <c r="M3457" t="s">
        <v>63</v>
      </c>
      <c r="N3457" t="s">
        <v>64</v>
      </c>
      <c r="P3457" t="s">
        <v>201</v>
      </c>
      <c r="R3457">
        <v>6.3E-3</v>
      </c>
      <c r="T3457">
        <v>5.7999999999999996E-3</v>
      </c>
      <c r="V3457">
        <v>6.7999999999999996E-3</v>
      </c>
      <c r="W3457" t="s">
        <v>66</v>
      </c>
      <c r="X3457" t="s">
        <v>67</v>
      </c>
      <c r="Y3457" t="s">
        <v>67</v>
      </c>
      <c r="Z3457" t="s">
        <v>68</v>
      </c>
      <c r="AB3457">
        <v>4</v>
      </c>
      <c r="AC3457" t="s">
        <v>61</v>
      </c>
      <c r="AJ3457" t="s">
        <v>69</v>
      </c>
      <c r="AY3457" t="s">
        <v>771</v>
      </c>
      <c r="AZ3457">
        <v>9479</v>
      </c>
      <c r="BA3457" t="s">
        <v>1117</v>
      </c>
      <c r="BB3457" t="s">
        <v>1118</v>
      </c>
      <c r="BC3457">
        <v>1981</v>
      </c>
      <c r="BD3457" t="s">
        <v>90</v>
      </c>
    </row>
    <row r="3458" spans="1:56" x14ac:dyDescent="0.35">
      <c r="A3458">
        <v>7761888</v>
      </c>
      <c r="B3458" t="s">
        <v>2321</v>
      </c>
      <c r="C3458" t="s">
        <v>195</v>
      </c>
      <c r="D3458" t="s">
        <v>85</v>
      </c>
      <c r="E3458" t="s">
        <v>86</v>
      </c>
      <c r="F3458" t="s">
        <v>58</v>
      </c>
      <c r="G3458" t="s">
        <v>59</v>
      </c>
      <c r="H3458" t="s">
        <v>60</v>
      </c>
      <c r="I3458" t="s">
        <v>177</v>
      </c>
      <c r="J3458">
        <v>4</v>
      </c>
      <c r="K3458" t="s">
        <v>61</v>
      </c>
      <c r="L3458" t="s">
        <v>62</v>
      </c>
      <c r="M3458" t="s">
        <v>63</v>
      </c>
      <c r="N3458" t="s">
        <v>64</v>
      </c>
      <c r="O3458">
        <v>6</v>
      </c>
      <c r="P3458" t="s">
        <v>201</v>
      </c>
      <c r="R3458">
        <v>3.2000000000000002E-3</v>
      </c>
      <c r="T3458">
        <v>2.8999999999999998E-3</v>
      </c>
      <c r="V3458">
        <v>3.5000000000000001E-3</v>
      </c>
      <c r="W3458" t="s">
        <v>66</v>
      </c>
      <c r="X3458" t="s">
        <v>67</v>
      </c>
      <c r="Y3458" t="s">
        <v>67</v>
      </c>
      <c r="Z3458" t="s">
        <v>68</v>
      </c>
      <c r="AB3458">
        <v>4</v>
      </c>
      <c r="AC3458" t="s">
        <v>61</v>
      </c>
      <c r="AJ3458" t="s">
        <v>69</v>
      </c>
      <c r="AY3458" t="s">
        <v>2328</v>
      </c>
      <c r="AZ3458">
        <v>83754</v>
      </c>
      <c r="BA3458" t="s">
        <v>2329</v>
      </c>
      <c r="BB3458" t="s">
        <v>2330</v>
      </c>
      <c r="BC3458">
        <v>1996</v>
      </c>
      <c r="BD3458" t="s">
        <v>73</v>
      </c>
    </row>
    <row r="3459" spans="1:56" x14ac:dyDescent="0.35">
      <c r="A3459">
        <v>7761888</v>
      </c>
      <c r="B3459" t="s">
        <v>2321</v>
      </c>
      <c r="C3459" t="s">
        <v>195</v>
      </c>
      <c r="D3459" t="s">
        <v>57</v>
      </c>
      <c r="E3459" t="s">
        <v>86</v>
      </c>
      <c r="F3459" t="s">
        <v>58</v>
      </c>
      <c r="G3459" t="s">
        <v>59</v>
      </c>
      <c r="H3459" t="s">
        <v>60</v>
      </c>
      <c r="I3459" t="s">
        <v>188</v>
      </c>
      <c r="J3459" t="s">
        <v>86</v>
      </c>
      <c r="L3459" t="s">
        <v>190</v>
      </c>
      <c r="M3459" t="s">
        <v>63</v>
      </c>
      <c r="N3459" t="s">
        <v>64</v>
      </c>
      <c r="P3459" t="s">
        <v>201</v>
      </c>
      <c r="R3459">
        <v>8.2000000000000007E-3</v>
      </c>
      <c r="T3459">
        <v>6.4000000000000003E-3</v>
      </c>
      <c r="V3459">
        <v>1.06E-2</v>
      </c>
      <c r="W3459" t="s">
        <v>66</v>
      </c>
      <c r="X3459" t="s">
        <v>67</v>
      </c>
      <c r="Y3459" t="s">
        <v>67</v>
      </c>
      <c r="Z3459" t="s">
        <v>68</v>
      </c>
      <c r="AB3459">
        <v>4</v>
      </c>
      <c r="AC3459" t="s">
        <v>61</v>
      </c>
      <c r="AJ3459" t="s">
        <v>69</v>
      </c>
      <c r="AY3459" t="s">
        <v>331</v>
      </c>
      <c r="AZ3459">
        <v>5313</v>
      </c>
      <c r="BA3459" t="s">
        <v>332</v>
      </c>
      <c r="BB3459" t="s">
        <v>333</v>
      </c>
      <c r="BC3459">
        <v>1989</v>
      </c>
      <c r="BD3459" t="s">
        <v>90</v>
      </c>
    </row>
    <row r="3460" spans="1:56" x14ac:dyDescent="0.35">
      <c r="A3460">
        <v>7761888</v>
      </c>
      <c r="B3460" t="s">
        <v>2321</v>
      </c>
      <c r="D3460" t="s">
        <v>57</v>
      </c>
      <c r="E3460" t="s">
        <v>86</v>
      </c>
      <c r="F3460" t="s">
        <v>58</v>
      </c>
      <c r="G3460" t="s">
        <v>59</v>
      </c>
      <c r="H3460" t="s">
        <v>60</v>
      </c>
      <c r="J3460" t="s">
        <v>86</v>
      </c>
      <c r="L3460" t="s">
        <v>74</v>
      </c>
      <c r="M3460" t="s">
        <v>63</v>
      </c>
      <c r="N3460" t="s">
        <v>64</v>
      </c>
      <c r="P3460" t="s">
        <v>201</v>
      </c>
      <c r="R3460">
        <v>0.15</v>
      </c>
      <c r="T3460">
        <v>0.13</v>
      </c>
      <c r="V3460">
        <v>0.18</v>
      </c>
      <c r="W3460" t="s">
        <v>66</v>
      </c>
      <c r="X3460" t="s">
        <v>67</v>
      </c>
      <c r="Y3460" t="s">
        <v>67</v>
      </c>
      <c r="Z3460" t="s">
        <v>68</v>
      </c>
      <c r="AB3460">
        <v>4</v>
      </c>
      <c r="AC3460" t="s">
        <v>61</v>
      </c>
      <c r="AJ3460" t="s">
        <v>69</v>
      </c>
      <c r="AY3460" t="s">
        <v>771</v>
      </c>
      <c r="AZ3460">
        <v>9479</v>
      </c>
      <c r="BA3460" t="s">
        <v>1117</v>
      </c>
      <c r="BB3460" t="s">
        <v>1118</v>
      </c>
      <c r="BC3460">
        <v>1981</v>
      </c>
      <c r="BD3460" t="s">
        <v>90</v>
      </c>
    </row>
    <row r="3461" spans="1:56" x14ac:dyDescent="0.35">
      <c r="A3461">
        <v>7761888</v>
      </c>
      <c r="B3461" t="s">
        <v>2321</v>
      </c>
      <c r="C3461" t="s">
        <v>195</v>
      </c>
      <c r="D3461" t="s">
        <v>85</v>
      </c>
      <c r="E3461" t="s">
        <v>86</v>
      </c>
      <c r="F3461" t="s">
        <v>58</v>
      </c>
      <c r="G3461" t="s">
        <v>59</v>
      </c>
      <c r="H3461" t="s">
        <v>60</v>
      </c>
      <c r="I3461" t="s">
        <v>177</v>
      </c>
      <c r="J3461" t="s">
        <v>289</v>
      </c>
      <c r="K3461" t="s">
        <v>184</v>
      </c>
      <c r="L3461" t="s">
        <v>62</v>
      </c>
      <c r="M3461" t="s">
        <v>63</v>
      </c>
      <c r="N3461" t="s">
        <v>64</v>
      </c>
      <c r="P3461" t="s">
        <v>201</v>
      </c>
      <c r="R3461">
        <v>4.1900000000000001E-3</v>
      </c>
      <c r="T3461">
        <v>3.8600000000000001E-3</v>
      </c>
      <c r="V3461">
        <v>4.5100000000000001E-3</v>
      </c>
      <c r="W3461" t="s">
        <v>66</v>
      </c>
      <c r="X3461" t="s">
        <v>67</v>
      </c>
      <c r="Y3461" t="s">
        <v>67</v>
      </c>
      <c r="Z3461" t="s">
        <v>68</v>
      </c>
      <c r="AB3461">
        <v>4</v>
      </c>
      <c r="AC3461" t="s">
        <v>61</v>
      </c>
      <c r="AJ3461" t="s">
        <v>69</v>
      </c>
      <c r="AY3461" t="s">
        <v>2325</v>
      </c>
      <c r="AZ3461">
        <v>19218</v>
      </c>
      <c r="BA3461" t="s">
        <v>2326</v>
      </c>
      <c r="BB3461" t="s">
        <v>2327</v>
      </c>
      <c r="BC3461">
        <v>1999</v>
      </c>
      <c r="BD3461" t="s">
        <v>185</v>
      </c>
    </row>
    <row r="3462" spans="1:56" x14ac:dyDescent="0.35">
      <c r="A3462">
        <v>7761888</v>
      </c>
      <c r="B3462" t="s">
        <v>2321</v>
      </c>
      <c r="D3462" t="s">
        <v>57</v>
      </c>
      <c r="E3462" t="s">
        <v>86</v>
      </c>
      <c r="F3462" t="s">
        <v>58</v>
      </c>
      <c r="G3462" t="s">
        <v>59</v>
      </c>
      <c r="H3462" t="s">
        <v>60</v>
      </c>
      <c r="J3462" t="s">
        <v>86</v>
      </c>
      <c r="K3462" t="s">
        <v>184</v>
      </c>
      <c r="L3462" t="s">
        <v>62</v>
      </c>
      <c r="M3462" t="s">
        <v>63</v>
      </c>
      <c r="N3462" t="s">
        <v>64</v>
      </c>
      <c r="P3462" t="s">
        <v>201</v>
      </c>
      <c r="R3462">
        <v>1.1599999999999999E-2</v>
      </c>
      <c r="T3462">
        <v>8.0999999999999996E-3</v>
      </c>
      <c r="V3462">
        <v>3.0800000000000001E-2</v>
      </c>
      <c r="W3462" t="s">
        <v>66</v>
      </c>
      <c r="X3462" t="s">
        <v>67</v>
      </c>
      <c r="Y3462" t="s">
        <v>67</v>
      </c>
      <c r="Z3462" t="s">
        <v>68</v>
      </c>
      <c r="AB3462">
        <v>4</v>
      </c>
      <c r="AC3462" t="s">
        <v>61</v>
      </c>
      <c r="AJ3462" t="s">
        <v>69</v>
      </c>
      <c r="AY3462" t="s">
        <v>2356</v>
      </c>
      <c r="AZ3462">
        <v>17981</v>
      </c>
      <c r="BA3462" t="s">
        <v>2357</v>
      </c>
      <c r="BB3462" t="s">
        <v>2358</v>
      </c>
      <c r="BC3462">
        <v>1997</v>
      </c>
      <c r="BD3462" t="s">
        <v>283</v>
      </c>
    </row>
    <row r="3463" spans="1:56" x14ac:dyDescent="0.35">
      <c r="A3463">
        <v>7761888</v>
      </c>
      <c r="B3463" t="s">
        <v>2321</v>
      </c>
      <c r="C3463" t="s">
        <v>195</v>
      </c>
      <c r="D3463" t="s">
        <v>85</v>
      </c>
      <c r="E3463" t="s">
        <v>86</v>
      </c>
      <c r="F3463" t="s">
        <v>58</v>
      </c>
      <c r="G3463" t="s">
        <v>59</v>
      </c>
      <c r="H3463" t="s">
        <v>60</v>
      </c>
      <c r="I3463" t="s">
        <v>177</v>
      </c>
      <c r="J3463">
        <v>4</v>
      </c>
      <c r="K3463" t="s">
        <v>61</v>
      </c>
      <c r="L3463" t="s">
        <v>62</v>
      </c>
      <c r="M3463" t="s">
        <v>63</v>
      </c>
      <c r="N3463" t="s">
        <v>64</v>
      </c>
      <c r="O3463">
        <v>6</v>
      </c>
      <c r="P3463" t="s">
        <v>201</v>
      </c>
      <c r="R3463">
        <v>8.3999999999999995E-3</v>
      </c>
      <c r="T3463">
        <v>7.7000000000000002E-3</v>
      </c>
      <c r="V3463">
        <v>9.1999999999999998E-3</v>
      </c>
      <c r="W3463" t="s">
        <v>66</v>
      </c>
      <c r="X3463" t="s">
        <v>67</v>
      </c>
      <c r="Y3463" t="s">
        <v>67</v>
      </c>
      <c r="Z3463" t="s">
        <v>68</v>
      </c>
      <c r="AB3463">
        <v>4</v>
      </c>
      <c r="AC3463" t="s">
        <v>61</v>
      </c>
      <c r="AJ3463" t="s">
        <v>69</v>
      </c>
      <c r="AY3463" t="s">
        <v>2328</v>
      </c>
      <c r="AZ3463">
        <v>83754</v>
      </c>
      <c r="BA3463" t="s">
        <v>2329</v>
      </c>
      <c r="BB3463" t="s">
        <v>2330</v>
      </c>
      <c r="BC3463">
        <v>1996</v>
      </c>
      <c r="BD3463" t="s">
        <v>73</v>
      </c>
    </row>
    <row r="3464" spans="1:56" x14ac:dyDescent="0.35">
      <c r="A3464">
        <v>7761888</v>
      </c>
      <c r="B3464" t="s">
        <v>2321</v>
      </c>
      <c r="D3464" t="s">
        <v>57</v>
      </c>
      <c r="E3464" t="s">
        <v>86</v>
      </c>
      <c r="F3464" t="s">
        <v>58</v>
      </c>
      <c r="G3464" t="s">
        <v>59</v>
      </c>
      <c r="H3464" t="s">
        <v>60</v>
      </c>
      <c r="J3464" t="s">
        <v>86</v>
      </c>
      <c r="L3464" t="s">
        <v>74</v>
      </c>
      <c r="M3464" t="s">
        <v>63</v>
      </c>
      <c r="N3464" t="s">
        <v>64</v>
      </c>
      <c r="P3464" t="s">
        <v>201</v>
      </c>
      <c r="R3464">
        <v>1.175E-2</v>
      </c>
      <c r="T3464">
        <v>1.001E-2</v>
      </c>
      <c r="V3464">
        <v>1.1990000000000001E-2</v>
      </c>
      <c r="W3464" t="s">
        <v>66</v>
      </c>
      <c r="X3464" t="s">
        <v>67</v>
      </c>
      <c r="Y3464" t="s">
        <v>67</v>
      </c>
      <c r="Z3464" t="s">
        <v>68</v>
      </c>
      <c r="AB3464">
        <v>4</v>
      </c>
      <c r="AC3464" t="s">
        <v>61</v>
      </c>
      <c r="AJ3464" t="s">
        <v>69</v>
      </c>
      <c r="AY3464" t="s">
        <v>771</v>
      </c>
      <c r="AZ3464">
        <v>9479</v>
      </c>
      <c r="BA3464" t="s">
        <v>1117</v>
      </c>
      <c r="BB3464" t="s">
        <v>1118</v>
      </c>
      <c r="BC3464">
        <v>1981</v>
      </c>
      <c r="BD3464" t="s">
        <v>90</v>
      </c>
    </row>
    <row r="3465" spans="1:56" x14ac:dyDescent="0.35">
      <c r="A3465">
        <v>7761888</v>
      </c>
      <c r="B3465" t="s">
        <v>2321</v>
      </c>
      <c r="C3465" t="s">
        <v>195</v>
      </c>
      <c r="D3465" t="s">
        <v>85</v>
      </c>
      <c r="E3465" t="s">
        <v>86</v>
      </c>
      <c r="F3465" t="s">
        <v>58</v>
      </c>
      <c r="G3465" t="s">
        <v>59</v>
      </c>
      <c r="H3465" t="s">
        <v>60</v>
      </c>
      <c r="I3465" t="s">
        <v>177</v>
      </c>
      <c r="J3465">
        <v>4</v>
      </c>
      <c r="K3465" t="s">
        <v>61</v>
      </c>
      <c r="L3465" t="s">
        <v>62</v>
      </c>
      <c r="M3465" t="s">
        <v>63</v>
      </c>
      <c r="N3465" t="s">
        <v>64</v>
      </c>
      <c r="O3465">
        <v>7</v>
      </c>
      <c r="P3465" t="s">
        <v>201</v>
      </c>
      <c r="R3465">
        <v>3.8E-3</v>
      </c>
      <c r="T3465">
        <v>2.7000000000000001E-3</v>
      </c>
      <c r="V3465">
        <v>5.3E-3</v>
      </c>
      <c r="W3465" t="s">
        <v>66</v>
      </c>
      <c r="X3465" t="s">
        <v>67</v>
      </c>
      <c r="Y3465" t="s">
        <v>67</v>
      </c>
      <c r="Z3465" t="s">
        <v>68</v>
      </c>
      <c r="AB3465">
        <v>4</v>
      </c>
      <c r="AC3465" t="s">
        <v>61</v>
      </c>
      <c r="AJ3465" t="s">
        <v>69</v>
      </c>
      <c r="AY3465" t="s">
        <v>2328</v>
      </c>
      <c r="AZ3465">
        <v>83754</v>
      </c>
      <c r="BA3465" t="s">
        <v>2329</v>
      </c>
      <c r="BB3465" t="s">
        <v>2330</v>
      </c>
      <c r="BC3465">
        <v>1996</v>
      </c>
      <c r="BD3465" t="s">
        <v>73</v>
      </c>
    </row>
    <row r="3466" spans="1:56" x14ac:dyDescent="0.35">
      <c r="A3466">
        <v>7761888</v>
      </c>
      <c r="B3466" t="s">
        <v>2321</v>
      </c>
      <c r="C3466" t="s">
        <v>195</v>
      </c>
      <c r="D3466" t="s">
        <v>85</v>
      </c>
      <c r="E3466" t="s">
        <v>86</v>
      </c>
      <c r="F3466" t="s">
        <v>58</v>
      </c>
      <c r="G3466" t="s">
        <v>59</v>
      </c>
      <c r="H3466" t="s">
        <v>60</v>
      </c>
      <c r="I3466" t="s">
        <v>177</v>
      </c>
      <c r="J3466" t="s">
        <v>289</v>
      </c>
      <c r="K3466" t="s">
        <v>184</v>
      </c>
      <c r="L3466" t="s">
        <v>62</v>
      </c>
      <c r="M3466" t="s">
        <v>63</v>
      </c>
      <c r="N3466" t="s">
        <v>64</v>
      </c>
      <c r="P3466" t="s">
        <v>201</v>
      </c>
      <c r="R3466">
        <v>2.0600000000000002E-3</v>
      </c>
      <c r="T3466">
        <v>1.92E-3</v>
      </c>
      <c r="V3466">
        <v>2.2000000000000001E-3</v>
      </c>
      <c r="W3466" t="s">
        <v>66</v>
      </c>
      <c r="X3466" t="s">
        <v>67</v>
      </c>
      <c r="Y3466" t="s">
        <v>67</v>
      </c>
      <c r="Z3466" t="s">
        <v>68</v>
      </c>
      <c r="AB3466">
        <v>4</v>
      </c>
      <c r="AC3466" t="s">
        <v>61</v>
      </c>
      <c r="AJ3466" t="s">
        <v>69</v>
      </c>
      <c r="AY3466" t="s">
        <v>2325</v>
      </c>
      <c r="AZ3466">
        <v>19218</v>
      </c>
      <c r="BA3466" t="s">
        <v>2326</v>
      </c>
      <c r="BB3466" t="s">
        <v>2327</v>
      </c>
      <c r="BC3466">
        <v>1999</v>
      </c>
      <c r="BD3466" t="s">
        <v>185</v>
      </c>
    </row>
    <row r="3467" spans="1:56" x14ac:dyDescent="0.35">
      <c r="A3467">
        <v>7761888</v>
      </c>
      <c r="B3467" t="s">
        <v>2321</v>
      </c>
      <c r="C3467" t="s">
        <v>195</v>
      </c>
      <c r="D3467" t="s">
        <v>85</v>
      </c>
      <c r="E3467" t="s">
        <v>86</v>
      </c>
      <c r="F3467" t="s">
        <v>58</v>
      </c>
      <c r="G3467" t="s">
        <v>59</v>
      </c>
      <c r="H3467" t="s">
        <v>60</v>
      </c>
      <c r="I3467" t="s">
        <v>177</v>
      </c>
      <c r="J3467" t="s">
        <v>289</v>
      </c>
      <c r="K3467" t="s">
        <v>184</v>
      </c>
      <c r="L3467" t="s">
        <v>62</v>
      </c>
      <c r="M3467" t="s">
        <v>63</v>
      </c>
      <c r="N3467" t="s">
        <v>64</v>
      </c>
      <c r="P3467" t="s">
        <v>201</v>
      </c>
      <c r="R3467">
        <v>2.7499999999999998E-3</v>
      </c>
      <c r="T3467">
        <v>2.5500000000000002E-3</v>
      </c>
      <c r="V3467">
        <v>2.9499999999999999E-3</v>
      </c>
      <c r="W3467" t="s">
        <v>66</v>
      </c>
      <c r="X3467" t="s">
        <v>67</v>
      </c>
      <c r="Y3467" t="s">
        <v>67</v>
      </c>
      <c r="Z3467" t="s">
        <v>68</v>
      </c>
      <c r="AB3467">
        <v>4</v>
      </c>
      <c r="AC3467" t="s">
        <v>61</v>
      </c>
      <c r="AJ3467" t="s">
        <v>69</v>
      </c>
      <c r="AY3467" t="s">
        <v>2325</v>
      </c>
      <c r="AZ3467">
        <v>19218</v>
      </c>
      <c r="BA3467" t="s">
        <v>2326</v>
      </c>
      <c r="BB3467" t="s">
        <v>2327</v>
      </c>
      <c r="BC3467">
        <v>1999</v>
      </c>
      <c r="BD3467" t="s">
        <v>185</v>
      </c>
    </row>
    <row r="3468" spans="1:56" x14ac:dyDescent="0.35">
      <c r="A3468">
        <v>7761888</v>
      </c>
      <c r="B3468" t="s">
        <v>2321</v>
      </c>
      <c r="D3468" t="s">
        <v>57</v>
      </c>
      <c r="E3468" t="s">
        <v>86</v>
      </c>
      <c r="F3468" t="s">
        <v>58</v>
      </c>
      <c r="G3468" t="s">
        <v>59</v>
      </c>
      <c r="H3468" t="s">
        <v>60</v>
      </c>
      <c r="I3468" t="s">
        <v>188</v>
      </c>
      <c r="J3468" t="s">
        <v>289</v>
      </c>
      <c r="K3468" t="s">
        <v>184</v>
      </c>
      <c r="L3468" t="s">
        <v>190</v>
      </c>
      <c r="M3468" t="s">
        <v>63</v>
      </c>
      <c r="N3468" t="s">
        <v>64</v>
      </c>
      <c r="O3468">
        <v>6</v>
      </c>
      <c r="P3468" t="s">
        <v>201</v>
      </c>
      <c r="R3468">
        <v>2.3300000000000001E-2</v>
      </c>
      <c r="W3468" t="s">
        <v>66</v>
      </c>
      <c r="X3468" t="s">
        <v>67</v>
      </c>
      <c r="Y3468" t="s">
        <v>67</v>
      </c>
      <c r="Z3468" t="s">
        <v>68</v>
      </c>
      <c r="AB3468">
        <v>4</v>
      </c>
      <c r="AC3468" t="s">
        <v>61</v>
      </c>
      <c r="AJ3468" t="s">
        <v>69</v>
      </c>
      <c r="AY3468" t="s">
        <v>2322</v>
      </c>
      <c r="AZ3468">
        <v>71734</v>
      </c>
      <c r="BA3468" t="s">
        <v>2323</v>
      </c>
      <c r="BB3468" t="s">
        <v>2324</v>
      </c>
      <c r="BC3468">
        <v>2003</v>
      </c>
      <c r="BD3468" t="s">
        <v>185</v>
      </c>
    </row>
    <row r="3469" spans="1:56" x14ac:dyDescent="0.35">
      <c r="A3469">
        <v>7761888</v>
      </c>
      <c r="B3469" t="s">
        <v>2321</v>
      </c>
      <c r="D3469" t="s">
        <v>57</v>
      </c>
      <c r="E3469" t="s">
        <v>86</v>
      </c>
      <c r="F3469" t="s">
        <v>58</v>
      </c>
      <c r="G3469" t="s">
        <v>59</v>
      </c>
      <c r="H3469" t="s">
        <v>60</v>
      </c>
      <c r="I3469" t="s">
        <v>188</v>
      </c>
      <c r="J3469" t="s">
        <v>289</v>
      </c>
      <c r="K3469" t="s">
        <v>184</v>
      </c>
      <c r="L3469" t="s">
        <v>190</v>
      </c>
      <c r="M3469" t="s">
        <v>63</v>
      </c>
      <c r="N3469" t="s">
        <v>64</v>
      </c>
      <c r="O3469">
        <v>6</v>
      </c>
      <c r="P3469" t="s">
        <v>201</v>
      </c>
      <c r="R3469">
        <v>2.2499999999999999E-2</v>
      </c>
      <c r="W3469" t="s">
        <v>66</v>
      </c>
      <c r="X3469" t="s">
        <v>67</v>
      </c>
      <c r="Y3469" t="s">
        <v>67</v>
      </c>
      <c r="Z3469" t="s">
        <v>68</v>
      </c>
      <c r="AB3469">
        <v>4</v>
      </c>
      <c r="AC3469" t="s">
        <v>61</v>
      </c>
      <c r="AJ3469" t="s">
        <v>69</v>
      </c>
      <c r="AY3469" t="s">
        <v>2322</v>
      </c>
      <c r="AZ3469">
        <v>71734</v>
      </c>
      <c r="BA3469" t="s">
        <v>2323</v>
      </c>
      <c r="BB3469" t="s">
        <v>2324</v>
      </c>
      <c r="BC3469">
        <v>2003</v>
      </c>
      <c r="BD3469" t="s">
        <v>185</v>
      </c>
    </row>
    <row r="3470" spans="1:56" x14ac:dyDescent="0.35">
      <c r="A3470">
        <v>7761888</v>
      </c>
      <c r="B3470" t="s">
        <v>2321</v>
      </c>
      <c r="C3470" t="s">
        <v>195</v>
      </c>
      <c r="D3470" t="s">
        <v>85</v>
      </c>
      <c r="E3470" t="s">
        <v>86</v>
      </c>
      <c r="F3470" t="s">
        <v>58</v>
      </c>
      <c r="G3470" t="s">
        <v>59</v>
      </c>
      <c r="H3470" t="s">
        <v>60</v>
      </c>
      <c r="I3470" t="s">
        <v>177</v>
      </c>
      <c r="J3470">
        <v>4</v>
      </c>
      <c r="K3470" t="s">
        <v>61</v>
      </c>
      <c r="L3470" t="s">
        <v>62</v>
      </c>
      <c r="M3470" t="s">
        <v>63</v>
      </c>
      <c r="N3470" t="s">
        <v>64</v>
      </c>
      <c r="O3470">
        <v>6</v>
      </c>
      <c r="P3470" t="s">
        <v>201</v>
      </c>
      <c r="R3470">
        <v>8.5000000000000006E-3</v>
      </c>
      <c r="T3470">
        <v>7.7000000000000002E-3</v>
      </c>
      <c r="V3470">
        <v>9.2999999999999992E-3</v>
      </c>
      <c r="W3470" t="s">
        <v>66</v>
      </c>
      <c r="X3470" t="s">
        <v>67</v>
      </c>
      <c r="Y3470" t="s">
        <v>67</v>
      </c>
      <c r="Z3470" t="s">
        <v>68</v>
      </c>
      <c r="AB3470">
        <v>4</v>
      </c>
      <c r="AC3470" t="s">
        <v>61</v>
      </c>
      <c r="AJ3470" t="s">
        <v>69</v>
      </c>
      <c r="AY3470" t="s">
        <v>2328</v>
      </c>
      <c r="AZ3470">
        <v>83754</v>
      </c>
      <c r="BA3470" t="s">
        <v>2329</v>
      </c>
      <c r="BB3470" t="s">
        <v>2330</v>
      </c>
      <c r="BC3470">
        <v>1996</v>
      </c>
      <c r="BD3470" t="s">
        <v>73</v>
      </c>
    </row>
    <row r="3471" spans="1:56" x14ac:dyDescent="0.35">
      <c r="A3471">
        <v>7761888</v>
      </c>
      <c r="B3471" t="s">
        <v>2321</v>
      </c>
      <c r="D3471" t="s">
        <v>57</v>
      </c>
      <c r="E3471" t="s">
        <v>86</v>
      </c>
      <c r="F3471" t="s">
        <v>58</v>
      </c>
      <c r="G3471" t="s">
        <v>59</v>
      </c>
      <c r="H3471" t="s">
        <v>60</v>
      </c>
      <c r="J3471">
        <v>4</v>
      </c>
      <c r="K3471" t="s">
        <v>61</v>
      </c>
      <c r="L3471" t="s">
        <v>190</v>
      </c>
      <c r="M3471" t="s">
        <v>63</v>
      </c>
      <c r="N3471" t="s">
        <v>64</v>
      </c>
      <c r="O3471">
        <v>6</v>
      </c>
      <c r="P3471" t="s">
        <v>201</v>
      </c>
      <c r="R3471">
        <v>2.3E-3</v>
      </c>
      <c r="W3471" t="s">
        <v>66</v>
      </c>
      <c r="X3471" t="s">
        <v>67</v>
      </c>
      <c r="Y3471" t="s">
        <v>67</v>
      </c>
      <c r="Z3471" t="s">
        <v>68</v>
      </c>
      <c r="AB3471">
        <v>4</v>
      </c>
      <c r="AC3471" t="s">
        <v>61</v>
      </c>
      <c r="AJ3471" t="s">
        <v>69</v>
      </c>
      <c r="AY3471" t="s">
        <v>2359</v>
      </c>
      <c r="AZ3471">
        <v>104888</v>
      </c>
      <c r="BA3471" t="s">
        <v>2360</v>
      </c>
      <c r="BB3471" t="s">
        <v>2361</v>
      </c>
      <c r="BC3471">
        <v>2008</v>
      </c>
      <c r="BD3471" t="s">
        <v>73</v>
      </c>
    </row>
    <row r="3472" spans="1:56" x14ac:dyDescent="0.35">
      <c r="A3472">
        <v>7761888</v>
      </c>
      <c r="B3472" t="s">
        <v>2321</v>
      </c>
      <c r="C3472" t="s">
        <v>195</v>
      </c>
      <c r="D3472" t="s">
        <v>85</v>
      </c>
      <c r="E3472" t="s">
        <v>86</v>
      </c>
      <c r="F3472" t="s">
        <v>58</v>
      </c>
      <c r="G3472" t="s">
        <v>59</v>
      </c>
      <c r="H3472" t="s">
        <v>60</v>
      </c>
      <c r="I3472" t="s">
        <v>188</v>
      </c>
      <c r="J3472">
        <v>28</v>
      </c>
      <c r="K3472" t="s">
        <v>61</v>
      </c>
      <c r="L3472" t="s">
        <v>62</v>
      </c>
      <c r="M3472" t="s">
        <v>63</v>
      </c>
      <c r="N3472" t="s">
        <v>64</v>
      </c>
      <c r="O3472">
        <v>6</v>
      </c>
      <c r="P3472" t="s">
        <v>201</v>
      </c>
      <c r="R3472">
        <v>3.3799999999999997E-2</v>
      </c>
      <c r="T3472">
        <v>3.1399999999999997E-2</v>
      </c>
      <c r="V3472">
        <v>3.6299999999999999E-2</v>
      </c>
      <c r="W3472" t="s">
        <v>66</v>
      </c>
      <c r="X3472" t="s">
        <v>67</v>
      </c>
      <c r="Y3472" t="s">
        <v>67</v>
      </c>
      <c r="Z3472" t="s">
        <v>68</v>
      </c>
      <c r="AB3472">
        <v>4</v>
      </c>
      <c r="AC3472" t="s">
        <v>61</v>
      </c>
      <c r="AJ3472" t="s">
        <v>69</v>
      </c>
      <c r="AY3472" t="s">
        <v>2328</v>
      </c>
      <c r="AZ3472">
        <v>83754</v>
      </c>
      <c r="BA3472" t="s">
        <v>2329</v>
      </c>
      <c r="BB3472" t="s">
        <v>2330</v>
      </c>
      <c r="BC3472">
        <v>1996</v>
      </c>
      <c r="BD3472" t="s">
        <v>73</v>
      </c>
    </row>
    <row r="3473" spans="1:56" x14ac:dyDescent="0.35">
      <c r="A3473">
        <v>7761888</v>
      </c>
      <c r="B3473" t="s">
        <v>2321</v>
      </c>
      <c r="D3473" t="s">
        <v>57</v>
      </c>
      <c r="E3473">
        <v>99.7</v>
      </c>
      <c r="F3473" t="s">
        <v>58</v>
      </c>
      <c r="G3473" t="s">
        <v>59</v>
      </c>
      <c r="H3473" t="s">
        <v>60</v>
      </c>
      <c r="I3473" t="s">
        <v>129</v>
      </c>
      <c r="J3473" t="s">
        <v>86</v>
      </c>
      <c r="L3473" t="s">
        <v>74</v>
      </c>
      <c r="M3473" t="s">
        <v>63</v>
      </c>
      <c r="N3473" t="s">
        <v>64</v>
      </c>
      <c r="P3473" t="s">
        <v>201</v>
      </c>
      <c r="Q3473" t="s">
        <v>172</v>
      </c>
      <c r="R3473">
        <v>6</v>
      </c>
      <c r="W3473" t="s">
        <v>66</v>
      </c>
      <c r="X3473" t="s">
        <v>67</v>
      </c>
      <c r="Y3473" t="s">
        <v>67</v>
      </c>
      <c r="Z3473" t="s">
        <v>68</v>
      </c>
      <c r="AB3473">
        <v>4</v>
      </c>
      <c r="AC3473" t="s">
        <v>61</v>
      </c>
      <c r="AJ3473" t="s">
        <v>69</v>
      </c>
      <c r="AY3473" t="s">
        <v>2334</v>
      </c>
      <c r="AZ3473">
        <v>18938</v>
      </c>
      <c r="BA3473" t="s">
        <v>2335</v>
      </c>
      <c r="BB3473" t="s">
        <v>2336</v>
      </c>
      <c r="BC3473">
        <v>1998</v>
      </c>
      <c r="BD3473" t="s">
        <v>90</v>
      </c>
    </row>
    <row r="3474" spans="1:56" x14ac:dyDescent="0.35">
      <c r="A3474">
        <v>7761888</v>
      </c>
      <c r="B3474" t="s">
        <v>2321</v>
      </c>
      <c r="D3474" t="s">
        <v>85</v>
      </c>
      <c r="E3474" t="s">
        <v>86</v>
      </c>
      <c r="F3474" t="s">
        <v>58</v>
      </c>
      <c r="G3474" t="s">
        <v>59</v>
      </c>
      <c r="H3474" t="s">
        <v>60</v>
      </c>
      <c r="J3474" t="s">
        <v>86</v>
      </c>
      <c r="L3474" t="s">
        <v>190</v>
      </c>
      <c r="M3474" t="s">
        <v>63</v>
      </c>
      <c r="N3474" t="s">
        <v>64</v>
      </c>
      <c r="P3474" t="s">
        <v>1296</v>
      </c>
      <c r="R3474">
        <v>4.1000000000000003E-3</v>
      </c>
      <c r="W3474" t="s">
        <v>66</v>
      </c>
      <c r="X3474" t="s">
        <v>67</v>
      </c>
      <c r="Y3474" t="s">
        <v>67</v>
      </c>
      <c r="Z3474" t="s">
        <v>68</v>
      </c>
      <c r="AB3474">
        <v>4</v>
      </c>
      <c r="AC3474" t="s">
        <v>61</v>
      </c>
      <c r="AJ3474" t="s">
        <v>69</v>
      </c>
      <c r="AQ3474" t="s">
        <v>69</v>
      </c>
      <c r="AY3474" t="s">
        <v>2337</v>
      </c>
      <c r="AZ3474">
        <v>19262</v>
      </c>
      <c r="BA3474" t="s">
        <v>2338</v>
      </c>
      <c r="BB3474" t="s">
        <v>2339</v>
      </c>
      <c r="BC3474">
        <v>1999</v>
      </c>
      <c r="BD3474" t="s">
        <v>2362</v>
      </c>
    </row>
    <row r="3475" spans="1:56" x14ac:dyDescent="0.35">
      <c r="A3475">
        <v>7761888</v>
      </c>
      <c r="B3475" t="s">
        <v>2321</v>
      </c>
      <c r="C3475" t="s">
        <v>195</v>
      </c>
      <c r="D3475" t="s">
        <v>85</v>
      </c>
      <c r="E3475" t="s">
        <v>86</v>
      </c>
      <c r="F3475" t="s">
        <v>58</v>
      </c>
      <c r="G3475" t="s">
        <v>59</v>
      </c>
      <c r="H3475" t="s">
        <v>60</v>
      </c>
      <c r="I3475" t="s">
        <v>177</v>
      </c>
      <c r="J3475">
        <v>4</v>
      </c>
      <c r="K3475" t="s">
        <v>61</v>
      </c>
      <c r="L3475" t="s">
        <v>62</v>
      </c>
      <c r="M3475" t="s">
        <v>63</v>
      </c>
      <c r="N3475" t="s">
        <v>64</v>
      </c>
      <c r="O3475">
        <v>6</v>
      </c>
      <c r="P3475" t="s">
        <v>201</v>
      </c>
      <c r="R3475">
        <v>5.5999999999999999E-3</v>
      </c>
      <c r="T3475">
        <v>5.1000000000000004E-3</v>
      </c>
      <c r="V3475">
        <v>6.1999999999999998E-3</v>
      </c>
      <c r="W3475" t="s">
        <v>66</v>
      </c>
      <c r="X3475" t="s">
        <v>67</v>
      </c>
      <c r="Y3475" t="s">
        <v>67</v>
      </c>
      <c r="Z3475" t="s">
        <v>68</v>
      </c>
      <c r="AB3475">
        <v>4</v>
      </c>
      <c r="AC3475" t="s">
        <v>61</v>
      </c>
      <c r="AJ3475" t="s">
        <v>69</v>
      </c>
      <c r="AY3475" t="s">
        <v>2328</v>
      </c>
      <c r="AZ3475">
        <v>83754</v>
      </c>
      <c r="BA3475" t="s">
        <v>2329</v>
      </c>
      <c r="BB3475" t="s">
        <v>2330</v>
      </c>
      <c r="BC3475">
        <v>1996</v>
      </c>
      <c r="BD3475" t="s">
        <v>73</v>
      </c>
    </row>
    <row r="3476" spans="1:56" x14ac:dyDescent="0.35">
      <c r="A3476">
        <v>7761888</v>
      </c>
      <c r="B3476" t="s">
        <v>2321</v>
      </c>
      <c r="C3476" t="s">
        <v>386</v>
      </c>
      <c r="D3476" t="s">
        <v>85</v>
      </c>
      <c r="E3476" t="s">
        <v>86</v>
      </c>
      <c r="F3476" t="s">
        <v>58</v>
      </c>
      <c r="G3476" t="s">
        <v>59</v>
      </c>
      <c r="H3476" t="s">
        <v>60</v>
      </c>
      <c r="J3476" t="s">
        <v>86</v>
      </c>
      <c r="L3476" t="s">
        <v>62</v>
      </c>
      <c r="M3476" t="s">
        <v>63</v>
      </c>
      <c r="N3476" t="s">
        <v>64</v>
      </c>
      <c r="O3476">
        <v>6</v>
      </c>
      <c r="P3476" t="s">
        <v>201</v>
      </c>
      <c r="R3476">
        <v>4.5600000000000002E-2</v>
      </c>
      <c r="T3476">
        <v>3.4799999999999998E-2</v>
      </c>
      <c r="V3476">
        <v>5.9799999999999999E-2</v>
      </c>
      <c r="W3476" t="s">
        <v>66</v>
      </c>
      <c r="X3476" t="s">
        <v>67</v>
      </c>
      <c r="Y3476" t="s">
        <v>67</v>
      </c>
      <c r="Z3476" t="s">
        <v>68</v>
      </c>
      <c r="AB3476">
        <v>4</v>
      </c>
      <c r="AC3476" t="s">
        <v>61</v>
      </c>
      <c r="AJ3476" t="s">
        <v>69</v>
      </c>
      <c r="AY3476" t="s">
        <v>2344</v>
      </c>
      <c r="AZ3476">
        <v>18858</v>
      </c>
      <c r="BA3476" t="s">
        <v>2345</v>
      </c>
      <c r="BB3476" t="s">
        <v>2346</v>
      </c>
      <c r="BC3476">
        <v>1984</v>
      </c>
      <c r="BD3476" t="s">
        <v>90</v>
      </c>
    </row>
    <row r="3477" spans="1:56" x14ac:dyDescent="0.35">
      <c r="A3477">
        <v>7761888</v>
      </c>
      <c r="B3477" t="s">
        <v>2321</v>
      </c>
      <c r="D3477" t="s">
        <v>57</v>
      </c>
      <c r="E3477" t="s">
        <v>86</v>
      </c>
      <c r="F3477" t="s">
        <v>58</v>
      </c>
      <c r="G3477" t="s">
        <v>59</v>
      </c>
      <c r="H3477" t="s">
        <v>60</v>
      </c>
      <c r="J3477" t="s">
        <v>86</v>
      </c>
      <c r="L3477" t="s">
        <v>74</v>
      </c>
      <c r="M3477" t="s">
        <v>63</v>
      </c>
      <c r="N3477" t="s">
        <v>64</v>
      </c>
      <c r="P3477" t="s">
        <v>201</v>
      </c>
      <c r="R3477">
        <v>5.3E-3</v>
      </c>
      <c r="T3477">
        <v>4.9199999999999999E-3</v>
      </c>
      <c r="V3477">
        <v>5.7299999999999999E-3</v>
      </c>
      <c r="W3477" t="s">
        <v>66</v>
      </c>
      <c r="X3477" t="s">
        <v>67</v>
      </c>
      <c r="Y3477" t="s">
        <v>67</v>
      </c>
      <c r="Z3477" t="s">
        <v>68</v>
      </c>
      <c r="AB3477">
        <v>4</v>
      </c>
      <c r="AC3477" t="s">
        <v>61</v>
      </c>
      <c r="AJ3477" t="s">
        <v>69</v>
      </c>
      <c r="AY3477" t="s">
        <v>771</v>
      </c>
      <c r="AZ3477">
        <v>9479</v>
      </c>
      <c r="BA3477" t="s">
        <v>1117</v>
      </c>
      <c r="BB3477" t="s">
        <v>1118</v>
      </c>
      <c r="BC3477">
        <v>1981</v>
      </c>
      <c r="BD3477" t="s">
        <v>90</v>
      </c>
    </row>
    <row r="3478" spans="1:56" x14ac:dyDescent="0.35">
      <c r="A3478">
        <v>7761888</v>
      </c>
      <c r="B3478" t="s">
        <v>2321</v>
      </c>
      <c r="C3478" t="s">
        <v>195</v>
      </c>
      <c r="D3478" t="s">
        <v>85</v>
      </c>
      <c r="E3478" t="s">
        <v>86</v>
      </c>
      <c r="F3478" t="s">
        <v>58</v>
      </c>
      <c r="G3478" t="s">
        <v>59</v>
      </c>
      <c r="H3478" t="s">
        <v>60</v>
      </c>
      <c r="I3478" t="s">
        <v>177</v>
      </c>
      <c r="J3478" t="s">
        <v>289</v>
      </c>
      <c r="K3478" t="s">
        <v>184</v>
      </c>
      <c r="L3478" t="s">
        <v>62</v>
      </c>
      <c r="M3478" t="s">
        <v>63</v>
      </c>
      <c r="N3478" t="s">
        <v>64</v>
      </c>
      <c r="P3478" t="s">
        <v>201</v>
      </c>
      <c r="R3478">
        <v>9.0600000000000003E-3</v>
      </c>
      <c r="T3478">
        <v>8.3599999999999994E-3</v>
      </c>
      <c r="V3478">
        <v>9.7599999999999996E-3</v>
      </c>
      <c r="W3478" t="s">
        <v>66</v>
      </c>
      <c r="X3478" t="s">
        <v>67</v>
      </c>
      <c r="Y3478" t="s">
        <v>67</v>
      </c>
      <c r="Z3478" t="s">
        <v>68</v>
      </c>
      <c r="AB3478">
        <v>4</v>
      </c>
      <c r="AC3478" t="s">
        <v>61</v>
      </c>
      <c r="AJ3478" t="s">
        <v>69</v>
      </c>
      <c r="AY3478" t="s">
        <v>2325</v>
      </c>
      <c r="AZ3478">
        <v>19218</v>
      </c>
      <c r="BA3478" t="s">
        <v>2326</v>
      </c>
      <c r="BB3478" t="s">
        <v>2327</v>
      </c>
      <c r="BC3478">
        <v>1999</v>
      </c>
      <c r="BD3478" t="s">
        <v>185</v>
      </c>
    </row>
    <row r="3479" spans="1:56" x14ac:dyDescent="0.35">
      <c r="A3479">
        <v>7761888</v>
      </c>
      <c r="B3479" t="s">
        <v>2321</v>
      </c>
      <c r="D3479" t="s">
        <v>57</v>
      </c>
      <c r="E3479" t="s">
        <v>86</v>
      </c>
      <c r="F3479" t="s">
        <v>58</v>
      </c>
      <c r="G3479" t="s">
        <v>59</v>
      </c>
      <c r="H3479" t="s">
        <v>60</v>
      </c>
      <c r="J3479" t="s">
        <v>86</v>
      </c>
      <c r="L3479" t="s">
        <v>62</v>
      </c>
      <c r="M3479" t="s">
        <v>63</v>
      </c>
      <c r="N3479" t="s">
        <v>64</v>
      </c>
      <c r="P3479" t="s">
        <v>201</v>
      </c>
      <c r="R3479">
        <v>2.266E-2</v>
      </c>
      <c r="T3479">
        <v>1.881E-2</v>
      </c>
      <c r="V3479">
        <v>2.7089999999999999E-2</v>
      </c>
      <c r="W3479" t="s">
        <v>66</v>
      </c>
      <c r="X3479" t="s">
        <v>67</v>
      </c>
      <c r="Y3479" t="s">
        <v>67</v>
      </c>
      <c r="Z3479" t="s">
        <v>68</v>
      </c>
      <c r="AB3479">
        <v>4</v>
      </c>
      <c r="AC3479" t="s">
        <v>61</v>
      </c>
      <c r="AJ3479" t="s">
        <v>69</v>
      </c>
      <c r="AY3479" t="s">
        <v>771</v>
      </c>
      <c r="AZ3479">
        <v>9479</v>
      </c>
      <c r="BA3479" t="s">
        <v>1117</v>
      </c>
      <c r="BB3479" t="s">
        <v>1118</v>
      </c>
      <c r="BC3479">
        <v>1981</v>
      </c>
      <c r="BD3479" t="s">
        <v>90</v>
      </c>
    </row>
    <row r="3480" spans="1:56" x14ac:dyDescent="0.35">
      <c r="A3480">
        <v>7761888</v>
      </c>
      <c r="B3480" t="s">
        <v>2321</v>
      </c>
      <c r="D3480" t="s">
        <v>85</v>
      </c>
      <c r="E3480" t="s">
        <v>86</v>
      </c>
      <c r="F3480" t="s">
        <v>58</v>
      </c>
      <c r="G3480" t="s">
        <v>59</v>
      </c>
      <c r="H3480" t="s">
        <v>60</v>
      </c>
      <c r="J3480" t="s">
        <v>86</v>
      </c>
      <c r="L3480" t="s">
        <v>74</v>
      </c>
      <c r="M3480" t="s">
        <v>63</v>
      </c>
      <c r="N3480" t="s">
        <v>64</v>
      </c>
      <c r="P3480" t="s">
        <v>201</v>
      </c>
      <c r="R3480">
        <v>1.6E-2</v>
      </c>
      <c r="T3480">
        <v>1.2E-2</v>
      </c>
      <c r="V3480">
        <v>0.02</v>
      </c>
      <c r="W3480" t="s">
        <v>66</v>
      </c>
      <c r="X3480" t="s">
        <v>67</v>
      </c>
      <c r="Y3480" t="s">
        <v>67</v>
      </c>
      <c r="Z3480" t="s">
        <v>68</v>
      </c>
      <c r="AB3480">
        <v>4</v>
      </c>
      <c r="AC3480" t="s">
        <v>61</v>
      </c>
      <c r="AJ3480" t="s">
        <v>69</v>
      </c>
      <c r="AY3480" t="s">
        <v>525</v>
      </c>
      <c r="AZ3480">
        <v>14379</v>
      </c>
      <c r="BA3480" t="s">
        <v>2363</v>
      </c>
      <c r="BB3480" t="s">
        <v>2364</v>
      </c>
      <c r="BC3480">
        <v>1979</v>
      </c>
      <c r="BD3480" t="s">
        <v>90</v>
      </c>
    </row>
    <row r="3481" spans="1:56" x14ac:dyDescent="0.35">
      <c r="A3481">
        <v>7761888</v>
      </c>
      <c r="B3481" t="s">
        <v>2321</v>
      </c>
      <c r="C3481" t="s">
        <v>195</v>
      </c>
      <c r="D3481" t="s">
        <v>85</v>
      </c>
      <c r="E3481" t="s">
        <v>86</v>
      </c>
      <c r="F3481" t="s">
        <v>58</v>
      </c>
      <c r="G3481" t="s">
        <v>59</v>
      </c>
      <c r="H3481" t="s">
        <v>60</v>
      </c>
      <c r="I3481" t="s">
        <v>177</v>
      </c>
      <c r="J3481">
        <v>4</v>
      </c>
      <c r="K3481" t="s">
        <v>61</v>
      </c>
      <c r="L3481" t="s">
        <v>62</v>
      </c>
      <c r="M3481" t="s">
        <v>63</v>
      </c>
      <c r="N3481" t="s">
        <v>64</v>
      </c>
      <c r="O3481">
        <v>6</v>
      </c>
      <c r="P3481" t="s">
        <v>201</v>
      </c>
      <c r="R3481">
        <v>4.3E-3</v>
      </c>
      <c r="T3481">
        <v>3.8999999999999998E-3</v>
      </c>
      <c r="V3481">
        <v>4.7999999999999996E-3</v>
      </c>
      <c r="W3481" t="s">
        <v>66</v>
      </c>
      <c r="X3481" t="s">
        <v>67</v>
      </c>
      <c r="Y3481" t="s">
        <v>67</v>
      </c>
      <c r="Z3481" t="s">
        <v>68</v>
      </c>
      <c r="AB3481">
        <v>4</v>
      </c>
      <c r="AC3481" t="s">
        <v>61</v>
      </c>
      <c r="AJ3481" t="s">
        <v>69</v>
      </c>
      <c r="AY3481" t="s">
        <v>2328</v>
      </c>
      <c r="AZ3481">
        <v>83754</v>
      </c>
      <c r="BA3481" t="s">
        <v>2329</v>
      </c>
      <c r="BB3481" t="s">
        <v>2330</v>
      </c>
      <c r="BC3481">
        <v>1996</v>
      </c>
      <c r="BD3481" t="s">
        <v>73</v>
      </c>
    </row>
    <row r="3482" spans="1:56" x14ac:dyDescent="0.35">
      <c r="A3482">
        <v>7761888</v>
      </c>
      <c r="B3482" t="s">
        <v>2321</v>
      </c>
      <c r="D3482" t="s">
        <v>85</v>
      </c>
      <c r="E3482" t="s">
        <v>86</v>
      </c>
      <c r="F3482" t="s">
        <v>58</v>
      </c>
      <c r="G3482" t="s">
        <v>59</v>
      </c>
      <c r="H3482" t="s">
        <v>60</v>
      </c>
      <c r="J3482" t="s">
        <v>86</v>
      </c>
      <c r="L3482" t="s">
        <v>190</v>
      </c>
      <c r="M3482" t="s">
        <v>63</v>
      </c>
      <c r="N3482" t="s">
        <v>64</v>
      </c>
      <c r="P3482" t="s">
        <v>1296</v>
      </c>
      <c r="R3482">
        <v>4.8999999999999998E-3</v>
      </c>
      <c r="W3482" t="s">
        <v>66</v>
      </c>
      <c r="X3482" t="s">
        <v>67</v>
      </c>
      <c r="Y3482" t="s">
        <v>67</v>
      </c>
      <c r="Z3482" t="s">
        <v>68</v>
      </c>
      <c r="AB3482">
        <v>4</v>
      </c>
      <c r="AC3482" t="s">
        <v>61</v>
      </c>
      <c r="AJ3482" t="s">
        <v>69</v>
      </c>
      <c r="AQ3482" t="s">
        <v>69</v>
      </c>
      <c r="AY3482" t="s">
        <v>2337</v>
      </c>
      <c r="AZ3482">
        <v>19262</v>
      </c>
      <c r="BA3482" t="s">
        <v>2338</v>
      </c>
      <c r="BB3482" t="s">
        <v>2339</v>
      </c>
      <c r="BC3482">
        <v>1999</v>
      </c>
      <c r="BD3482" t="s">
        <v>2365</v>
      </c>
    </row>
    <row r="3483" spans="1:56" x14ac:dyDescent="0.35">
      <c r="A3483">
        <v>7761888</v>
      </c>
      <c r="B3483" t="s">
        <v>2321</v>
      </c>
      <c r="D3483" t="s">
        <v>85</v>
      </c>
      <c r="E3483" t="s">
        <v>86</v>
      </c>
      <c r="F3483" t="s">
        <v>58</v>
      </c>
      <c r="G3483" t="s">
        <v>59</v>
      </c>
      <c r="H3483" t="s">
        <v>60</v>
      </c>
      <c r="J3483" t="s">
        <v>86</v>
      </c>
      <c r="L3483" t="s">
        <v>190</v>
      </c>
      <c r="M3483" t="s">
        <v>63</v>
      </c>
      <c r="N3483" t="s">
        <v>64</v>
      </c>
      <c r="P3483" t="s">
        <v>1296</v>
      </c>
      <c r="R3483">
        <v>6.1000000000000004E-3</v>
      </c>
      <c r="W3483" t="s">
        <v>66</v>
      </c>
      <c r="X3483" t="s">
        <v>67</v>
      </c>
      <c r="Y3483" t="s">
        <v>67</v>
      </c>
      <c r="Z3483" t="s">
        <v>68</v>
      </c>
      <c r="AB3483">
        <v>4</v>
      </c>
      <c r="AC3483" t="s">
        <v>61</v>
      </c>
      <c r="AJ3483" t="s">
        <v>69</v>
      </c>
      <c r="AQ3483" t="s">
        <v>69</v>
      </c>
      <c r="AY3483" t="s">
        <v>2337</v>
      </c>
      <c r="AZ3483">
        <v>19262</v>
      </c>
      <c r="BA3483" t="s">
        <v>2338</v>
      </c>
      <c r="BB3483" t="s">
        <v>2339</v>
      </c>
      <c r="BC3483">
        <v>1999</v>
      </c>
      <c r="BD3483" t="s">
        <v>2366</v>
      </c>
    </row>
    <row r="3484" spans="1:56" x14ac:dyDescent="0.35">
      <c r="A3484">
        <v>7761888</v>
      </c>
      <c r="B3484" t="s">
        <v>2321</v>
      </c>
      <c r="C3484" t="s">
        <v>195</v>
      </c>
      <c r="D3484" t="s">
        <v>85</v>
      </c>
      <c r="E3484" t="s">
        <v>86</v>
      </c>
      <c r="F3484" t="s">
        <v>58</v>
      </c>
      <c r="G3484" t="s">
        <v>59</v>
      </c>
      <c r="H3484" t="s">
        <v>60</v>
      </c>
      <c r="I3484" t="s">
        <v>188</v>
      </c>
      <c r="J3484">
        <v>28</v>
      </c>
      <c r="K3484" t="s">
        <v>61</v>
      </c>
      <c r="L3484" t="s">
        <v>62</v>
      </c>
      <c r="M3484" t="s">
        <v>63</v>
      </c>
      <c r="N3484" t="s">
        <v>64</v>
      </c>
      <c r="O3484">
        <v>6</v>
      </c>
      <c r="P3484" t="s">
        <v>201</v>
      </c>
      <c r="R3484">
        <v>2.4E-2</v>
      </c>
      <c r="T3484">
        <v>2.2200000000000001E-2</v>
      </c>
      <c r="V3484">
        <v>2.58E-2</v>
      </c>
      <c r="W3484" t="s">
        <v>66</v>
      </c>
      <c r="X3484" t="s">
        <v>67</v>
      </c>
      <c r="Y3484" t="s">
        <v>67</v>
      </c>
      <c r="Z3484" t="s">
        <v>68</v>
      </c>
      <c r="AB3484">
        <v>4</v>
      </c>
      <c r="AC3484" t="s">
        <v>61</v>
      </c>
      <c r="AJ3484" t="s">
        <v>69</v>
      </c>
      <c r="AY3484" t="s">
        <v>2328</v>
      </c>
      <c r="AZ3484">
        <v>83754</v>
      </c>
      <c r="BA3484" t="s">
        <v>2329</v>
      </c>
      <c r="BB3484" t="s">
        <v>2330</v>
      </c>
      <c r="BC3484">
        <v>1996</v>
      </c>
      <c r="BD3484" t="s">
        <v>73</v>
      </c>
    </row>
    <row r="3485" spans="1:56" x14ac:dyDescent="0.35">
      <c r="A3485">
        <v>7761888</v>
      </c>
      <c r="B3485" t="s">
        <v>2321</v>
      </c>
      <c r="D3485" t="s">
        <v>57</v>
      </c>
      <c r="E3485" t="s">
        <v>86</v>
      </c>
      <c r="F3485" t="s">
        <v>58</v>
      </c>
      <c r="G3485" t="s">
        <v>59</v>
      </c>
      <c r="H3485" t="s">
        <v>60</v>
      </c>
      <c r="J3485" t="s">
        <v>86</v>
      </c>
      <c r="L3485" t="s">
        <v>74</v>
      </c>
      <c r="M3485" t="s">
        <v>63</v>
      </c>
      <c r="N3485" t="s">
        <v>64</v>
      </c>
      <c r="P3485" t="s">
        <v>201</v>
      </c>
      <c r="R3485">
        <v>1.11E-2</v>
      </c>
      <c r="T3485">
        <v>8.6E-3</v>
      </c>
      <c r="V3485">
        <v>1.43E-2</v>
      </c>
      <c r="W3485" t="s">
        <v>66</v>
      </c>
      <c r="X3485" t="s">
        <v>67</v>
      </c>
      <c r="Y3485" t="s">
        <v>67</v>
      </c>
      <c r="Z3485" t="s">
        <v>68</v>
      </c>
      <c r="AB3485">
        <v>4</v>
      </c>
      <c r="AC3485" t="s">
        <v>61</v>
      </c>
      <c r="AJ3485" t="s">
        <v>69</v>
      </c>
      <c r="AY3485" t="s">
        <v>771</v>
      </c>
      <c r="AZ3485">
        <v>9479</v>
      </c>
      <c r="BA3485" t="s">
        <v>1117</v>
      </c>
      <c r="BB3485" t="s">
        <v>1118</v>
      </c>
      <c r="BC3485">
        <v>1981</v>
      </c>
      <c r="BD3485" t="s">
        <v>90</v>
      </c>
    </row>
    <row r="3486" spans="1:56" x14ac:dyDescent="0.35">
      <c r="A3486">
        <v>7761888</v>
      </c>
      <c r="B3486" t="s">
        <v>2321</v>
      </c>
      <c r="D3486" t="s">
        <v>57</v>
      </c>
      <c r="E3486" t="s">
        <v>86</v>
      </c>
      <c r="F3486" t="s">
        <v>58</v>
      </c>
      <c r="G3486" t="s">
        <v>59</v>
      </c>
      <c r="H3486" t="s">
        <v>60</v>
      </c>
      <c r="J3486" t="s">
        <v>86</v>
      </c>
      <c r="L3486" t="s">
        <v>62</v>
      </c>
      <c r="M3486" t="s">
        <v>63</v>
      </c>
      <c r="N3486" t="s">
        <v>64</v>
      </c>
      <c r="P3486" t="s">
        <v>201</v>
      </c>
      <c r="R3486">
        <v>6.7000000000000002E-3</v>
      </c>
      <c r="T3486">
        <v>5.1999999999999998E-3</v>
      </c>
      <c r="V3486">
        <v>8.6199999999999992E-3</v>
      </c>
      <c r="W3486" t="s">
        <v>66</v>
      </c>
      <c r="X3486" t="s">
        <v>67</v>
      </c>
      <c r="Y3486" t="s">
        <v>67</v>
      </c>
      <c r="Z3486" t="s">
        <v>68</v>
      </c>
      <c r="AB3486">
        <v>4</v>
      </c>
      <c r="AC3486" t="s">
        <v>61</v>
      </c>
      <c r="AJ3486" t="s">
        <v>69</v>
      </c>
      <c r="AY3486" t="s">
        <v>771</v>
      </c>
      <c r="AZ3486">
        <v>9479</v>
      </c>
      <c r="BA3486" t="s">
        <v>1117</v>
      </c>
      <c r="BB3486" t="s">
        <v>1118</v>
      </c>
      <c r="BC3486">
        <v>1981</v>
      </c>
      <c r="BD3486" t="s">
        <v>90</v>
      </c>
    </row>
    <row r="3487" spans="1:56" x14ac:dyDescent="0.35">
      <c r="A3487">
        <v>7761888</v>
      </c>
      <c r="B3487" t="s">
        <v>2321</v>
      </c>
      <c r="D3487" t="s">
        <v>57</v>
      </c>
      <c r="E3487" t="s">
        <v>86</v>
      </c>
      <c r="F3487" t="s">
        <v>58</v>
      </c>
      <c r="G3487" t="s">
        <v>59</v>
      </c>
      <c r="H3487" t="s">
        <v>60</v>
      </c>
      <c r="J3487" t="s">
        <v>86</v>
      </c>
      <c r="L3487" t="s">
        <v>62</v>
      </c>
      <c r="M3487" t="s">
        <v>63</v>
      </c>
      <c r="N3487" t="s">
        <v>64</v>
      </c>
      <c r="P3487" t="s">
        <v>201</v>
      </c>
      <c r="R3487">
        <v>1.23E-2</v>
      </c>
      <c r="T3487">
        <v>1.14E-2</v>
      </c>
      <c r="V3487">
        <v>1.35E-2</v>
      </c>
      <c r="W3487" t="s">
        <v>66</v>
      </c>
      <c r="X3487" t="s">
        <v>67</v>
      </c>
      <c r="Y3487" t="s">
        <v>67</v>
      </c>
      <c r="Z3487" t="s">
        <v>68</v>
      </c>
      <c r="AB3487">
        <v>4</v>
      </c>
      <c r="AC3487" t="s">
        <v>61</v>
      </c>
      <c r="AJ3487" t="s">
        <v>69</v>
      </c>
      <c r="AY3487" t="s">
        <v>771</v>
      </c>
      <c r="AZ3487">
        <v>9479</v>
      </c>
      <c r="BA3487" t="s">
        <v>1117</v>
      </c>
      <c r="BB3487" t="s">
        <v>1118</v>
      </c>
      <c r="BC3487">
        <v>1981</v>
      </c>
      <c r="BD3487" t="s">
        <v>90</v>
      </c>
    </row>
    <row r="3488" spans="1:56" x14ac:dyDescent="0.35">
      <c r="A3488">
        <v>7761888</v>
      </c>
      <c r="B3488" t="s">
        <v>2321</v>
      </c>
      <c r="C3488" t="s">
        <v>195</v>
      </c>
      <c r="D3488" t="s">
        <v>85</v>
      </c>
      <c r="E3488" t="s">
        <v>86</v>
      </c>
      <c r="F3488" t="s">
        <v>58</v>
      </c>
      <c r="G3488" t="s">
        <v>59</v>
      </c>
      <c r="H3488" t="s">
        <v>60</v>
      </c>
      <c r="I3488" t="s">
        <v>177</v>
      </c>
      <c r="J3488">
        <v>4</v>
      </c>
      <c r="K3488" t="s">
        <v>61</v>
      </c>
      <c r="L3488" t="s">
        <v>62</v>
      </c>
      <c r="M3488" t="s">
        <v>63</v>
      </c>
      <c r="N3488" t="s">
        <v>64</v>
      </c>
      <c r="O3488">
        <v>6</v>
      </c>
      <c r="P3488" t="s">
        <v>201</v>
      </c>
      <c r="R3488">
        <v>8.6999999999999994E-3</v>
      </c>
      <c r="T3488">
        <v>7.9000000000000008E-3</v>
      </c>
      <c r="V3488">
        <v>9.4999999999999998E-3</v>
      </c>
      <c r="W3488" t="s">
        <v>66</v>
      </c>
      <c r="X3488" t="s">
        <v>67</v>
      </c>
      <c r="Y3488" t="s">
        <v>67</v>
      </c>
      <c r="Z3488" t="s">
        <v>68</v>
      </c>
      <c r="AB3488">
        <v>4</v>
      </c>
      <c r="AC3488" t="s">
        <v>61</v>
      </c>
      <c r="AJ3488" t="s">
        <v>69</v>
      </c>
      <c r="AY3488" t="s">
        <v>2328</v>
      </c>
      <c r="AZ3488">
        <v>83754</v>
      </c>
      <c r="BA3488" t="s">
        <v>2329</v>
      </c>
      <c r="BB3488" t="s">
        <v>2330</v>
      </c>
      <c r="BC3488">
        <v>1996</v>
      </c>
      <c r="BD3488" t="s">
        <v>73</v>
      </c>
    </row>
    <row r="3489" spans="1:56" x14ac:dyDescent="0.35">
      <c r="A3489">
        <v>7761888</v>
      </c>
      <c r="B3489" t="s">
        <v>2321</v>
      </c>
      <c r="C3489" t="s">
        <v>195</v>
      </c>
      <c r="D3489" t="s">
        <v>85</v>
      </c>
      <c r="E3489" t="s">
        <v>86</v>
      </c>
      <c r="F3489" t="s">
        <v>58</v>
      </c>
      <c r="G3489" t="s">
        <v>59</v>
      </c>
      <c r="H3489" t="s">
        <v>60</v>
      </c>
      <c r="I3489" t="s">
        <v>177</v>
      </c>
      <c r="J3489">
        <v>4</v>
      </c>
      <c r="K3489" t="s">
        <v>61</v>
      </c>
      <c r="L3489" t="s">
        <v>62</v>
      </c>
      <c r="M3489" t="s">
        <v>63</v>
      </c>
      <c r="N3489" t="s">
        <v>64</v>
      </c>
      <c r="O3489">
        <v>6</v>
      </c>
      <c r="P3489" t="s">
        <v>201</v>
      </c>
      <c r="R3489">
        <v>4.1999999999999997E-3</v>
      </c>
      <c r="T3489">
        <v>3.8E-3</v>
      </c>
      <c r="V3489">
        <v>4.7000000000000002E-3</v>
      </c>
      <c r="W3489" t="s">
        <v>66</v>
      </c>
      <c r="X3489" t="s">
        <v>67</v>
      </c>
      <c r="Y3489" t="s">
        <v>67</v>
      </c>
      <c r="Z3489" t="s">
        <v>68</v>
      </c>
      <c r="AB3489">
        <v>4</v>
      </c>
      <c r="AC3489" t="s">
        <v>61</v>
      </c>
      <c r="AJ3489" t="s">
        <v>69</v>
      </c>
      <c r="AY3489" t="s">
        <v>2328</v>
      </c>
      <c r="AZ3489">
        <v>83754</v>
      </c>
      <c r="BA3489" t="s">
        <v>2329</v>
      </c>
      <c r="BB3489" t="s">
        <v>2330</v>
      </c>
      <c r="BC3489">
        <v>1996</v>
      </c>
      <c r="BD3489" t="s">
        <v>73</v>
      </c>
    </row>
    <row r="3490" spans="1:56" x14ac:dyDescent="0.35">
      <c r="A3490">
        <v>7761888</v>
      </c>
      <c r="B3490" t="s">
        <v>2321</v>
      </c>
      <c r="C3490" t="s">
        <v>386</v>
      </c>
      <c r="D3490" t="s">
        <v>85</v>
      </c>
      <c r="E3490" t="s">
        <v>86</v>
      </c>
      <c r="F3490" t="s">
        <v>58</v>
      </c>
      <c r="G3490" t="s">
        <v>59</v>
      </c>
      <c r="H3490" t="s">
        <v>60</v>
      </c>
      <c r="J3490" t="s">
        <v>86</v>
      </c>
      <c r="L3490" t="s">
        <v>62</v>
      </c>
      <c r="M3490" t="s">
        <v>63</v>
      </c>
      <c r="N3490" t="s">
        <v>64</v>
      </c>
      <c r="O3490">
        <v>6</v>
      </c>
      <c r="P3490" t="s">
        <v>201</v>
      </c>
      <c r="R3490">
        <v>4.1300000000000003E-2</v>
      </c>
      <c r="T3490">
        <v>2.58E-2</v>
      </c>
      <c r="V3490">
        <v>5.0099999999999999E-2</v>
      </c>
      <c r="W3490" t="s">
        <v>66</v>
      </c>
      <c r="X3490" t="s">
        <v>67</v>
      </c>
      <c r="Y3490" t="s">
        <v>67</v>
      </c>
      <c r="Z3490" t="s">
        <v>68</v>
      </c>
      <c r="AB3490">
        <v>4</v>
      </c>
      <c r="AC3490" t="s">
        <v>61</v>
      </c>
      <c r="AJ3490" t="s">
        <v>69</v>
      </c>
      <c r="AY3490" t="s">
        <v>2344</v>
      </c>
      <c r="AZ3490">
        <v>18858</v>
      </c>
      <c r="BA3490" t="s">
        <v>2345</v>
      </c>
      <c r="BB3490" t="s">
        <v>2346</v>
      </c>
      <c r="BC3490">
        <v>1984</v>
      </c>
      <c r="BD3490" t="s">
        <v>90</v>
      </c>
    </row>
    <row r="3491" spans="1:56" x14ac:dyDescent="0.35">
      <c r="A3491">
        <v>7761888</v>
      </c>
      <c r="B3491" t="s">
        <v>2321</v>
      </c>
      <c r="C3491" t="s">
        <v>195</v>
      </c>
      <c r="D3491" t="s">
        <v>85</v>
      </c>
      <c r="E3491" t="s">
        <v>86</v>
      </c>
      <c r="F3491" t="s">
        <v>58</v>
      </c>
      <c r="G3491" t="s">
        <v>59</v>
      </c>
      <c r="H3491" t="s">
        <v>60</v>
      </c>
      <c r="I3491" t="s">
        <v>177</v>
      </c>
      <c r="J3491" t="s">
        <v>289</v>
      </c>
      <c r="K3491" t="s">
        <v>184</v>
      </c>
      <c r="L3491" t="s">
        <v>62</v>
      </c>
      <c r="M3491" t="s">
        <v>63</v>
      </c>
      <c r="N3491" t="s">
        <v>64</v>
      </c>
      <c r="P3491" t="s">
        <v>201</v>
      </c>
      <c r="R3491">
        <v>2.3400000000000001E-3</v>
      </c>
      <c r="T3491">
        <v>2.0999999999999999E-3</v>
      </c>
      <c r="V3491">
        <v>3.47E-3</v>
      </c>
      <c r="W3491" t="s">
        <v>66</v>
      </c>
      <c r="X3491" t="s">
        <v>67</v>
      </c>
      <c r="Y3491" t="s">
        <v>67</v>
      </c>
      <c r="Z3491" t="s">
        <v>68</v>
      </c>
      <c r="AB3491">
        <v>4</v>
      </c>
      <c r="AC3491" t="s">
        <v>61</v>
      </c>
      <c r="AJ3491" t="s">
        <v>69</v>
      </c>
      <c r="AY3491" t="s">
        <v>2325</v>
      </c>
      <c r="AZ3491">
        <v>19218</v>
      </c>
      <c r="BA3491" t="s">
        <v>2326</v>
      </c>
      <c r="BB3491" t="s">
        <v>2327</v>
      </c>
      <c r="BC3491">
        <v>1999</v>
      </c>
      <c r="BD3491" t="s">
        <v>185</v>
      </c>
    </row>
    <row r="3492" spans="1:56" x14ac:dyDescent="0.35">
      <c r="A3492">
        <v>7761888</v>
      </c>
      <c r="B3492" t="s">
        <v>2321</v>
      </c>
      <c r="C3492" t="s">
        <v>195</v>
      </c>
      <c r="D3492" t="s">
        <v>85</v>
      </c>
      <c r="E3492" t="s">
        <v>86</v>
      </c>
      <c r="F3492" t="s">
        <v>58</v>
      </c>
      <c r="G3492" t="s">
        <v>59</v>
      </c>
      <c r="H3492" t="s">
        <v>60</v>
      </c>
      <c r="I3492" t="s">
        <v>177</v>
      </c>
      <c r="J3492" t="s">
        <v>289</v>
      </c>
      <c r="K3492" t="s">
        <v>184</v>
      </c>
      <c r="L3492" t="s">
        <v>62</v>
      </c>
      <c r="M3492" t="s">
        <v>63</v>
      </c>
      <c r="N3492" t="s">
        <v>64</v>
      </c>
      <c r="P3492" t="s">
        <v>201</v>
      </c>
      <c r="R3492">
        <v>4.3200000000000001E-3</v>
      </c>
      <c r="T3492">
        <v>3.8600000000000001E-3</v>
      </c>
      <c r="V3492">
        <v>4.7800000000000004E-3</v>
      </c>
      <c r="W3492" t="s">
        <v>66</v>
      </c>
      <c r="X3492" t="s">
        <v>67</v>
      </c>
      <c r="Y3492" t="s">
        <v>67</v>
      </c>
      <c r="Z3492" t="s">
        <v>68</v>
      </c>
      <c r="AB3492">
        <v>4</v>
      </c>
      <c r="AC3492" t="s">
        <v>61</v>
      </c>
      <c r="AJ3492" t="s">
        <v>69</v>
      </c>
      <c r="AY3492" t="s">
        <v>2325</v>
      </c>
      <c r="AZ3492">
        <v>19218</v>
      </c>
      <c r="BA3492" t="s">
        <v>2326</v>
      </c>
      <c r="BB3492" t="s">
        <v>2327</v>
      </c>
      <c r="BC3492">
        <v>1999</v>
      </c>
      <c r="BD3492" t="s">
        <v>185</v>
      </c>
    </row>
    <row r="3493" spans="1:56" x14ac:dyDescent="0.35">
      <c r="A3493">
        <v>7761888</v>
      </c>
      <c r="B3493" t="s">
        <v>2321</v>
      </c>
      <c r="C3493" t="s">
        <v>195</v>
      </c>
      <c r="D3493" t="s">
        <v>85</v>
      </c>
      <c r="E3493" t="s">
        <v>86</v>
      </c>
      <c r="F3493" t="s">
        <v>58</v>
      </c>
      <c r="G3493" t="s">
        <v>59</v>
      </c>
      <c r="H3493" t="s">
        <v>60</v>
      </c>
      <c r="I3493" t="s">
        <v>177</v>
      </c>
      <c r="J3493">
        <v>4</v>
      </c>
      <c r="K3493" t="s">
        <v>61</v>
      </c>
      <c r="L3493" t="s">
        <v>62</v>
      </c>
      <c r="M3493" t="s">
        <v>63</v>
      </c>
      <c r="N3493" t="s">
        <v>64</v>
      </c>
      <c r="O3493">
        <v>6</v>
      </c>
      <c r="P3493" t="s">
        <v>201</v>
      </c>
      <c r="R3493">
        <v>8.3999999999999995E-3</v>
      </c>
      <c r="T3493">
        <v>7.7000000000000002E-3</v>
      </c>
      <c r="V3493">
        <v>9.1000000000000004E-3</v>
      </c>
      <c r="W3493" t="s">
        <v>66</v>
      </c>
      <c r="X3493" t="s">
        <v>67</v>
      </c>
      <c r="Y3493" t="s">
        <v>67</v>
      </c>
      <c r="Z3493" t="s">
        <v>68</v>
      </c>
      <c r="AB3493">
        <v>4</v>
      </c>
      <c r="AC3493" t="s">
        <v>61</v>
      </c>
      <c r="AJ3493" t="s">
        <v>69</v>
      </c>
      <c r="AY3493" t="s">
        <v>2328</v>
      </c>
      <c r="AZ3493">
        <v>83754</v>
      </c>
      <c r="BA3493" t="s">
        <v>2329</v>
      </c>
      <c r="BB3493" t="s">
        <v>2330</v>
      </c>
      <c r="BC3493">
        <v>1996</v>
      </c>
      <c r="BD3493" t="s">
        <v>73</v>
      </c>
    </row>
    <row r="3494" spans="1:56" x14ac:dyDescent="0.35">
      <c r="A3494">
        <v>7761888</v>
      </c>
      <c r="B3494" t="s">
        <v>2321</v>
      </c>
      <c r="D3494" t="s">
        <v>57</v>
      </c>
      <c r="E3494" t="s">
        <v>86</v>
      </c>
      <c r="F3494" t="s">
        <v>58</v>
      </c>
      <c r="G3494" t="s">
        <v>59</v>
      </c>
      <c r="H3494" t="s">
        <v>60</v>
      </c>
      <c r="J3494" t="s">
        <v>86</v>
      </c>
      <c r="L3494" t="s">
        <v>62</v>
      </c>
      <c r="M3494" t="s">
        <v>63</v>
      </c>
      <c r="N3494" t="s">
        <v>64</v>
      </c>
      <c r="P3494" t="s">
        <v>201</v>
      </c>
      <c r="R3494">
        <v>1.24E-2</v>
      </c>
      <c r="T3494">
        <v>7.45E-3</v>
      </c>
      <c r="V3494">
        <v>1.24E-2</v>
      </c>
      <c r="W3494" t="s">
        <v>66</v>
      </c>
      <c r="X3494" t="s">
        <v>67</v>
      </c>
      <c r="Y3494" t="s">
        <v>67</v>
      </c>
      <c r="Z3494" t="s">
        <v>68</v>
      </c>
      <c r="AB3494">
        <v>4</v>
      </c>
      <c r="AC3494" t="s">
        <v>61</v>
      </c>
      <c r="AJ3494" t="s">
        <v>69</v>
      </c>
      <c r="AY3494" t="s">
        <v>771</v>
      </c>
      <c r="AZ3494">
        <v>9479</v>
      </c>
      <c r="BA3494" t="s">
        <v>1117</v>
      </c>
      <c r="BB3494" t="s">
        <v>1118</v>
      </c>
      <c r="BC3494">
        <v>1981</v>
      </c>
      <c r="BD3494" t="s">
        <v>90</v>
      </c>
    </row>
    <row r="3495" spans="1:56" x14ac:dyDescent="0.35">
      <c r="A3495">
        <v>7761888</v>
      </c>
      <c r="B3495" t="s">
        <v>2321</v>
      </c>
      <c r="D3495" t="s">
        <v>57</v>
      </c>
      <c r="E3495">
        <v>99.7</v>
      </c>
      <c r="F3495" t="s">
        <v>58</v>
      </c>
      <c r="G3495" t="s">
        <v>59</v>
      </c>
      <c r="H3495" t="s">
        <v>60</v>
      </c>
      <c r="I3495" t="s">
        <v>129</v>
      </c>
      <c r="J3495" t="s">
        <v>86</v>
      </c>
      <c r="L3495" t="s">
        <v>62</v>
      </c>
      <c r="M3495" t="s">
        <v>63</v>
      </c>
      <c r="N3495" t="s">
        <v>64</v>
      </c>
      <c r="P3495" t="s">
        <v>201</v>
      </c>
      <c r="Q3495" t="s">
        <v>172</v>
      </c>
      <c r="R3495">
        <v>5.0000000000000001E-3</v>
      </c>
      <c r="W3495" t="s">
        <v>66</v>
      </c>
      <c r="X3495" t="s">
        <v>67</v>
      </c>
      <c r="Y3495" t="s">
        <v>67</v>
      </c>
      <c r="Z3495" t="s">
        <v>68</v>
      </c>
      <c r="AB3495">
        <v>4</v>
      </c>
      <c r="AC3495" t="s">
        <v>61</v>
      </c>
      <c r="AJ3495" t="s">
        <v>69</v>
      </c>
      <c r="AY3495" t="s">
        <v>2334</v>
      </c>
      <c r="AZ3495">
        <v>18938</v>
      </c>
      <c r="BA3495" t="s">
        <v>2335</v>
      </c>
      <c r="BB3495" t="s">
        <v>2336</v>
      </c>
      <c r="BC3495">
        <v>1998</v>
      </c>
      <c r="BD3495" t="s">
        <v>90</v>
      </c>
    </row>
    <row r="3496" spans="1:56" x14ac:dyDescent="0.35">
      <c r="A3496">
        <v>7761888</v>
      </c>
      <c r="B3496" t="s">
        <v>2321</v>
      </c>
      <c r="D3496" t="s">
        <v>57</v>
      </c>
      <c r="E3496" t="s">
        <v>86</v>
      </c>
      <c r="F3496" t="s">
        <v>58</v>
      </c>
      <c r="G3496" t="s">
        <v>59</v>
      </c>
      <c r="H3496" t="s">
        <v>60</v>
      </c>
      <c r="J3496" t="s">
        <v>86</v>
      </c>
      <c r="L3496" t="s">
        <v>62</v>
      </c>
      <c r="M3496" t="s">
        <v>63</v>
      </c>
      <c r="N3496" t="s">
        <v>64</v>
      </c>
      <c r="P3496" t="s">
        <v>201</v>
      </c>
      <c r="R3496">
        <v>3.0429999999999999E-2</v>
      </c>
      <c r="T3496">
        <v>2.4070000000000001E-2</v>
      </c>
      <c r="V3496">
        <v>3.5880000000000002E-2</v>
      </c>
      <c r="W3496" t="s">
        <v>66</v>
      </c>
      <c r="X3496" t="s">
        <v>67</v>
      </c>
      <c r="Y3496" t="s">
        <v>67</v>
      </c>
      <c r="Z3496" t="s">
        <v>68</v>
      </c>
      <c r="AB3496">
        <v>4</v>
      </c>
      <c r="AC3496" t="s">
        <v>61</v>
      </c>
      <c r="AJ3496" t="s">
        <v>69</v>
      </c>
      <c r="AY3496" t="s">
        <v>771</v>
      </c>
      <c r="AZ3496">
        <v>9479</v>
      </c>
      <c r="BA3496" t="s">
        <v>1117</v>
      </c>
      <c r="BB3496" t="s">
        <v>1118</v>
      </c>
      <c r="BC3496">
        <v>1981</v>
      </c>
      <c r="BD3496" t="s">
        <v>90</v>
      </c>
    </row>
    <row r="3497" spans="1:56" x14ac:dyDescent="0.35">
      <c r="A3497">
        <v>7761888</v>
      </c>
      <c r="B3497" t="s">
        <v>2321</v>
      </c>
      <c r="D3497" t="s">
        <v>57</v>
      </c>
      <c r="E3497">
        <v>99.7</v>
      </c>
      <c r="F3497" t="s">
        <v>58</v>
      </c>
      <c r="G3497" t="s">
        <v>59</v>
      </c>
      <c r="H3497" t="s">
        <v>60</v>
      </c>
      <c r="I3497" t="s">
        <v>129</v>
      </c>
      <c r="J3497" t="s">
        <v>86</v>
      </c>
      <c r="L3497" t="s">
        <v>74</v>
      </c>
      <c r="M3497" t="s">
        <v>63</v>
      </c>
      <c r="N3497" t="s">
        <v>64</v>
      </c>
      <c r="P3497" t="s">
        <v>201</v>
      </c>
      <c r="Q3497" t="s">
        <v>172</v>
      </c>
      <c r="R3497">
        <v>5.0000000000000001E-3</v>
      </c>
      <c r="W3497" t="s">
        <v>66</v>
      </c>
      <c r="X3497" t="s">
        <v>67</v>
      </c>
      <c r="Y3497" t="s">
        <v>67</v>
      </c>
      <c r="Z3497" t="s">
        <v>68</v>
      </c>
      <c r="AB3497">
        <v>4</v>
      </c>
      <c r="AC3497" t="s">
        <v>61</v>
      </c>
      <c r="AJ3497" t="s">
        <v>69</v>
      </c>
      <c r="AY3497" t="s">
        <v>2334</v>
      </c>
      <c r="AZ3497">
        <v>18938</v>
      </c>
      <c r="BA3497" t="s">
        <v>2335</v>
      </c>
      <c r="BB3497" t="s">
        <v>2336</v>
      </c>
      <c r="BC3497">
        <v>1998</v>
      </c>
      <c r="BD3497" t="s">
        <v>90</v>
      </c>
    </row>
    <row r="3498" spans="1:56" x14ac:dyDescent="0.35">
      <c r="A3498">
        <v>7761888</v>
      </c>
      <c r="B3498" t="s">
        <v>2321</v>
      </c>
      <c r="D3498" t="s">
        <v>57</v>
      </c>
      <c r="E3498" t="s">
        <v>86</v>
      </c>
      <c r="F3498" t="s">
        <v>58</v>
      </c>
      <c r="G3498" t="s">
        <v>59</v>
      </c>
      <c r="H3498" t="s">
        <v>60</v>
      </c>
      <c r="J3498" t="s">
        <v>86</v>
      </c>
      <c r="L3498" t="s">
        <v>74</v>
      </c>
      <c r="M3498" t="s">
        <v>63</v>
      </c>
      <c r="N3498" t="s">
        <v>64</v>
      </c>
      <c r="P3498" t="s">
        <v>201</v>
      </c>
      <c r="R3498">
        <v>3.8999999999999998E-3</v>
      </c>
      <c r="T3498">
        <v>3.5200000000000001E-3</v>
      </c>
      <c r="V3498">
        <v>4.2199999999999998E-3</v>
      </c>
      <c r="W3498" t="s">
        <v>66</v>
      </c>
      <c r="X3498" t="s">
        <v>67</v>
      </c>
      <c r="Y3498" t="s">
        <v>67</v>
      </c>
      <c r="Z3498" t="s">
        <v>68</v>
      </c>
      <c r="AB3498">
        <v>4</v>
      </c>
      <c r="AC3498" t="s">
        <v>61</v>
      </c>
      <c r="AJ3498" t="s">
        <v>69</v>
      </c>
      <c r="AY3498" t="s">
        <v>771</v>
      </c>
      <c r="AZ3498">
        <v>9479</v>
      </c>
      <c r="BA3498" t="s">
        <v>1117</v>
      </c>
      <c r="BB3498" t="s">
        <v>1118</v>
      </c>
      <c r="BC3498">
        <v>1981</v>
      </c>
      <c r="BD3498" t="s">
        <v>90</v>
      </c>
    </row>
    <row r="3499" spans="1:56" x14ac:dyDescent="0.35">
      <c r="A3499">
        <v>7761888</v>
      </c>
      <c r="B3499" t="s">
        <v>2321</v>
      </c>
      <c r="C3499" t="s">
        <v>195</v>
      </c>
      <c r="D3499" t="s">
        <v>85</v>
      </c>
      <c r="E3499" t="s">
        <v>86</v>
      </c>
      <c r="F3499" t="s">
        <v>58</v>
      </c>
      <c r="G3499" t="s">
        <v>59</v>
      </c>
      <c r="H3499" t="s">
        <v>60</v>
      </c>
      <c r="I3499" t="s">
        <v>177</v>
      </c>
      <c r="J3499">
        <v>4</v>
      </c>
      <c r="K3499" t="s">
        <v>61</v>
      </c>
      <c r="L3499" t="s">
        <v>62</v>
      </c>
      <c r="M3499" t="s">
        <v>63</v>
      </c>
      <c r="N3499" t="s">
        <v>64</v>
      </c>
      <c r="O3499">
        <v>6</v>
      </c>
      <c r="P3499" t="s">
        <v>201</v>
      </c>
      <c r="R3499">
        <v>5.4999999999999997E-3</v>
      </c>
      <c r="T3499">
        <v>5.1999999999999998E-3</v>
      </c>
      <c r="V3499">
        <v>5.7999999999999996E-3</v>
      </c>
      <c r="W3499" t="s">
        <v>66</v>
      </c>
      <c r="X3499" t="s">
        <v>67</v>
      </c>
      <c r="Y3499" t="s">
        <v>67</v>
      </c>
      <c r="Z3499" t="s">
        <v>68</v>
      </c>
      <c r="AB3499">
        <v>4</v>
      </c>
      <c r="AC3499" t="s">
        <v>61</v>
      </c>
      <c r="AJ3499" t="s">
        <v>69</v>
      </c>
      <c r="AY3499" t="s">
        <v>2328</v>
      </c>
      <c r="AZ3499">
        <v>83754</v>
      </c>
      <c r="BA3499" t="s">
        <v>2329</v>
      </c>
      <c r="BB3499" t="s">
        <v>2330</v>
      </c>
      <c r="BC3499">
        <v>1996</v>
      </c>
      <c r="BD3499" t="s">
        <v>73</v>
      </c>
    </row>
    <row r="3500" spans="1:56" x14ac:dyDescent="0.35">
      <c r="A3500">
        <v>7761888</v>
      </c>
      <c r="B3500" t="s">
        <v>2321</v>
      </c>
      <c r="C3500" t="s">
        <v>195</v>
      </c>
      <c r="D3500" t="s">
        <v>85</v>
      </c>
      <c r="E3500" t="s">
        <v>86</v>
      </c>
      <c r="F3500" t="s">
        <v>58</v>
      </c>
      <c r="G3500" t="s">
        <v>59</v>
      </c>
      <c r="H3500" t="s">
        <v>60</v>
      </c>
      <c r="I3500" t="s">
        <v>177</v>
      </c>
      <c r="J3500" t="s">
        <v>289</v>
      </c>
      <c r="K3500" t="s">
        <v>184</v>
      </c>
      <c r="L3500" t="s">
        <v>62</v>
      </c>
      <c r="M3500" t="s">
        <v>63</v>
      </c>
      <c r="N3500" t="s">
        <v>64</v>
      </c>
      <c r="P3500" t="s">
        <v>201</v>
      </c>
      <c r="R3500">
        <v>3.5599999999999998E-3</v>
      </c>
      <c r="W3500" t="s">
        <v>66</v>
      </c>
      <c r="X3500" t="s">
        <v>67</v>
      </c>
      <c r="Y3500" t="s">
        <v>67</v>
      </c>
      <c r="Z3500" t="s">
        <v>68</v>
      </c>
      <c r="AB3500">
        <v>4</v>
      </c>
      <c r="AC3500" t="s">
        <v>61</v>
      </c>
      <c r="AJ3500" t="s">
        <v>69</v>
      </c>
      <c r="AY3500" t="s">
        <v>2325</v>
      </c>
      <c r="AZ3500">
        <v>19218</v>
      </c>
      <c r="BA3500" t="s">
        <v>2326</v>
      </c>
      <c r="BB3500" t="s">
        <v>2327</v>
      </c>
      <c r="BC3500">
        <v>1999</v>
      </c>
      <c r="BD3500" t="s">
        <v>185</v>
      </c>
    </row>
    <row r="3501" spans="1:56" x14ac:dyDescent="0.35">
      <c r="A3501">
        <v>7761888</v>
      </c>
      <c r="B3501" t="s">
        <v>2321</v>
      </c>
      <c r="C3501" t="s">
        <v>386</v>
      </c>
      <c r="D3501" t="s">
        <v>85</v>
      </c>
      <c r="E3501" t="s">
        <v>86</v>
      </c>
      <c r="F3501" t="s">
        <v>58</v>
      </c>
      <c r="G3501" t="s">
        <v>59</v>
      </c>
      <c r="H3501" t="s">
        <v>60</v>
      </c>
      <c r="J3501" t="s">
        <v>86</v>
      </c>
      <c r="L3501" t="s">
        <v>62</v>
      </c>
      <c r="M3501" t="s">
        <v>63</v>
      </c>
      <c r="N3501" t="s">
        <v>64</v>
      </c>
      <c r="O3501">
        <v>6</v>
      </c>
      <c r="P3501" t="s">
        <v>201</v>
      </c>
      <c r="R3501">
        <v>3.6600000000000001E-2</v>
      </c>
      <c r="T3501">
        <v>3.1300000000000001E-2</v>
      </c>
      <c r="V3501">
        <v>4.4299999999999999E-2</v>
      </c>
      <c r="W3501" t="s">
        <v>66</v>
      </c>
      <c r="X3501" t="s">
        <v>67</v>
      </c>
      <c r="Y3501" t="s">
        <v>67</v>
      </c>
      <c r="Z3501" t="s">
        <v>68</v>
      </c>
      <c r="AB3501">
        <v>4</v>
      </c>
      <c r="AC3501" t="s">
        <v>61</v>
      </c>
      <c r="AJ3501" t="s">
        <v>69</v>
      </c>
      <c r="AY3501" t="s">
        <v>2344</v>
      </c>
      <c r="AZ3501">
        <v>18858</v>
      </c>
      <c r="BA3501" t="s">
        <v>2345</v>
      </c>
      <c r="BB3501" t="s">
        <v>2346</v>
      </c>
      <c r="BC3501">
        <v>1984</v>
      </c>
      <c r="BD3501" t="s">
        <v>90</v>
      </c>
    </row>
    <row r="3502" spans="1:56" x14ac:dyDescent="0.35">
      <c r="A3502">
        <v>7761888</v>
      </c>
      <c r="B3502" t="s">
        <v>2321</v>
      </c>
      <c r="D3502" t="s">
        <v>57</v>
      </c>
      <c r="E3502">
        <v>99.7</v>
      </c>
      <c r="F3502" t="s">
        <v>58</v>
      </c>
      <c r="G3502" t="s">
        <v>59</v>
      </c>
      <c r="H3502" t="s">
        <v>60</v>
      </c>
      <c r="I3502" t="s">
        <v>129</v>
      </c>
      <c r="J3502" t="s">
        <v>86</v>
      </c>
      <c r="L3502" t="s">
        <v>74</v>
      </c>
      <c r="M3502" t="s">
        <v>63</v>
      </c>
      <c r="N3502" t="s">
        <v>64</v>
      </c>
      <c r="P3502" t="s">
        <v>201</v>
      </c>
      <c r="R3502">
        <v>7.7999999999999996E-3</v>
      </c>
      <c r="T3502">
        <v>6.7999999999999996E-3</v>
      </c>
      <c r="V3502">
        <v>8.8999999999999999E-3</v>
      </c>
      <c r="W3502" t="s">
        <v>66</v>
      </c>
      <c r="X3502" t="s">
        <v>67</v>
      </c>
      <c r="Y3502" t="s">
        <v>67</v>
      </c>
      <c r="Z3502" t="s">
        <v>68</v>
      </c>
      <c r="AB3502">
        <v>4</v>
      </c>
      <c r="AC3502" t="s">
        <v>61</v>
      </c>
      <c r="AJ3502" t="s">
        <v>69</v>
      </c>
      <c r="AY3502" t="s">
        <v>2334</v>
      </c>
      <c r="AZ3502">
        <v>18938</v>
      </c>
      <c r="BA3502" t="s">
        <v>2335</v>
      </c>
      <c r="BB3502" t="s">
        <v>2336</v>
      </c>
      <c r="BC3502">
        <v>1998</v>
      </c>
      <c r="BD3502" t="s">
        <v>90</v>
      </c>
    </row>
    <row r="3503" spans="1:56" x14ac:dyDescent="0.35">
      <c r="A3503">
        <v>7761888</v>
      </c>
      <c r="B3503" t="s">
        <v>2321</v>
      </c>
      <c r="D3503" t="s">
        <v>57</v>
      </c>
      <c r="E3503">
        <v>99.7</v>
      </c>
      <c r="F3503" t="s">
        <v>58</v>
      </c>
      <c r="G3503" t="s">
        <v>59</v>
      </c>
      <c r="H3503" t="s">
        <v>60</v>
      </c>
      <c r="I3503" t="s">
        <v>129</v>
      </c>
      <c r="J3503">
        <v>29</v>
      </c>
      <c r="K3503" t="s">
        <v>61</v>
      </c>
      <c r="L3503" t="s">
        <v>74</v>
      </c>
      <c r="M3503" t="s">
        <v>63</v>
      </c>
      <c r="N3503" t="s">
        <v>64</v>
      </c>
      <c r="O3503">
        <v>6</v>
      </c>
      <c r="P3503" t="s">
        <v>201</v>
      </c>
      <c r="R3503">
        <v>5.1000000000000004E-3</v>
      </c>
      <c r="T3503">
        <v>4.1999999999999997E-3</v>
      </c>
      <c r="V3503">
        <v>6.1999999999999998E-3</v>
      </c>
      <c r="W3503" t="s">
        <v>66</v>
      </c>
      <c r="X3503" t="s">
        <v>67</v>
      </c>
      <c r="Y3503" t="s">
        <v>67</v>
      </c>
      <c r="Z3503" t="s">
        <v>68</v>
      </c>
      <c r="AB3503">
        <v>4</v>
      </c>
      <c r="AC3503" t="s">
        <v>61</v>
      </c>
      <c r="AJ3503" t="s">
        <v>69</v>
      </c>
      <c r="AY3503" t="s">
        <v>309</v>
      </c>
      <c r="AZ3503">
        <v>77568</v>
      </c>
      <c r="BA3503" t="s">
        <v>2347</v>
      </c>
      <c r="BB3503" t="s">
        <v>2348</v>
      </c>
      <c r="BC3503">
        <v>1993</v>
      </c>
      <c r="BD3503" t="s">
        <v>73</v>
      </c>
    </row>
    <row r="3504" spans="1:56" x14ac:dyDescent="0.35">
      <c r="A3504">
        <v>7761888</v>
      </c>
      <c r="B3504" t="s">
        <v>2321</v>
      </c>
      <c r="C3504" t="s">
        <v>195</v>
      </c>
      <c r="D3504" t="s">
        <v>85</v>
      </c>
      <c r="E3504" t="s">
        <v>86</v>
      </c>
      <c r="F3504" t="s">
        <v>58</v>
      </c>
      <c r="G3504" t="s">
        <v>59</v>
      </c>
      <c r="H3504" t="s">
        <v>60</v>
      </c>
      <c r="I3504" t="s">
        <v>177</v>
      </c>
      <c r="J3504">
        <v>4</v>
      </c>
      <c r="K3504" t="s">
        <v>61</v>
      </c>
      <c r="L3504" t="s">
        <v>62</v>
      </c>
      <c r="M3504" t="s">
        <v>63</v>
      </c>
      <c r="N3504" t="s">
        <v>64</v>
      </c>
      <c r="O3504">
        <v>6</v>
      </c>
      <c r="P3504" t="s">
        <v>201</v>
      </c>
      <c r="R3504">
        <v>2.7899999999999999E-3</v>
      </c>
      <c r="T3504">
        <v>2.5000000000000001E-3</v>
      </c>
      <c r="V3504">
        <v>3.0999999999999999E-3</v>
      </c>
      <c r="W3504" t="s">
        <v>66</v>
      </c>
      <c r="X3504" t="s">
        <v>67</v>
      </c>
      <c r="Y3504" t="s">
        <v>67</v>
      </c>
      <c r="Z3504" t="s">
        <v>68</v>
      </c>
      <c r="AB3504">
        <v>4</v>
      </c>
      <c r="AC3504" t="s">
        <v>61</v>
      </c>
      <c r="AJ3504" t="s">
        <v>69</v>
      </c>
      <c r="AY3504" t="s">
        <v>2328</v>
      </c>
      <c r="AZ3504">
        <v>83754</v>
      </c>
      <c r="BA3504" t="s">
        <v>2329</v>
      </c>
      <c r="BB3504" t="s">
        <v>2330</v>
      </c>
      <c r="BC3504">
        <v>1996</v>
      </c>
      <c r="BD3504" t="s">
        <v>73</v>
      </c>
    </row>
    <row r="3505" spans="1:56" x14ac:dyDescent="0.35">
      <c r="A3505">
        <v>7761888</v>
      </c>
      <c r="B3505" t="s">
        <v>2321</v>
      </c>
      <c r="C3505" t="s">
        <v>195</v>
      </c>
      <c r="D3505" t="s">
        <v>85</v>
      </c>
      <c r="E3505" t="s">
        <v>86</v>
      </c>
      <c r="F3505" t="s">
        <v>58</v>
      </c>
      <c r="G3505" t="s">
        <v>59</v>
      </c>
      <c r="H3505" t="s">
        <v>60</v>
      </c>
      <c r="I3505" t="s">
        <v>177</v>
      </c>
      <c r="J3505">
        <v>4</v>
      </c>
      <c r="K3505" t="s">
        <v>61</v>
      </c>
      <c r="L3505" t="s">
        <v>62</v>
      </c>
      <c r="M3505" t="s">
        <v>63</v>
      </c>
      <c r="N3505" t="s">
        <v>64</v>
      </c>
      <c r="O3505">
        <v>6</v>
      </c>
      <c r="P3505" t="s">
        <v>201</v>
      </c>
      <c r="R3505">
        <v>2.8E-3</v>
      </c>
      <c r="T3505">
        <v>2.5999999999999999E-3</v>
      </c>
      <c r="V3505">
        <v>3.0000000000000001E-3</v>
      </c>
      <c r="W3505" t="s">
        <v>66</v>
      </c>
      <c r="X3505" t="s">
        <v>67</v>
      </c>
      <c r="Y3505" t="s">
        <v>67</v>
      </c>
      <c r="Z3505" t="s">
        <v>68</v>
      </c>
      <c r="AB3505">
        <v>4</v>
      </c>
      <c r="AC3505" t="s">
        <v>61</v>
      </c>
      <c r="AJ3505" t="s">
        <v>69</v>
      </c>
      <c r="AY3505" t="s">
        <v>2328</v>
      </c>
      <c r="AZ3505">
        <v>83754</v>
      </c>
      <c r="BA3505" t="s">
        <v>2329</v>
      </c>
      <c r="BB3505" t="s">
        <v>2330</v>
      </c>
      <c r="BC3505">
        <v>1996</v>
      </c>
      <c r="BD3505" t="s">
        <v>73</v>
      </c>
    </row>
    <row r="3506" spans="1:56" x14ac:dyDescent="0.35">
      <c r="A3506">
        <v>7761888</v>
      </c>
      <c r="B3506" t="s">
        <v>2321</v>
      </c>
      <c r="C3506" t="s">
        <v>195</v>
      </c>
      <c r="D3506" t="s">
        <v>85</v>
      </c>
      <c r="E3506" t="s">
        <v>86</v>
      </c>
      <c r="F3506" t="s">
        <v>58</v>
      </c>
      <c r="G3506" t="s">
        <v>59</v>
      </c>
      <c r="H3506" t="s">
        <v>60</v>
      </c>
      <c r="I3506" t="s">
        <v>177</v>
      </c>
      <c r="J3506">
        <v>4</v>
      </c>
      <c r="K3506" t="s">
        <v>61</v>
      </c>
      <c r="L3506" t="s">
        <v>62</v>
      </c>
      <c r="M3506" t="s">
        <v>63</v>
      </c>
      <c r="N3506" t="s">
        <v>64</v>
      </c>
      <c r="O3506">
        <v>6</v>
      </c>
      <c r="P3506" t="s">
        <v>201</v>
      </c>
      <c r="R3506">
        <v>6.8300000000000001E-3</v>
      </c>
      <c r="T3506">
        <v>6.4000000000000003E-3</v>
      </c>
      <c r="V3506">
        <v>7.3000000000000001E-3</v>
      </c>
      <c r="W3506" t="s">
        <v>66</v>
      </c>
      <c r="X3506" t="s">
        <v>67</v>
      </c>
      <c r="Y3506" t="s">
        <v>67</v>
      </c>
      <c r="Z3506" t="s">
        <v>68</v>
      </c>
      <c r="AB3506">
        <v>4</v>
      </c>
      <c r="AC3506" t="s">
        <v>61</v>
      </c>
      <c r="AJ3506" t="s">
        <v>69</v>
      </c>
      <c r="AY3506" t="s">
        <v>2328</v>
      </c>
      <c r="AZ3506">
        <v>83754</v>
      </c>
      <c r="BA3506" t="s">
        <v>2329</v>
      </c>
      <c r="BB3506" t="s">
        <v>2330</v>
      </c>
      <c r="BC3506">
        <v>1996</v>
      </c>
      <c r="BD3506" t="s">
        <v>73</v>
      </c>
    </row>
    <row r="3507" spans="1:56" x14ac:dyDescent="0.35">
      <c r="A3507">
        <v>7761888</v>
      </c>
      <c r="B3507" t="s">
        <v>2321</v>
      </c>
      <c r="D3507" t="s">
        <v>57</v>
      </c>
      <c r="E3507">
        <v>99.99</v>
      </c>
      <c r="F3507" t="s">
        <v>58</v>
      </c>
      <c r="G3507" t="s">
        <v>59</v>
      </c>
      <c r="H3507" t="s">
        <v>60</v>
      </c>
      <c r="J3507" t="s">
        <v>86</v>
      </c>
      <c r="K3507" t="s">
        <v>61</v>
      </c>
      <c r="L3507" t="s">
        <v>62</v>
      </c>
      <c r="M3507" t="s">
        <v>63</v>
      </c>
      <c r="N3507" t="s">
        <v>64</v>
      </c>
      <c r="P3507" t="s">
        <v>201</v>
      </c>
      <c r="R3507">
        <v>1.4E-2</v>
      </c>
      <c r="T3507">
        <v>1.2800000000000001E-2</v>
      </c>
      <c r="V3507">
        <v>1.5299999999999999E-2</v>
      </c>
      <c r="W3507" t="s">
        <v>66</v>
      </c>
      <c r="X3507" t="s">
        <v>67</v>
      </c>
      <c r="Y3507" t="s">
        <v>67</v>
      </c>
      <c r="Z3507" t="s">
        <v>68</v>
      </c>
      <c r="AB3507">
        <v>4</v>
      </c>
      <c r="AC3507" t="s">
        <v>61</v>
      </c>
      <c r="AJ3507" t="s">
        <v>69</v>
      </c>
      <c r="AY3507" t="s">
        <v>611</v>
      </c>
      <c r="AZ3507">
        <v>10417</v>
      </c>
      <c r="BA3507" t="s">
        <v>612</v>
      </c>
      <c r="BB3507" t="s">
        <v>613</v>
      </c>
      <c r="BC3507">
        <v>1983</v>
      </c>
      <c r="BD3507" t="s">
        <v>614</v>
      </c>
    </row>
    <row r="3508" spans="1:56" x14ac:dyDescent="0.35">
      <c r="A3508">
        <v>7761888</v>
      </c>
      <c r="B3508" t="s">
        <v>2321</v>
      </c>
      <c r="C3508" t="s">
        <v>195</v>
      </c>
      <c r="D3508" t="s">
        <v>85</v>
      </c>
      <c r="E3508" t="s">
        <v>86</v>
      </c>
      <c r="F3508" t="s">
        <v>58</v>
      </c>
      <c r="G3508" t="s">
        <v>59</v>
      </c>
      <c r="H3508" t="s">
        <v>60</v>
      </c>
      <c r="I3508" t="s">
        <v>177</v>
      </c>
      <c r="J3508" t="s">
        <v>289</v>
      </c>
      <c r="K3508" t="s">
        <v>184</v>
      </c>
      <c r="L3508" t="s">
        <v>62</v>
      </c>
      <c r="M3508" t="s">
        <v>63</v>
      </c>
      <c r="N3508" t="s">
        <v>64</v>
      </c>
      <c r="P3508" t="s">
        <v>201</v>
      </c>
      <c r="R3508">
        <v>9.7199999999999995E-3</v>
      </c>
      <c r="T3508">
        <v>8.8999999999999999E-3</v>
      </c>
      <c r="V3508">
        <v>1.0540000000000001E-2</v>
      </c>
      <c r="W3508" t="s">
        <v>66</v>
      </c>
      <c r="X3508" t="s">
        <v>67</v>
      </c>
      <c r="Y3508" t="s">
        <v>67</v>
      </c>
      <c r="Z3508" t="s">
        <v>68</v>
      </c>
      <c r="AB3508">
        <v>4</v>
      </c>
      <c r="AC3508" t="s">
        <v>61</v>
      </c>
      <c r="AJ3508" t="s">
        <v>69</v>
      </c>
      <c r="AY3508" t="s">
        <v>2325</v>
      </c>
      <c r="AZ3508">
        <v>19218</v>
      </c>
      <c r="BA3508" t="s">
        <v>2326</v>
      </c>
      <c r="BB3508" t="s">
        <v>2327</v>
      </c>
      <c r="BC3508">
        <v>1999</v>
      </c>
      <c r="BD3508" t="s">
        <v>185</v>
      </c>
    </row>
    <row r="3509" spans="1:56" x14ac:dyDescent="0.35">
      <c r="A3509">
        <v>7761888</v>
      </c>
      <c r="B3509" t="s">
        <v>2321</v>
      </c>
      <c r="D3509" t="s">
        <v>57</v>
      </c>
      <c r="E3509" t="s">
        <v>86</v>
      </c>
      <c r="F3509" t="s">
        <v>58</v>
      </c>
      <c r="G3509" t="s">
        <v>59</v>
      </c>
      <c r="H3509" t="s">
        <v>60</v>
      </c>
      <c r="I3509" t="s">
        <v>188</v>
      </c>
      <c r="J3509" t="s">
        <v>289</v>
      </c>
      <c r="K3509" t="s">
        <v>184</v>
      </c>
      <c r="L3509" t="s">
        <v>190</v>
      </c>
      <c r="M3509" t="s">
        <v>63</v>
      </c>
      <c r="N3509" t="s">
        <v>64</v>
      </c>
      <c r="O3509">
        <v>6</v>
      </c>
      <c r="P3509" t="s">
        <v>201</v>
      </c>
      <c r="R3509">
        <v>3.8E-3</v>
      </c>
      <c r="W3509" t="s">
        <v>66</v>
      </c>
      <c r="X3509" t="s">
        <v>67</v>
      </c>
      <c r="Y3509" t="s">
        <v>67</v>
      </c>
      <c r="Z3509" t="s">
        <v>68</v>
      </c>
      <c r="AB3509">
        <v>4</v>
      </c>
      <c r="AC3509" t="s">
        <v>61</v>
      </c>
      <c r="AJ3509" t="s">
        <v>69</v>
      </c>
      <c r="AY3509" t="s">
        <v>2322</v>
      </c>
      <c r="AZ3509">
        <v>71734</v>
      </c>
      <c r="BA3509" t="s">
        <v>2323</v>
      </c>
      <c r="BB3509" t="s">
        <v>2324</v>
      </c>
      <c r="BC3509">
        <v>2003</v>
      </c>
      <c r="BD3509" t="s">
        <v>185</v>
      </c>
    </row>
    <row r="3510" spans="1:56" x14ac:dyDescent="0.35">
      <c r="A3510">
        <v>7761888</v>
      </c>
      <c r="B3510" t="s">
        <v>2321</v>
      </c>
      <c r="D3510" t="s">
        <v>85</v>
      </c>
      <c r="E3510" t="s">
        <v>86</v>
      </c>
      <c r="F3510" t="s">
        <v>58</v>
      </c>
      <c r="G3510" t="s">
        <v>59</v>
      </c>
      <c r="H3510" t="s">
        <v>60</v>
      </c>
      <c r="I3510" t="s">
        <v>129</v>
      </c>
      <c r="J3510" t="s">
        <v>86</v>
      </c>
      <c r="L3510" t="s">
        <v>74</v>
      </c>
      <c r="M3510" t="s">
        <v>63</v>
      </c>
      <c r="N3510" t="s">
        <v>64</v>
      </c>
      <c r="P3510" t="s">
        <v>201</v>
      </c>
      <c r="R3510">
        <v>4.7999999999999996E-3</v>
      </c>
      <c r="W3510" t="s">
        <v>66</v>
      </c>
      <c r="X3510" t="s">
        <v>67</v>
      </c>
      <c r="Y3510" t="s">
        <v>67</v>
      </c>
      <c r="Z3510" t="s">
        <v>68</v>
      </c>
      <c r="AB3510">
        <v>4</v>
      </c>
      <c r="AC3510" t="s">
        <v>61</v>
      </c>
      <c r="AJ3510" t="s">
        <v>69</v>
      </c>
      <c r="AY3510" t="s">
        <v>2203</v>
      </c>
      <c r="AZ3510">
        <v>7341</v>
      </c>
      <c r="BA3510" t="s">
        <v>2204</v>
      </c>
      <c r="BB3510" t="s">
        <v>2205</v>
      </c>
      <c r="BC3510">
        <v>1978</v>
      </c>
      <c r="BD3510" t="s">
        <v>90</v>
      </c>
    </row>
    <row r="3511" spans="1:56" x14ac:dyDescent="0.35">
      <c r="A3511">
        <v>7761888</v>
      </c>
      <c r="B3511" t="s">
        <v>2321</v>
      </c>
      <c r="C3511" t="s">
        <v>195</v>
      </c>
      <c r="D3511" t="s">
        <v>85</v>
      </c>
      <c r="E3511" t="s">
        <v>86</v>
      </c>
      <c r="F3511" t="s">
        <v>58</v>
      </c>
      <c r="G3511" t="s">
        <v>59</v>
      </c>
      <c r="H3511" t="s">
        <v>60</v>
      </c>
      <c r="I3511" t="s">
        <v>177</v>
      </c>
      <c r="J3511">
        <v>4</v>
      </c>
      <c r="K3511" t="s">
        <v>61</v>
      </c>
      <c r="L3511" t="s">
        <v>62</v>
      </c>
      <c r="M3511" t="s">
        <v>63</v>
      </c>
      <c r="N3511" t="s">
        <v>64</v>
      </c>
      <c r="O3511">
        <v>6</v>
      </c>
      <c r="P3511" t="s">
        <v>201</v>
      </c>
      <c r="R3511">
        <v>1.34E-2</v>
      </c>
      <c r="T3511">
        <v>1.2E-2</v>
      </c>
      <c r="V3511">
        <v>1.49E-2</v>
      </c>
      <c r="W3511" t="s">
        <v>66</v>
      </c>
      <c r="X3511" t="s">
        <v>67</v>
      </c>
      <c r="Y3511" t="s">
        <v>67</v>
      </c>
      <c r="Z3511" t="s">
        <v>68</v>
      </c>
      <c r="AB3511">
        <v>4</v>
      </c>
      <c r="AC3511" t="s">
        <v>61</v>
      </c>
      <c r="AJ3511" t="s">
        <v>69</v>
      </c>
      <c r="AY3511" t="s">
        <v>2328</v>
      </c>
      <c r="AZ3511">
        <v>83754</v>
      </c>
      <c r="BA3511" t="s">
        <v>2329</v>
      </c>
      <c r="BB3511" t="s">
        <v>2330</v>
      </c>
      <c r="BC3511">
        <v>1996</v>
      </c>
      <c r="BD3511" t="s">
        <v>73</v>
      </c>
    </row>
    <row r="3512" spans="1:56" x14ac:dyDescent="0.35">
      <c r="A3512">
        <v>7761888</v>
      </c>
      <c r="B3512" t="s">
        <v>2321</v>
      </c>
      <c r="C3512" t="s">
        <v>195</v>
      </c>
      <c r="D3512" t="s">
        <v>85</v>
      </c>
      <c r="E3512" t="s">
        <v>86</v>
      </c>
      <c r="F3512" t="s">
        <v>58</v>
      </c>
      <c r="G3512" t="s">
        <v>59</v>
      </c>
      <c r="H3512" t="s">
        <v>60</v>
      </c>
      <c r="I3512" t="s">
        <v>188</v>
      </c>
      <c r="J3512">
        <v>28</v>
      </c>
      <c r="K3512" t="s">
        <v>61</v>
      </c>
      <c r="L3512" t="s">
        <v>62</v>
      </c>
      <c r="M3512" t="s">
        <v>63</v>
      </c>
      <c r="N3512" t="s">
        <v>64</v>
      </c>
      <c r="O3512">
        <v>6</v>
      </c>
      <c r="P3512" t="s">
        <v>201</v>
      </c>
      <c r="R3512">
        <v>2.18E-2</v>
      </c>
      <c r="T3512">
        <v>2.0500000000000001E-2</v>
      </c>
      <c r="V3512">
        <v>2.3E-2</v>
      </c>
      <c r="W3512" t="s">
        <v>66</v>
      </c>
      <c r="X3512" t="s">
        <v>67</v>
      </c>
      <c r="Y3512" t="s">
        <v>67</v>
      </c>
      <c r="Z3512" t="s">
        <v>68</v>
      </c>
      <c r="AB3512">
        <v>4</v>
      </c>
      <c r="AC3512" t="s">
        <v>61</v>
      </c>
      <c r="AJ3512" t="s">
        <v>69</v>
      </c>
      <c r="AY3512" t="s">
        <v>2328</v>
      </c>
      <c r="AZ3512">
        <v>83754</v>
      </c>
      <c r="BA3512" t="s">
        <v>2329</v>
      </c>
      <c r="BB3512" t="s">
        <v>2330</v>
      </c>
      <c r="BC3512">
        <v>1996</v>
      </c>
      <c r="BD3512" t="s">
        <v>73</v>
      </c>
    </row>
    <row r="3513" spans="1:56" x14ac:dyDescent="0.35">
      <c r="A3513">
        <v>7761888</v>
      </c>
      <c r="B3513" t="s">
        <v>2321</v>
      </c>
      <c r="C3513" t="s">
        <v>195</v>
      </c>
      <c r="D3513" t="s">
        <v>85</v>
      </c>
      <c r="E3513" t="s">
        <v>86</v>
      </c>
      <c r="F3513" t="s">
        <v>58</v>
      </c>
      <c r="G3513" t="s">
        <v>59</v>
      </c>
      <c r="H3513" t="s">
        <v>60</v>
      </c>
      <c r="I3513" t="s">
        <v>177</v>
      </c>
      <c r="J3513">
        <v>4</v>
      </c>
      <c r="K3513" t="s">
        <v>61</v>
      </c>
      <c r="L3513" t="s">
        <v>62</v>
      </c>
      <c r="M3513" t="s">
        <v>63</v>
      </c>
      <c r="N3513" t="s">
        <v>64</v>
      </c>
      <c r="O3513">
        <v>6</v>
      </c>
      <c r="P3513" t="s">
        <v>201</v>
      </c>
      <c r="R3513">
        <v>3.5999999999999999E-3</v>
      </c>
      <c r="W3513" t="s">
        <v>66</v>
      </c>
      <c r="X3513" t="s">
        <v>67</v>
      </c>
      <c r="Y3513" t="s">
        <v>67</v>
      </c>
      <c r="Z3513" t="s">
        <v>68</v>
      </c>
      <c r="AB3513">
        <v>4</v>
      </c>
      <c r="AC3513" t="s">
        <v>61</v>
      </c>
      <c r="AJ3513" t="s">
        <v>69</v>
      </c>
      <c r="AY3513" t="s">
        <v>2328</v>
      </c>
      <c r="AZ3513">
        <v>83754</v>
      </c>
      <c r="BA3513" t="s">
        <v>2329</v>
      </c>
      <c r="BB3513" t="s">
        <v>2330</v>
      </c>
      <c r="BC3513">
        <v>1996</v>
      </c>
      <c r="BD3513" t="s">
        <v>73</v>
      </c>
    </row>
    <row r="3514" spans="1:56" x14ac:dyDescent="0.35">
      <c r="A3514">
        <v>7761888</v>
      </c>
      <c r="B3514" t="s">
        <v>2321</v>
      </c>
      <c r="C3514" t="s">
        <v>195</v>
      </c>
      <c r="D3514" t="s">
        <v>85</v>
      </c>
      <c r="E3514" t="s">
        <v>86</v>
      </c>
      <c r="F3514" t="s">
        <v>58</v>
      </c>
      <c r="G3514" t="s">
        <v>59</v>
      </c>
      <c r="H3514" t="s">
        <v>60</v>
      </c>
      <c r="I3514" t="s">
        <v>177</v>
      </c>
      <c r="J3514">
        <v>4</v>
      </c>
      <c r="K3514" t="s">
        <v>61</v>
      </c>
      <c r="L3514" t="s">
        <v>62</v>
      </c>
      <c r="M3514" t="s">
        <v>63</v>
      </c>
      <c r="N3514" t="s">
        <v>64</v>
      </c>
      <c r="O3514">
        <v>6</v>
      </c>
      <c r="P3514" t="s">
        <v>201</v>
      </c>
      <c r="R3514">
        <v>1.0200000000000001E-2</v>
      </c>
      <c r="T3514">
        <v>9.1000000000000004E-3</v>
      </c>
      <c r="V3514">
        <v>1.14E-2</v>
      </c>
      <c r="W3514" t="s">
        <v>66</v>
      </c>
      <c r="X3514" t="s">
        <v>67</v>
      </c>
      <c r="Y3514" t="s">
        <v>67</v>
      </c>
      <c r="Z3514" t="s">
        <v>68</v>
      </c>
      <c r="AB3514">
        <v>4</v>
      </c>
      <c r="AC3514" t="s">
        <v>61</v>
      </c>
      <c r="AJ3514" t="s">
        <v>69</v>
      </c>
      <c r="AY3514" t="s">
        <v>2328</v>
      </c>
      <c r="AZ3514">
        <v>83754</v>
      </c>
      <c r="BA3514" t="s">
        <v>2329</v>
      </c>
      <c r="BB3514" t="s">
        <v>2330</v>
      </c>
      <c r="BC3514">
        <v>1996</v>
      </c>
      <c r="BD3514" t="s">
        <v>73</v>
      </c>
    </row>
    <row r="3515" spans="1:56" x14ac:dyDescent="0.35">
      <c r="A3515">
        <v>7761888</v>
      </c>
      <c r="B3515" t="s">
        <v>2321</v>
      </c>
      <c r="D3515" t="s">
        <v>57</v>
      </c>
      <c r="E3515">
        <v>99.7</v>
      </c>
      <c r="F3515" t="s">
        <v>58</v>
      </c>
      <c r="G3515" t="s">
        <v>59</v>
      </c>
      <c r="H3515" t="s">
        <v>60</v>
      </c>
      <c r="I3515" t="s">
        <v>129</v>
      </c>
      <c r="J3515" t="s">
        <v>86</v>
      </c>
      <c r="L3515" t="s">
        <v>74</v>
      </c>
      <c r="M3515" t="s">
        <v>63</v>
      </c>
      <c r="N3515" t="s">
        <v>64</v>
      </c>
      <c r="P3515" t="s">
        <v>201</v>
      </c>
      <c r="S3515" t="s">
        <v>153</v>
      </c>
      <c r="T3515">
        <v>15</v>
      </c>
      <c r="U3515" t="s">
        <v>435</v>
      </c>
      <c r="V3515">
        <v>20</v>
      </c>
      <c r="W3515" t="s">
        <v>66</v>
      </c>
      <c r="X3515" t="s">
        <v>67</v>
      </c>
      <c r="Y3515" t="s">
        <v>67</v>
      </c>
      <c r="Z3515" t="s">
        <v>68</v>
      </c>
      <c r="AB3515">
        <v>4</v>
      </c>
      <c r="AC3515" t="s">
        <v>61</v>
      </c>
      <c r="AJ3515" t="s">
        <v>69</v>
      </c>
      <c r="AY3515" t="s">
        <v>2334</v>
      </c>
      <c r="AZ3515">
        <v>18938</v>
      </c>
      <c r="BA3515" t="s">
        <v>2335</v>
      </c>
      <c r="BB3515" t="s">
        <v>2336</v>
      </c>
      <c r="BC3515">
        <v>1998</v>
      </c>
      <c r="BD3515" t="s">
        <v>90</v>
      </c>
    </row>
    <row r="3516" spans="1:56" x14ac:dyDescent="0.35">
      <c r="A3516">
        <v>7761888</v>
      </c>
      <c r="B3516" t="s">
        <v>2321</v>
      </c>
      <c r="C3516" t="s">
        <v>386</v>
      </c>
      <c r="D3516" t="s">
        <v>85</v>
      </c>
      <c r="E3516" t="s">
        <v>86</v>
      </c>
      <c r="F3516" t="s">
        <v>58</v>
      </c>
      <c r="G3516" t="s">
        <v>59</v>
      </c>
      <c r="H3516" t="s">
        <v>60</v>
      </c>
      <c r="J3516" t="s">
        <v>86</v>
      </c>
      <c r="L3516" t="s">
        <v>62</v>
      </c>
      <c r="M3516" t="s">
        <v>63</v>
      </c>
      <c r="N3516" t="s">
        <v>64</v>
      </c>
      <c r="O3516">
        <v>6</v>
      </c>
      <c r="P3516" t="s">
        <v>201</v>
      </c>
      <c r="R3516">
        <v>2.4500000000000001E-2</v>
      </c>
      <c r="T3516">
        <v>2.2800000000000001E-2</v>
      </c>
      <c r="V3516">
        <v>3.7100000000000001E-2</v>
      </c>
      <c r="W3516" t="s">
        <v>66</v>
      </c>
      <c r="X3516" t="s">
        <v>67</v>
      </c>
      <c r="Y3516" t="s">
        <v>67</v>
      </c>
      <c r="Z3516" t="s">
        <v>68</v>
      </c>
      <c r="AB3516">
        <v>4</v>
      </c>
      <c r="AC3516" t="s">
        <v>61</v>
      </c>
      <c r="AJ3516" t="s">
        <v>69</v>
      </c>
      <c r="AY3516" t="s">
        <v>2344</v>
      </c>
      <c r="AZ3516">
        <v>18858</v>
      </c>
      <c r="BA3516" t="s">
        <v>2345</v>
      </c>
      <c r="BB3516" t="s">
        <v>2346</v>
      </c>
      <c r="BC3516">
        <v>1984</v>
      </c>
      <c r="BD3516" t="s">
        <v>90</v>
      </c>
    </row>
    <row r="3517" spans="1:56" x14ac:dyDescent="0.35">
      <c r="A3517">
        <v>7761888</v>
      </c>
      <c r="B3517" t="s">
        <v>2321</v>
      </c>
      <c r="C3517" t="s">
        <v>195</v>
      </c>
      <c r="D3517" t="s">
        <v>85</v>
      </c>
      <c r="E3517" t="s">
        <v>86</v>
      </c>
      <c r="F3517" t="s">
        <v>58</v>
      </c>
      <c r="G3517" t="s">
        <v>59</v>
      </c>
      <c r="H3517" t="s">
        <v>60</v>
      </c>
      <c r="I3517" t="s">
        <v>177</v>
      </c>
      <c r="J3517">
        <v>4</v>
      </c>
      <c r="K3517" t="s">
        <v>61</v>
      </c>
      <c r="L3517" t="s">
        <v>62</v>
      </c>
      <c r="M3517" t="s">
        <v>63</v>
      </c>
      <c r="N3517" t="s">
        <v>64</v>
      </c>
      <c r="O3517">
        <v>6</v>
      </c>
      <c r="P3517" t="s">
        <v>201</v>
      </c>
      <c r="R3517">
        <v>9.7999999999999997E-3</v>
      </c>
      <c r="T3517">
        <v>8.2000000000000007E-3</v>
      </c>
      <c r="V3517">
        <v>1.09E-2</v>
      </c>
      <c r="W3517" t="s">
        <v>66</v>
      </c>
      <c r="X3517" t="s">
        <v>67</v>
      </c>
      <c r="Y3517" t="s">
        <v>67</v>
      </c>
      <c r="Z3517" t="s">
        <v>68</v>
      </c>
      <c r="AB3517">
        <v>4</v>
      </c>
      <c r="AC3517" t="s">
        <v>61</v>
      </c>
      <c r="AJ3517" t="s">
        <v>69</v>
      </c>
      <c r="AY3517" t="s">
        <v>2328</v>
      </c>
      <c r="AZ3517">
        <v>83754</v>
      </c>
      <c r="BA3517" t="s">
        <v>2329</v>
      </c>
      <c r="BB3517" t="s">
        <v>2330</v>
      </c>
      <c r="BC3517">
        <v>1996</v>
      </c>
      <c r="BD3517" t="s">
        <v>73</v>
      </c>
    </row>
    <row r="3518" spans="1:56" x14ac:dyDescent="0.35">
      <c r="A3518">
        <v>7761888</v>
      </c>
      <c r="B3518" t="s">
        <v>2321</v>
      </c>
      <c r="C3518" t="s">
        <v>195</v>
      </c>
      <c r="D3518" t="s">
        <v>85</v>
      </c>
      <c r="E3518" t="s">
        <v>86</v>
      </c>
      <c r="F3518" t="s">
        <v>58</v>
      </c>
      <c r="G3518" t="s">
        <v>59</v>
      </c>
      <c r="H3518" t="s">
        <v>60</v>
      </c>
      <c r="I3518" t="s">
        <v>177</v>
      </c>
      <c r="J3518">
        <v>4</v>
      </c>
      <c r="K3518" t="s">
        <v>61</v>
      </c>
      <c r="L3518" t="s">
        <v>62</v>
      </c>
      <c r="M3518" t="s">
        <v>63</v>
      </c>
      <c r="N3518" t="s">
        <v>64</v>
      </c>
      <c r="O3518">
        <v>6</v>
      </c>
      <c r="P3518" t="s">
        <v>201</v>
      </c>
      <c r="R3518">
        <v>1.23E-2</v>
      </c>
      <c r="T3518">
        <v>1.15E-2</v>
      </c>
      <c r="V3518">
        <v>1.3100000000000001E-2</v>
      </c>
      <c r="W3518" t="s">
        <v>66</v>
      </c>
      <c r="X3518" t="s">
        <v>67</v>
      </c>
      <c r="Y3518" t="s">
        <v>67</v>
      </c>
      <c r="Z3518" t="s">
        <v>68</v>
      </c>
      <c r="AB3518">
        <v>4</v>
      </c>
      <c r="AC3518" t="s">
        <v>61</v>
      </c>
      <c r="AJ3518" t="s">
        <v>69</v>
      </c>
      <c r="AY3518" t="s">
        <v>2328</v>
      </c>
      <c r="AZ3518">
        <v>83754</v>
      </c>
      <c r="BA3518" t="s">
        <v>2329</v>
      </c>
      <c r="BB3518" t="s">
        <v>2330</v>
      </c>
      <c r="BC3518">
        <v>1996</v>
      </c>
      <c r="BD3518" t="s">
        <v>73</v>
      </c>
    </row>
    <row r="3519" spans="1:56" x14ac:dyDescent="0.35">
      <c r="A3519">
        <v>7761888</v>
      </c>
      <c r="B3519" t="s">
        <v>2321</v>
      </c>
      <c r="C3519" t="s">
        <v>195</v>
      </c>
      <c r="D3519" t="s">
        <v>85</v>
      </c>
      <c r="E3519" t="s">
        <v>86</v>
      </c>
      <c r="F3519" t="s">
        <v>58</v>
      </c>
      <c r="G3519" t="s">
        <v>59</v>
      </c>
      <c r="H3519" t="s">
        <v>60</v>
      </c>
      <c r="I3519" t="s">
        <v>177</v>
      </c>
      <c r="J3519" t="s">
        <v>289</v>
      </c>
      <c r="K3519" t="s">
        <v>184</v>
      </c>
      <c r="L3519" t="s">
        <v>62</v>
      </c>
      <c r="M3519" t="s">
        <v>63</v>
      </c>
      <c r="N3519" t="s">
        <v>64</v>
      </c>
      <c r="P3519" t="s">
        <v>201</v>
      </c>
      <c r="R3519">
        <v>9.7900000000000001E-3</v>
      </c>
      <c r="T3519">
        <v>8.9700000000000005E-3</v>
      </c>
      <c r="V3519">
        <v>1.061E-2</v>
      </c>
      <c r="W3519" t="s">
        <v>66</v>
      </c>
      <c r="X3519" t="s">
        <v>67</v>
      </c>
      <c r="Y3519" t="s">
        <v>67</v>
      </c>
      <c r="Z3519" t="s">
        <v>68</v>
      </c>
      <c r="AB3519">
        <v>4</v>
      </c>
      <c r="AC3519" t="s">
        <v>61</v>
      </c>
      <c r="AJ3519" t="s">
        <v>69</v>
      </c>
      <c r="AY3519" t="s">
        <v>2325</v>
      </c>
      <c r="AZ3519">
        <v>19218</v>
      </c>
      <c r="BA3519" t="s">
        <v>2326</v>
      </c>
      <c r="BB3519" t="s">
        <v>2327</v>
      </c>
      <c r="BC3519">
        <v>1999</v>
      </c>
      <c r="BD3519" t="s">
        <v>185</v>
      </c>
    </row>
    <row r="3520" spans="1:56" x14ac:dyDescent="0.35">
      <c r="A3520">
        <v>7775099</v>
      </c>
      <c r="B3520" t="s">
        <v>2367</v>
      </c>
      <c r="D3520" t="s">
        <v>85</v>
      </c>
      <c r="E3520" t="s">
        <v>86</v>
      </c>
      <c r="F3520" t="s">
        <v>58</v>
      </c>
      <c r="G3520" t="s">
        <v>59</v>
      </c>
      <c r="H3520" t="s">
        <v>60</v>
      </c>
      <c r="J3520" t="s">
        <v>86</v>
      </c>
      <c r="L3520" t="s">
        <v>62</v>
      </c>
      <c r="M3520" t="s">
        <v>63</v>
      </c>
      <c r="N3520" t="s">
        <v>64</v>
      </c>
      <c r="P3520" t="s">
        <v>100</v>
      </c>
      <c r="R3520">
        <v>13600</v>
      </c>
      <c r="T3520">
        <v>12840</v>
      </c>
      <c r="V3520">
        <v>14400</v>
      </c>
      <c r="W3520" t="s">
        <v>66</v>
      </c>
      <c r="X3520" t="s">
        <v>67</v>
      </c>
      <c r="Y3520" t="s">
        <v>67</v>
      </c>
      <c r="Z3520" t="s">
        <v>68</v>
      </c>
      <c r="AB3520">
        <v>4</v>
      </c>
      <c r="AC3520" t="s">
        <v>61</v>
      </c>
      <c r="AJ3520" t="s">
        <v>69</v>
      </c>
      <c r="AY3520" t="s">
        <v>2368</v>
      </c>
      <c r="AZ3520">
        <v>6051</v>
      </c>
      <c r="BA3520" t="s">
        <v>2369</v>
      </c>
      <c r="BB3520" t="s">
        <v>2370</v>
      </c>
      <c r="BC3520">
        <v>1974</v>
      </c>
      <c r="BD3520" t="s">
        <v>90</v>
      </c>
    </row>
    <row r="3521" spans="1:56" x14ac:dyDescent="0.35">
      <c r="A3521">
        <v>7775099</v>
      </c>
      <c r="B3521" t="s">
        <v>2367</v>
      </c>
      <c r="D3521" t="s">
        <v>85</v>
      </c>
      <c r="E3521" t="s">
        <v>86</v>
      </c>
      <c r="F3521" t="s">
        <v>58</v>
      </c>
      <c r="G3521" t="s">
        <v>59</v>
      </c>
      <c r="H3521" t="s">
        <v>60</v>
      </c>
      <c r="J3521" t="s">
        <v>86</v>
      </c>
      <c r="L3521" t="s">
        <v>62</v>
      </c>
      <c r="M3521" t="s">
        <v>63</v>
      </c>
      <c r="N3521" t="s">
        <v>64</v>
      </c>
      <c r="P3521" t="s">
        <v>100</v>
      </c>
      <c r="R3521">
        <v>13500</v>
      </c>
      <c r="T3521">
        <v>12750</v>
      </c>
      <c r="V3521">
        <v>14300</v>
      </c>
      <c r="W3521" t="s">
        <v>66</v>
      </c>
      <c r="X3521" t="s">
        <v>67</v>
      </c>
      <c r="Y3521" t="s">
        <v>67</v>
      </c>
      <c r="Z3521" t="s">
        <v>68</v>
      </c>
      <c r="AB3521">
        <v>4</v>
      </c>
      <c r="AC3521" t="s">
        <v>61</v>
      </c>
      <c r="AJ3521" t="s">
        <v>69</v>
      </c>
      <c r="AY3521" t="s">
        <v>2368</v>
      </c>
      <c r="AZ3521">
        <v>6051</v>
      </c>
      <c r="BA3521" t="s">
        <v>2369</v>
      </c>
      <c r="BB3521" t="s">
        <v>2370</v>
      </c>
      <c r="BC3521">
        <v>1974</v>
      </c>
      <c r="BD3521" t="s">
        <v>90</v>
      </c>
    </row>
    <row r="3522" spans="1:56" x14ac:dyDescent="0.35">
      <c r="A3522">
        <v>7775099</v>
      </c>
      <c r="B3522" t="s">
        <v>2367</v>
      </c>
      <c r="D3522" t="s">
        <v>85</v>
      </c>
      <c r="E3522" t="s">
        <v>86</v>
      </c>
      <c r="F3522" t="s">
        <v>58</v>
      </c>
      <c r="G3522" t="s">
        <v>59</v>
      </c>
      <c r="H3522" t="s">
        <v>60</v>
      </c>
      <c r="J3522" t="s">
        <v>86</v>
      </c>
      <c r="L3522" t="s">
        <v>62</v>
      </c>
      <c r="M3522" t="s">
        <v>63</v>
      </c>
      <c r="N3522" t="s">
        <v>64</v>
      </c>
      <c r="P3522" t="s">
        <v>100</v>
      </c>
      <c r="R3522">
        <v>13800</v>
      </c>
      <c r="T3522">
        <v>13120</v>
      </c>
      <c r="V3522">
        <v>14520</v>
      </c>
      <c r="W3522" t="s">
        <v>66</v>
      </c>
      <c r="X3522" t="s">
        <v>67</v>
      </c>
      <c r="Y3522" t="s">
        <v>67</v>
      </c>
      <c r="Z3522" t="s">
        <v>68</v>
      </c>
      <c r="AB3522">
        <v>4</v>
      </c>
      <c r="AC3522" t="s">
        <v>61</v>
      </c>
      <c r="AJ3522" t="s">
        <v>69</v>
      </c>
      <c r="AY3522" t="s">
        <v>2368</v>
      </c>
      <c r="AZ3522">
        <v>6051</v>
      </c>
      <c r="BA3522" t="s">
        <v>2369</v>
      </c>
      <c r="BB3522" t="s">
        <v>2370</v>
      </c>
      <c r="BC3522">
        <v>1974</v>
      </c>
      <c r="BD3522" t="s">
        <v>90</v>
      </c>
    </row>
    <row r="3523" spans="1:56" x14ac:dyDescent="0.35">
      <c r="A3523">
        <v>7775113</v>
      </c>
      <c r="B3523" t="s">
        <v>2371</v>
      </c>
      <c r="E3523" t="s">
        <v>86</v>
      </c>
      <c r="F3523" t="s">
        <v>58</v>
      </c>
      <c r="G3523" t="s">
        <v>59</v>
      </c>
      <c r="H3523" t="s">
        <v>60</v>
      </c>
      <c r="J3523" t="s">
        <v>86</v>
      </c>
      <c r="K3523" t="s">
        <v>61</v>
      </c>
      <c r="L3523" t="s">
        <v>62</v>
      </c>
      <c r="M3523" t="s">
        <v>63</v>
      </c>
      <c r="N3523" t="s">
        <v>64</v>
      </c>
      <c r="P3523" t="s">
        <v>201</v>
      </c>
      <c r="R3523">
        <v>60.1</v>
      </c>
      <c r="W3523" t="s">
        <v>66</v>
      </c>
      <c r="X3523" t="s">
        <v>67</v>
      </c>
      <c r="Y3523" t="s">
        <v>67</v>
      </c>
      <c r="Z3523" t="s">
        <v>68</v>
      </c>
      <c r="AB3523">
        <v>4</v>
      </c>
      <c r="AC3523" t="s">
        <v>61</v>
      </c>
      <c r="AJ3523" t="s">
        <v>69</v>
      </c>
      <c r="AY3523" t="s">
        <v>242</v>
      </c>
      <c r="AZ3523">
        <v>45073</v>
      </c>
      <c r="BA3523" t="s">
        <v>243</v>
      </c>
      <c r="BB3523" t="s">
        <v>244</v>
      </c>
      <c r="BC3523">
        <v>1993</v>
      </c>
      <c r="BD3523" t="s">
        <v>245</v>
      </c>
    </row>
    <row r="3524" spans="1:56" x14ac:dyDescent="0.35">
      <c r="A3524">
        <v>7775113</v>
      </c>
      <c r="B3524" t="s">
        <v>2371</v>
      </c>
      <c r="E3524" t="s">
        <v>86</v>
      </c>
      <c r="F3524" t="s">
        <v>58</v>
      </c>
      <c r="G3524" t="s">
        <v>59</v>
      </c>
      <c r="H3524" t="s">
        <v>60</v>
      </c>
      <c r="J3524" t="s">
        <v>86</v>
      </c>
      <c r="K3524" t="s">
        <v>61</v>
      </c>
      <c r="L3524" t="s">
        <v>62</v>
      </c>
      <c r="M3524" t="s">
        <v>63</v>
      </c>
      <c r="N3524" t="s">
        <v>64</v>
      </c>
      <c r="P3524" t="s">
        <v>201</v>
      </c>
      <c r="R3524">
        <v>60.1</v>
      </c>
      <c r="W3524" t="s">
        <v>66</v>
      </c>
      <c r="X3524" t="s">
        <v>67</v>
      </c>
      <c r="Y3524" t="s">
        <v>67</v>
      </c>
      <c r="Z3524" t="s">
        <v>68</v>
      </c>
      <c r="AB3524">
        <v>4</v>
      </c>
      <c r="AC3524" t="s">
        <v>61</v>
      </c>
      <c r="AJ3524" t="s">
        <v>69</v>
      </c>
      <c r="AY3524" t="s">
        <v>242</v>
      </c>
      <c r="AZ3524">
        <v>45073</v>
      </c>
      <c r="BA3524" t="s">
        <v>243</v>
      </c>
      <c r="BB3524" t="s">
        <v>244</v>
      </c>
      <c r="BC3524">
        <v>1993</v>
      </c>
      <c r="BD3524" t="s">
        <v>245</v>
      </c>
    </row>
    <row r="3525" spans="1:56" x14ac:dyDescent="0.35">
      <c r="A3525">
        <v>7778189</v>
      </c>
      <c r="B3525" t="s">
        <v>2372</v>
      </c>
      <c r="C3525" t="s">
        <v>195</v>
      </c>
      <c r="D3525" t="s">
        <v>85</v>
      </c>
      <c r="E3525" t="s">
        <v>86</v>
      </c>
      <c r="F3525" t="s">
        <v>58</v>
      </c>
      <c r="G3525" t="s">
        <v>59</v>
      </c>
      <c r="H3525" t="s">
        <v>60</v>
      </c>
      <c r="J3525" t="s">
        <v>86</v>
      </c>
      <c r="K3525" t="s">
        <v>61</v>
      </c>
      <c r="L3525" t="s">
        <v>62</v>
      </c>
      <c r="M3525" t="s">
        <v>63</v>
      </c>
      <c r="N3525" t="s">
        <v>64</v>
      </c>
      <c r="P3525" t="s">
        <v>201</v>
      </c>
      <c r="Q3525" t="s">
        <v>153</v>
      </c>
      <c r="R3525">
        <v>1970</v>
      </c>
      <c r="S3525" t="s">
        <v>153</v>
      </c>
      <c r="T3525">
        <v>1970</v>
      </c>
      <c r="U3525" t="s">
        <v>153</v>
      </c>
      <c r="V3525">
        <v>1970</v>
      </c>
      <c r="W3525" t="s">
        <v>66</v>
      </c>
      <c r="X3525" t="s">
        <v>67</v>
      </c>
      <c r="Y3525" t="s">
        <v>67</v>
      </c>
      <c r="Z3525" t="s">
        <v>68</v>
      </c>
      <c r="AB3525">
        <v>4</v>
      </c>
      <c r="AC3525" t="s">
        <v>61</v>
      </c>
      <c r="AJ3525" t="s">
        <v>69</v>
      </c>
      <c r="AY3525" t="s">
        <v>1456</v>
      </c>
      <c r="AZ3525">
        <v>18272</v>
      </c>
      <c r="BA3525" t="s">
        <v>1457</v>
      </c>
      <c r="BB3525" t="s">
        <v>1458</v>
      </c>
      <c r="BC3525">
        <v>1997</v>
      </c>
      <c r="BD3525" t="s">
        <v>1459</v>
      </c>
    </row>
    <row r="3526" spans="1:56" x14ac:dyDescent="0.35">
      <c r="A3526">
        <v>7778430</v>
      </c>
      <c r="B3526" t="s">
        <v>2373</v>
      </c>
      <c r="D3526" t="s">
        <v>57</v>
      </c>
      <c r="E3526" t="s">
        <v>86</v>
      </c>
      <c r="F3526" t="s">
        <v>58</v>
      </c>
      <c r="G3526" t="s">
        <v>59</v>
      </c>
      <c r="H3526" t="s">
        <v>60</v>
      </c>
      <c r="J3526" t="s">
        <v>86</v>
      </c>
      <c r="K3526" t="s">
        <v>1027</v>
      </c>
      <c r="L3526" t="s">
        <v>190</v>
      </c>
      <c r="M3526" t="s">
        <v>63</v>
      </c>
      <c r="N3526" t="s">
        <v>64</v>
      </c>
      <c r="O3526" t="s">
        <v>2114</v>
      </c>
      <c r="P3526" t="s">
        <v>201</v>
      </c>
      <c r="R3526">
        <v>17.899999999999999</v>
      </c>
      <c r="T3526">
        <v>14.3</v>
      </c>
      <c r="V3526">
        <v>23.7</v>
      </c>
      <c r="W3526" t="s">
        <v>66</v>
      </c>
      <c r="X3526" t="s">
        <v>67</v>
      </c>
      <c r="Y3526" t="s">
        <v>67</v>
      </c>
      <c r="Z3526" t="s">
        <v>68</v>
      </c>
      <c r="AB3526">
        <v>4</v>
      </c>
      <c r="AC3526" t="s">
        <v>61</v>
      </c>
      <c r="AJ3526" t="s">
        <v>69</v>
      </c>
      <c r="AY3526" t="s">
        <v>2115</v>
      </c>
      <c r="AZ3526">
        <v>77828</v>
      </c>
      <c r="BA3526" t="s">
        <v>2116</v>
      </c>
      <c r="BB3526" t="s">
        <v>2117</v>
      </c>
      <c r="BC3526">
        <v>2002</v>
      </c>
      <c r="BD3526" t="s">
        <v>2118</v>
      </c>
    </row>
    <row r="3527" spans="1:56" x14ac:dyDescent="0.35">
      <c r="A3527">
        <v>7778509</v>
      </c>
      <c r="B3527" t="s">
        <v>2374</v>
      </c>
      <c r="C3527" t="s">
        <v>195</v>
      </c>
      <c r="D3527" t="s">
        <v>85</v>
      </c>
      <c r="E3527" t="s">
        <v>86</v>
      </c>
      <c r="F3527" t="s">
        <v>58</v>
      </c>
      <c r="G3527" t="s">
        <v>59</v>
      </c>
      <c r="H3527" t="s">
        <v>60</v>
      </c>
      <c r="J3527">
        <v>11</v>
      </c>
      <c r="K3527" t="s">
        <v>196</v>
      </c>
      <c r="L3527" t="s">
        <v>74</v>
      </c>
      <c r="M3527" t="s">
        <v>63</v>
      </c>
      <c r="N3527" t="s">
        <v>64</v>
      </c>
      <c r="P3527" t="s">
        <v>201</v>
      </c>
      <c r="R3527">
        <v>60</v>
      </c>
      <c r="W3527" t="s">
        <v>66</v>
      </c>
      <c r="X3527" t="s">
        <v>67</v>
      </c>
      <c r="Y3527" t="s">
        <v>67</v>
      </c>
      <c r="Z3527" t="s">
        <v>68</v>
      </c>
      <c r="AB3527">
        <v>4</v>
      </c>
      <c r="AC3527" t="s">
        <v>61</v>
      </c>
      <c r="AJ3527" t="s">
        <v>69</v>
      </c>
      <c r="AY3527" t="s">
        <v>661</v>
      </c>
      <c r="AZ3527">
        <v>2145</v>
      </c>
      <c r="BA3527" t="s">
        <v>662</v>
      </c>
      <c r="BB3527" t="s">
        <v>663</v>
      </c>
      <c r="BC3527">
        <v>1976</v>
      </c>
      <c r="BD3527" t="s">
        <v>200</v>
      </c>
    </row>
    <row r="3528" spans="1:56" x14ac:dyDescent="0.35">
      <c r="A3528">
        <v>7778509</v>
      </c>
      <c r="B3528" t="s">
        <v>2374</v>
      </c>
      <c r="C3528" t="s">
        <v>195</v>
      </c>
      <c r="D3528" t="s">
        <v>85</v>
      </c>
      <c r="E3528" t="s">
        <v>86</v>
      </c>
      <c r="F3528" t="s">
        <v>58</v>
      </c>
      <c r="G3528" t="s">
        <v>59</v>
      </c>
      <c r="H3528" t="s">
        <v>60</v>
      </c>
      <c r="J3528">
        <v>11</v>
      </c>
      <c r="K3528" t="s">
        <v>196</v>
      </c>
      <c r="L3528" t="s">
        <v>74</v>
      </c>
      <c r="M3528" t="s">
        <v>63</v>
      </c>
      <c r="N3528" t="s">
        <v>64</v>
      </c>
      <c r="P3528" t="s">
        <v>201</v>
      </c>
      <c r="R3528">
        <v>26</v>
      </c>
      <c r="W3528" t="s">
        <v>66</v>
      </c>
      <c r="X3528" t="s">
        <v>67</v>
      </c>
      <c r="Y3528" t="s">
        <v>67</v>
      </c>
      <c r="Z3528" t="s">
        <v>68</v>
      </c>
      <c r="AB3528">
        <v>4</v>
      </c>
      <c r="AC3528" t="s">
        <v>61</v>
      </c>
      <c r="AJ3528" t="s">
        <v>69</v>
      </c>
      <c r="AY3528" t="s">
        <v>661</v>
      </c>
      <c r="AZ3528">
        <v>2145</v>
      </c>
      <c r="BA3528" t="s">
        <v>662</v>
      </c>
      <c r="BB3528" t="s">
        <v>663</v>
      </c>
      <c r="BC3528">
        <v>1976</v>
      </c>
      <c r="BD3528" t="s">
        <v>200</v>
      </c>
    </row>
    <row r="3529" spans="1:56" x14ac:dyDescent="0.35">
      <c r="A3529">
        <v>7778509</v>
      </c>
      <c r="B3529" t="s">
        <v>2374</v>
      </c>
      <c r="C3529" t="s">
        <v>195</v>
      </c>
      <c r="D3529" t="s">
        <v>85</v>
      </c>
      <c r="E3529" t="s">
        <v>86</v>
      </c>
      <c r="F3529" t="s">
        <v>58</v>
      </c>
      <c r="G3529" t="s">
        <v>59</v>
      </c>
      <c r="H3529" t="s">
        <v>60</v>
      </c>
      <c r="J3529">
        <v>11</v>
      </c>
      <c r="K3529" t="s">
        <v>196</v>
      </c>
      <c r="L3529" t="s">
        <v>74</v>
      </c>
      <c r="M3529" t="s">
        <v>63</v>
      </c>
      <c r="N3529" t="s">
        <v>64</v>
      </c>
      <c r="P3529" t="s">
        <v>201</v>
      </c>
      <c r="R3529">
        <v>51</v>
      </c>
      <c r="W3529" t="s">
        <v>66</v>
      </c>
      <c r="X3529" t="s">
        <v>67</v>
      </c>
      <c r="Y3529" t="s">
        <v>67</v>
      </c>
      <c r="Z3529" t="s">
        <v>68</v>
      </c>
      <c r="AB3529">
        <v>4</v>
      </c>
      <c r="AC3529" t="s">
        <v>61</v>
      </c>
      <c r="AJ3529" t="s">
        <v>69</v>
      </c>
      <c r="AY3529" t="s">
        <v>661</v>
      </c>
      <c r="AZ3529">
        <v>2145</v>
      </c>
      <c r="BA3529" t="s">
        <v>662</v>
      </c>
      <c r="BB3529" t="s">
        <v>663</v>
      </c>
      <c r="BC3529">
        <v>1976</v>
      </c>
      <c r="BD3529" t="s">
        <v>200</v>
      </c>
    </row>
    <row r="3530" spans="1:56" x14ac:dyDescent="0.35">
      <c r="A3530">
        <v>7778509</v>
      </c>
      <c r="B3530" t="s">
        <v>2374</v>
      </c>
      <c r="C3530" t="s">
        <v>195</v>
      </c>
      <c r="D3530" t="s">
        <v>85</v>
      </c>
      <c r="E3530" t="s">
        <v>86</v>
      </c>
      <c r="F3530" t="s">
        <v>58</v>
      </c>
      <c r="G3530" t="s">
        <v>59</v>
      </c>
      <c r="H3530" t="s">
        <v>60</v>
      </c>
      <c r="J3530">
        <v>11</v>
      </c>
      <c r="K3530" t="s">
        <v>196</v>
      </c>
      <c r="L3530" t="s">
        <v>74</v>
      </c>
      <c r="M3530" t="s">
        <v>63</v>
      </c>
      <c r="N3530" t="s">
        <v>64</v>
      </c>
      <c r="P3530" t="s">
        <v>201</v>
      </c>
      <c r="R3530">
        <v>38</v>
      </c>
      <c r="W3530" t="s">
        <v>66</v>
      </c>
      <c r="X3530" t="s">
        <v>67</v>
      </c>
      <c r="Y3530" t="s">
        <v>67</v>
      </c>
      <c r="Z3530" t="s">
        <v>68</v>
      </c>
      <c r="AB3530">
        <v>4</v>
      </c>
      <c r="AC3530" t="s">
        <v>61</v>
      </c>
      <c r="AJ3530" t="s">
        <v>69</v>
      </c>
      <c r="AY3530" t="s">
        <v>661</v>
      </c>
      <c r="AZ3530">
        <v>2145</v>
      </c>
      <c r="BA3530" t="s">
        <v>662</v>
      </c>
      <c r="BB3530" t="s">
        <v>663</v>
      </c>
      <c r="BC3530">
        <v>1976</v>
      </c>
      <c r="BD3530" t="s">
        <v>200</v>
      </c>
    </row>
    <row r="3531" spans="1:56" x14ac:dyDescent="0.35">
      <c r="A3531">
        <v>7778509</v>
      </c>
      <c r="B3531" t="s">
        <v>2374</v>
      </c>
      <c r="D3531" t="s">
        <v>57</v>
      </c>
      <c r="E3531" t="s">
        <v>86</v>
      </c>
      <c r="F3531" t="s">
        <v>58</v>
      </c>
      <c r="G3531" t="s">
        <v>59</v>
      </c>
      <c r="H3531" t="s">
        <v>60</v>
      </c>
      <c r="J3531" t="s">
        <v>86</v>
      </c>
      <c r="K3531" t="s">
        <v>61</v>
      </c>
      <c r="L3531" t="s">
        <v>62</v>
      </c>
      <c r="M3531" t="s">
        <v>63</v>
      </c>
      <c r="N3531" t="s">
        <v>64</v>
      </c>
      <c r="P3531" t="s">
        <v>201</v>
      </c>
      <c r="R3531">
        <v>23.9</v>
      </c>
      <c r="T3531">
        <v>19</v>
      </c>
      <c r="V3531">
        <v>28.7</v>
      </c>
      <c r="W3531" t="s">
        <v>66</v>
      </c>
      <c r="X3531" t="s">
        <v>67</v>
      </c>
      <c r="Y3531" t="s">
        <v>67</v>
      </c>
      <c r="Z3531" t="s">
        <v>68</v>
      </c>
      <c r="AB3531">
        <v>4</v>
      </c>
      <c r="AC3531" t="s">
        <v>61</v>
      </c>
      <c r="AJ3531" t="s">
        <v>69</v>
      </c>
      <c r="AY3531" t="s">
        <v>2375</v>
      </c>
      <c r="AZ3531">
        <v>9390</v>
      </c>
      <c r="BA3531" t="s">
        <v>2376</v>
      </c>
      <c r="BB3531" t="s">
        <v>2377</v>
      </c>
      <c r="BC3531">
        <v>1993</v>
      </c>
      <c r="BD3531" t="s">
        <v>2378</v>
      </c>
    </row>
    <row r="3532" spans="1:56" x14ac:dyDescent="0.35">
      <c r="A3532">
        <v>7778509</v>
      </c>
      <c r="B3532" t="s">
        <v>2374</v>
      </c>
      <c r="C3532" t="s">
        <v>195</v>
      </c>
      <c r="D3532" t="s">
        <v>85</v>
      </c>
      <c r="E3532" t="s">
        <v>86</v>
      </c>
      <c r="F3532" t="s">
        <v>58</v>
      </c>
      <c r="G3532" t="s">
        <v>59</v>
      </c>
      <c r="H3532" t="s">
        <v>60</v>
      </c>
      <c r="J3532">
        <v>11</v>
      </c>
      <c r="K3532" t="s">
        <v>196</v>
      </c>
      <c r="L3532" t="s">
        <v>74</v>
      </c>
      <c r="M3532" t="s">
        <v>63</v>
      </c>
      <c r="N3532" t="s">
        <v>64</v>
      </c>
      <c r="P3532" t="s">
        <v>201</v>
      </c>
      <c r="R3532">
        <v>29</v>
      </c>
      <c r="W3532" t="s">
        <v>66</v>
      </c>
      <c r="X3532" t="s">
        <v>67</v>
      </c>
      <c r="Y3532" t="s">
        <v>67</v>
      </c>
      <c r="Z3532" t="s">
        <v>68</v>
      </c>
      <c r="AB3532">
        <v>4</v>
      </c>
      <c r="AC3532" t="s">
        <v>61</v>
      </c>
      <c r="AJ3532" t="s">
        <v>69</v>
      </c>
      <c r="AY3532" t="s">
        <v>661</v>
      </c>
      <c r="AZ3532">
        <v>2145</v>
      </c>
      <c r="BA3532" t="s">
        <v>662</v>
      </c>
      <c r="BB3532" t="s">
        <v>663</v>
      </c>
      <c r="BC3532">
        <v>1976</v>
      </c>
      <c r="BD3532" t="s">
        <v>200</v>
      </c>
    </row>
    <row r="3533" spans="1:56" x14ac:dyDescent="0.35">
      <c r="A3533">
        <v>7778509</v>
      </c>
      <c r="B3533" t="s">
        <v>2374</v>
      </c>
      <c r="C3533" t="s">
        <v>195</v>
      </c>
      <c r="D3533" t="s">
        <v>85</v>
      </c>
      <c r="E3533" t="s">
        <v>86</v>
      </c>
      <c r="F3533" t="s">
        <v>58</v>
      </c>
      <c r="G3533" t="s">
        <v>59</v>
      </c>
      <c r="H3533" t="s">
        <v>60</v>
      </c>
      <c r="J3533">
        <v>11</v>
      </c>
      <c r="K3533" t="s">
        <v>196</v>
      </c>
      <c r="L3533" t="s">
        <v>74</v>
      </c>
      <c r="M3533" t="s">
        <v>63</v>
      </c>
      <c r="N3533" t="s">
        <v>64</v>
      </c>
      <c r="P3533" t="s">
        <v>201</v>
      </c>
      <c r="R3533">
        <v>34</v>
      </c>
      <c r="W3533" t="s">
        <v>66</v>
      </c>
      <c r="X3533" t="s">
        <v>67</v>
      </c>
      <c r="Y3533" t="s">
        <v>67</v>
      </c>
      <c r="Z3533" t="s">
        <v>68</v>
      </c>
      <c r="AB3533">
        <v>4</v>
      </c>
      <c r="AC3533" t="s">
        <v>61</v>
      </c>
      <c r="AJ3533" t="s">
        <v>69</v>
      </c>
      <c r="AY3533" t="s">
        <v>661</v>
      </c>
      <c r="AZ3533">
        <v>2145</v>
      </c>
      <c r="BA3533" t="s">
        <v>662</v>
      </c>
      <c r="BB3533" t="s">
        <v>663</v>
      </c>
      <c r="BC3533">
        <v>1976</v>
      </c>
      <c r="BD3533" t="s">
        <v>200</v>
      </c>
    </row>
    <row r="3534" spans="1:56" x14ac:dyDescent="0.35">
      <c r="A3534">
        <v>7778509</v>
      </c>
      <c r="B3534" t="s">
        <v>2374</v>
      </c>
      <c r="D3534" t="s">
        <v>85</v>
      </c>
      <c r="E3534" t="s">
        <v>86</v>
      </c>
      <c r="F3534" t="s">
        <v>58</v>
      </c>
      <c r="G3534" t="s">
        <v>59</v>
      </c>
      <c r="H3534" t="s">
        <v>60</v>
      </c>
      <c r="J3534" t="s">
        <v>86</v>
      </c>
      <c r="L3534" t="s">
        <v>74</v>
      </c>
      <c r="M3534" t="s">
        <v>63</v>
      </c>
      <c r="N3534" t="s">
        <v>64</v>
      </c>
      <c r="P3534" t="s">
        <v>201</v>
      </c>
      <c r="R3534">
        <v>24.14</v>
      </c>
      <c r="W3534" t="s">
        <v>66</v>
      </c>
      <c r="X3534" t="s">
        <v>67</v>
      </c>
      <c r="Y3534" t="s">
        <v>67</v>
      </c>
      <c r="Z3534" t="s">
        <v>68</v>
      </c>
      <c r="AB3534">
        <v>4</v>
      </c>
      <c r="AC3534" t="s">
        <v>61</v>
      </c>
      <c r="AJ3534" t="s">
        <v>69</v>
      </c>
      <c r="AY3534" t="s">
        <v>2379</v>
      </c>
      <c r="AZ3534">
        <v>3675</v>
      </c>
      <c r="BA3534" t="s">
        <v>2380</v>
      </c>
      <c r="BB3534" t="s">
        <v>2381</v>
      </c>
      <c r="BC3534">
        <v>1977</v>
      </c>
      <c r="BD3534" t="s">
        <v>90</v>
      </c>
    </row>
    <row r="3535" spans="1:56" x14ac:dyDescent="0.35">
      <c r="A3535">
        <v>7778509</v>
      </c>
      <c r="B3535" t="s">
        <v>2374</v>
      </c>
      <c r="D3535" t="s">
        <v>85</v>
      </c>
      <c r="E3535" t="s">
        <v>86</v>
      </c>
      <c r="F3535" t="s">
        <v>58</v>
      </c>
      <c r="G3535" t="s">
        <v>59</v>
      </c>
      <c r="H3535" t="s">
        <v>60</v>
      </c>
      <c r="J3535" t="s">
        <v>86</v>
      </c>
      <c r="L3535" t="s">
        <v>74</v>
      </c>
      <c r="M3535" t="s">
        <v>63</v>
      </c>
      <c r="N3535" t="s">
        <v>64</v>
      </c>
      <c r="P3535" t="s">
        <v>201</v>
      </c>
      <c r="R3535">
        <v>22.58</v>
      </c>
      <c r="T3535">
        <v>15.41</v>
      </c>
      <c r="V3535">
        <v>30.36</v>
      </c>
      <c r="W3535" t="s">
        <v>66</v>
      </c>
      <c r="X3535" t="s">
        <v>67</v>
      </c>
      <c r="Y3535" t="s">
        <v>67</v>
      </c>
      <c r="Z3535" t="s">
        <v>68</v>
      </c>
      <c r="AB3535">
        <v>4</v>
      </c>
      <c r="AC3535" t="s">
        <v>61</v>
      </c>
      <c r="AJ3535" t="s">
        <v>69</v>
      </c>
      <c r="AY3535" t="s">
        <v>2379</v>
      </c>
      <c r="AZ3535">
        <v>3675</v>
      </c>
      <c r="BA3535" t="s">
        <v>2380</v>
      </c>
      <c r="BB3535" t="s">
        <v>2381</v>
      </c>
      <c r="BC3535">
        <v>1977</v>
      </c>
      <c r="BD3535" t="s">
        <v>90</v>
      </c>
    </row>
    <row r="3536" spans="1:56" x14ac:dyDescent="0.35">
      <c r="A3536">
        <v>7778509</v>
      </c>
      <c r="B3536" t="s">
        <v>2374</v>
      </c>
      <c r="C3536" t="s">
        <v>195</v>
      </c>
      <c r="D3536" t="s">
        <v>85</v>
      </c>
      <c r="E3536" t="s">
        <v>86</v>
      </c>
      <c r="F3536" t="s">
        <v>58</v>
      </c>
      <c r="G3536" t="s">
        <v>59</v>
      </c>
      <c r="H3536" t="s">
        <v>60</v>
      </c>
      <c r="J3536">
        <v>11</v>
      </c>
      <c r="K3536" t="s">
        <v>196</v>
      </c>
      <c r="L3536" t="s">
        <v>74</v>
      </c>
      <c r="M3536" t="s">
        <v>63</v>
      </c>
      <c r="N3536" t="s">
        <v>64</v>
      </c>
      <c r="P3536" t="s">
        <v>201</v>
      </c>
      <c r="R3536">
        <v>53</v>
      </c>
      <c r="W3536" t="s">
        <v>66</v>
      </c>
      <c r="X3536" t="s">
        <v>67</v>
      </c>
      <c r="Y3536" t="s">
        <v>67</v>
      </c>
      <c r="Z3536" t="s">
        <v>68</v>
      </c>
      <c r="AB3536">
        <v>4</v>
      </c>
      <c r="AC3536" t="s">
        <v>61</v>
      </c>
      <c r="AJ3536" t="s">
        <v>69</v>
      </c>
      <c r="AY3536" t="s">
        <v>661</v>
      </c>
      <c r="AZ3536">
        <v>2145</v>
      </c>
      <c r="BA3536" t="s">
        <v>662</v>
      </c>
      <c r="BB3536" t="s">
        <v>663</v>
      </c>
      <c r="BC3536">
        <v>1976</v>
      </c>
      <c r="BD3536" t="s">
        <v>200</v>
      </c>
    </row>
    <row r="3537" spans="1:56" x14ac:dyDescent="0.35">
      <c r="A3537">
        <v>7778509</v>
      </c>
      <c r="B3537" t="s">
        <v>2374</v>
      </c>
      <c r="C3537" t="s">
        <v>195</v>
      </c>
      <c r="D3537" t="s">
        <v>85</v>
      </c>
      <c r="E3537" t="s">
        <v>86</v>
      </c>
      <c r="F3537" t="s">
        <v>58</v>
      </c>
      <c r="G3537" t="s">
        <v>59</v>
      </c>
      <c r="H3537" t="s">
        <v>60</v>
      </c>
      <c r="J3537">
        <v>11</v>
      </c>
      <c r="K3537" t="s">
        <v>196</v>
      </c>
      <c r="L3537" t="s">
        <v>74</v>
      </c>
      <c r="M3537" t="s">
        <v>63</v>
      </c>
      <c r="N3537" t="s">
        <v>64</v>
      </c>
      <c r="P3537" t="s">
        <v>201</v>
      </c>
      <c r="R3537">
        <v>49</v>
      </c>
      <c r="W3537" t="s">
        <v>66</v>
      </c>
      <c r="X3537" t="s">
        <v>67</v>
      </c>
      <c r="Y3537" t="s">
        <v>67</v>
      </c>
      <c r="Z3537" t="s">
        <v>68</v>
      </c>
      <c r="AB3537">
        <v>4</v>
      </c>
      <c r="AC3537" t="s">
        <v>61</v>
      </c>
      <c r="AJ3537" t="s">
        <v>69</v>
      </c>
      <c r="AY3537" t="s">
        <v>661</v>
      </c>
      <c r="AZ3537">
        <v>2145</v>
      </c>
      <c r="BA3537" t="s">
        <v>662</v>
      </c>
      <c r="BB3537" t="s">
        <v>663</v>
      </c>
      <c r="BC3537">
        <v>1976</v>
      </c>
      <c r="BD3537" t="s">
        <v>200</v>
      </c>
    </row>
    <row r="3538" spans="1:56" x14ac:dyDescent="0.35">
      <c r="A3538">
        <v>7778509</v>
      </c>
      <c r="B3538" t="s">
        <v>2374</v>
      </c>
      <c r="C3538" t="s">
        <v>195</v>
      </c>
      <c r="D3538" t="s">
        <v>85</v>
      </c>
      <c r="E3538" t="s">
        <v>86</v>
      </c>
      <c r="F3538" t="s">
        <v>58</v>
      </c>
      <c r="G3538" t="s">
        <v>59</v>
      </c>
      <c r="H3538" t="s">
        <v>60</v>
      </c>
      <c r="J3538">
        <v>11</v>
      </c>
      <c r="K3538" t="s">
        <v>196</v>
      </c>
      <c r="L3538" t="s">
        <v>74</v>
      </c>
      <c r="M3538" t="s">
        <v>63</v>
      </c>
      <c r="N3538" t="s">
        <v>64</v>
      </c>
      <c r="P3538" t="s">
        <v>201</v>
      </c>
      <c r="R3538">
        <v>56</v>
      </c>
      <c r="W3538" t="s">
        <v>66</v>
      </c>
      <c r="X3538" t="s">
        <v>67</v>
      </c>
      <c r="Y3538" t="s">
        <v>67</v>
      </c>
      <c r="Z3538" t="s">
        <v>68</v>
      </c>
      <c r="AB3538">
        <v>4</v>
      </c>
      <c r="AC3538" t="s">
        <v>61</v>
      </c>
      <c r="AJ3538" t="s">
        <v>69</v>
      </c>
      <c r="AY3538" t="s">
        <v>661</v>
      </c>
      <c r="AZ3538">
        <v>2145</v>
      </c>
      <c r="BA3538" t="s">
        <v>662</v>
      </c>
      <c r="BB3538" t="s">
        <v>663</v>
      </c>
      <c r="BC3538">
        <v>1976</v>
      </c>
      <c r="BD3538" t="s">
        <v>200</v>
      </c>
    </row>
    <row r="3539" spans="1:56" x14ac:dyDescent="0.35">
      <c r="A3539">
        <v>7778509</v>
      </c>
      <c r="B3539" t="s">
        <v>2374</v>
      </c>
      <c r="D3539" t="s">
        <v>85</v>
      </c>
      <c r="E3539" t="s">
        <v>86</v>
      </c>
      <c r="F3539" t="s">
        <v>58</v>
      </c>
      <c r="G3539" t="s">
        <v>59</v>
      </c>
      <c r="H3539" t="s">
        <v>60</v>
      </c>
      <c r="J3539" t="s">
        <v>86</v>
      </c>
      <c r="L3539" t="s">
        <v>74</v>
      </c>
      <c r="M3539" t="s">
        <v>63</v>
      </c>
      <c r="N3539" t="s">
        <v>64</v>
      </c>
      <c r="P3539" t="s">
        <v>201</v>
      </c>
      <c r="R3539">
        <v>20</v>
      </c>
      <c r="W3539" t="s">
        <v>66</v>
      </c>
      <c r="X3539" t="s">
        <v>67</v>
      </c>
      <c r="Y3539" t="s">
        <v>67</v>
      </c>
      <c r="Z3539" t="s">
        <v>68</v>
      </c>
      <c r="AB3539">
        <v>4</v>
      </c>
      <c r="AC3539" t="s">
        <v>61</v>
      </c>
      <c r="AJ3539" t="s">
        <v>69</v>
      </c>
      <c r="AY3539" t="s">
        <v>2379</v>
      </c>
      <c r="AZ3539">
        <v>3675</v>
      </c>
      <c r="BA3539" t="s">
        <v>2380</v>
      </c>
      <c r="BB3539" t="s">
        <v>2381</v>
      </c>
      <c r="BC3539">
        <v>1977</v>
      </c>
      <c r="BD3539" t="s">
        <v>90</v>
      </c>
    </row>
    <row r="3540" spans="1:56" x14ac:dyDescent="0.35">
      <c r="A3540">
        <v>7778509</v>
      </c>
      <c r="B3540" t="s">
        <v>2374</v>
      </c>
      <c r="C3540" t="s">
        <v>195</v>
      </c>
      <c r="D3540" t="s">
        <v>85</v>
      </c>
      <c r="E3540" t="s">
        <v>86</v>
      </c>
      <c r="F3540" t="s">
        <v>58</v>
      </c>
      <c r="G3540" t="s">
        <v>59</v>
      </c>
      <c r="H3540" t="s">
        <v>60</v>
      </c>
      <c r="J3540">
        <v>11</v>
      </c>
      <c r="K3540" t="s">
        <v>196</v>
      </c>
      <c r="L3540" t="s">
        <v>74</v>
      </c>
      <c r="M3540" t="s">
        <v>63</v>
      </c>
      <c r="N3540" t="s">
        <v>64</v>
      </c>
      <c r="P3540" t="s">
        <v>201</v>
      </c>
      <c r="R3540">
        <v>37</v>
      </c>
      <c r="W3540" t="s">
        <v>66</v>
      </c>
      <c r="X3540" t="s">
        <v>67</v>
      </c>
      <c r="Y3540" t="s">
        <v>67</v>
      </c>
      <c r="Z3540" t="s">
        <v>68</v>
      </c>
      <c r="AB3540">
        <v>4</v>
      </c>
      <c r="AC3540" t="s">
        <v>61</v>
      </c>
      <c r="AJ3540" t="s">
        <v>69</v>
      </c>
      <c r="AY3540" t="s">
        <v>661</v>
      </c>
      <c r="AZ3540">
        <v>2145</v>
      </c>
      <c r="BA3540" t="s">
        <v>662</v>
      </c>
      <c r="BB3540" t="s">
        <v>663</v>
      </c>
      <c r="BC3540">
        <v>1976</v>
      </c>
      <c r="BD3540" t="s">
        <v>200</v>
      </c>
    </row>
    <row r="3541" spans="1:56" x14ac:dyDescent="0.35">
      <c r="A3541">
        <v>7778509</v>
      </c>
      <c r="B3541" t="s">
        <v>2374</v>
      </c>
      <c r="D3541" t="s">
        <v>57</v>
      </c>
      <c r="E3541" t="s">
        <v>86</v>
      </c>
      <c r="F3541" t="s">
        <v>58</v>
      </c>
      <c r="G3541" t="s">
        <v>59</v>
      </c>
      <c r="H3541" t="s">
        <v>60</v>
      </c>
      <c r="J3541" t="s">
        <v>86</v>
      </c>
      <c r="L3541" t="s">
        <v>62</v>
      </c>
      <c r="M3541" t="s">
        <v>63</v>
      </c>
      <c r="N3541" t="s">
        <v>64</v>
      </c>
      <c r="P3541" t="s">
        <v>201</v>
      </c>
      <c r="R3541">
        <v>34</v>
      </c>
      <c r="T3541">
        <v>32</v>
      </c>
      <c r="V3541">
        <v>36</v>
      </c>
      <c r="W3541" t="s">
        <v>66</v>
      </c>
      <c r="X3541" t="s">
        <v>67</v>
      </c>
      <c r="Y3541" t="s">
        <v>67</v>
      </c>
      <c r="Z3541" t="s">
        <v>68</v>
      </c>
      <c r="AB3541">
        <v>4</v>
      </c>
      <c r="AC3541" t="s">
        <v>61</v>
      </c>
      <c r="AJ3541" t="s">
        <v>69</v>
      </c>
      <c r="AY3541" t="s">
        <v>2382</v>
      </c>
      <c r="AZ3541">
        <v>12721</v>
      </c>
      <c r="BA3541" t="s">
        <v>2383</v>
      </c>
      <c r="BB3541" t="s">
        <v>2384</v>
      </c>
      <c r="BC3541">
        <v>1987</v>
      </c>
      <c r="BD3541" t="s">
        <v>90</v>
      </c>
    </row>
    <row r="3542" spans="1:56" x14ac:dyDescent="0.35">
      <c r="A3542">
        <v>7778509</v>
      </c>
      <c r="B3542" t="s">
        <v>2374</v>
      </c>
      <c r="D3542" t="s">
        <v>57</v>
      </c>
      <c r="E3542" t="s">
        <v>86</v>
      </c>
      <c r="F3542" t="s">
        <v>58</v>
      </c>
      <c r="G3542" t="s">
        <v>59</v>
      </c>
      <c r="H3542" t="s">
        <v>60</v>
      </c>
      <c r="J3542" t="s">
        <v>86</v>
      </c>
      <c r="K3542" t="s">
        <v>61</v>
      </c>
      <c r="L3542" t="s">
        <v>62</v>
      </c>
      <c r="M3542" t="s">
        <v>63</v>
      </c>
      <c r="N3542" t="s">
        <v>64</v>
      </c>
      <c r="P3542" t="s">
        <v>201</v>
      </c>
      <c r="R3542">
        <v>26.13</v>
      </c>
      <c r="T3542">
        <v>23.3</v>
      </c>
      <c r="V3542">
        <v>30.24</v>
      </c>
      <c r="W3542" t="s">
        <v>66</v>
      </c>
      <c r="X3542" t="s">
        <v>67</v>
      </c>
      <c r="Y3542" t="s">
        <v>67</v>
      </c>
      <c r="Z3542" t="s">
        <v>68</v>
      </c>
      <c r="AB3542">
        <v>4</v>
      </c>
      <c r="AC3542" t="s">
        <v>61</v>
      </c>
      <c r="AJ3542" t="s">
        <v>69</v>
      </c>
      <c r="AY3542" t="s">
        <v>2385</v>
      </c>
      <c r="AZ3542">
        <v>12660</v>
      </c>
      <c r="BA3542" t="s">
        <v>2386</v>
      </c>
      <c r="BB3542" t="s">
        <v>2387</v>
      </c>
      <c r="BC3542">
        <v>1987</v>
      </c>
      <c r="BD3542" t="s">
        <v>2388</v>
      </c>
    </row>
    <row r="3543" spans="1:56" x14ac:dyDescent="0.35">
      <c r="A3543">
        <v>7778509</v>
      </c>
      <c r="B3543" t="s">
        <v>2374</v>
      </c>
      <c r="D3543" t="s">
        <v>85</v>
      </c>
      <c r="E3543" t="s">
        <v>86</v>
      </c>
      <c r="F3543" t="s">
        <v>58</v>
      </c>
      <c r="G3543" t="s">
        <v>59</v>
      </c>
      <c r="H3543" t="s">
        <v>60</v>
      </c>
      <c r="J3543" t="s">
        <v>86</v>
      </c>
      <c r="L3543" t="s">
        <v>62</v>
      </c>
      <c r="M3543" t="s">
        <v>63</v>
      </c>
      <c r="N3543" t="s">
        <v>64</v>
      </c>
      <c r="P3543" t="s">
        <v>201</v>
      </c>
      <c r="R3543">
        <v>17.600000000000001</v>
      </c>
      <c r="T3543">
        <v>14</v>
      </c>
      <c r="V3543">
        <v>20.9</v>
      </c>
      <c r="W3543" t="s">
        <v>66</v>
      </c>
      <c r="X3543" t="s">
        <v>67</v>
      </c>
      <c r="Y3543" t="s">
        <v>67</v>
      </c>
      <c r="Z3543" t="s">
        <v>68</v>
      </c>
      <c r="AB3543">
        <v>4</v>
      </c>
      <c r="AC3543" t="s">
        <v>61</v>
      </c>
      <c r="AJ3543" t="s">
        <v>69</v>
      </c>
      <c r="AY3543" t="s">
        <v>168</v>
      </c>
      <c r="AZ3543">
        <v>2033</v>
      </c>
      <c r="BA3543" t="s">
        <v>1385</v>
      </c>
      <c r="BB3543" t="s">
        <v>1386</v>
      </c>
      <c r="BC3543">
        <v>1966</v>
      </c>
      <c r="BD3543" t="s">
        <v>90</v>
      </c>
    </row>
    <row r="3544" spans="1:56" x14ac:dyDescent="0.35">
      <c r="A3544">
        <v>7778509</v>
      </c>
      <c r="B3544" t="s">
        <v>2374</v>
      </c>
      <c r="D3544" t="s">
        <v>57</v>
      </c>
      <c r="E3544" t="s">
        <v>86</v>
      </c>
      <c r="F3544" t="s">
        <v>58</v>
      </c>
      <c r="G3544" t="s">
        <v>59</v>
      </c>
      <c r="H3544" t="s">
        <v>60</v>
      </c>
      <c r="J3544" t="s">
        <v>86</v>
      </c>
      <c r="L3544" t="s">
        <v>74</v>
      </c>
      <c r="M3544" t="s">
        <v>63</v>
      </c>
      <c r="N3544" t="s">
        <v>64</v>
      </c>
      <c r="P3544" t="s">
        <v>201</v>
      </c>
      <c r="R3544">
        <v>37.700000000000003</v>
      </c>
      <c r="T3544">
        <v>29.5</v>
      </c>
      <c r="V3544">
        <v>57.5</v>
      </c>
      <c r="W3544" t="s">
        <v>66</v>
      </c>
      <c r="X3544" t="s">
        <v>67</v>
      </c>
      <c r="Y3544" t="s">
        <v>67</v>
      </c>
      <c r="Z3544" t="s">
        <v>68</v>
      </c>
      <c r="AB3544">
        <v>4</v>
      </c>
      <c r="AC3544" t="s">
        <v>61</v>
      </c>
      <c r="AJ3544" t="s">
        <v>69</v>
      </c>
      <c r="AY3544" t="s">
        <v>2175</v>
      </c>
      <c r="AZ3544">
        <v>584</v>
      </c>
      <c r="BA3544" t="s">
        <v>2389</v>
      </c>
      <c r="BB3544" t="s">
        <v>2390</v>
      </c>
      <c r="BC3544">
        <v>1980</v>
      </c>
      <c r="BD3544" t="s">
        <v>90</v>
      </c>
    </row>
    <row r="3545" spans="1:56" x14ac:dyDescent="0.35">
      <c r="A3545">
        <v>7778509</v>
      </c>
      <c r="B3545" t="s">
        <v>2374</v>
      </c>
      <c r="C3545" t="s">
        <v>195</v>
      </c>
      <c r="D3545" t="s">
        <v>85</v>
      </c>
      <c r="E3545" t="s">
        <v>86</v>
      </c>
      <c r="F3545" t="s">
        <v>58</v>
      </c>
      <c r="G3545" t="s">
        <v>59</v>
      </c>
      <c r="H3545" t="s">
        <v>60</v>
      </c>
      <c r="J3545">
        <v>11</v>
      </c>
      <c r="K3545" t="s">
        <v>196</v>
      </c>
      <c r="L3545" t="s">
        <v>74</v>
      </c>
      <c r="M3545" t="s">
        <v>63</v>
      </c>
      <c r="N3545" t="s">
        <v>64</v>
      </c>
      <c r="P3545" t="s">
        <v>201</v>
      </c>
      <c r="R3545">
        <v>53</v>
      </c>
      <c r="W3545" t="s">
        <v>66</v>
      </c>
      <c r="X3545" t="s">
        <v>67</v>
      </c>
      <c r="Y3545" t="s">
        <v>67</v>
      </c>
      <c r="Z3545" t="s">
        <v>68</v>
      </c>
      <c r="AB3545">
        <v>4</v>
      </c>
      <c r="AC3545" t="s">
        <v>61</v>
      </c>
      <c r="AJ3545" t="s">
        <v>69</v>
      </c>
      <c r="AY3545" t="s">
        <v>661</v>
      </c>
      <c r="AZ3545">
        <v>2145</v>
      </c>
      <c r="BA3545" t="s">
        <v>662</v>
      </c>
      <c r="BB3545" t="s">
        <v>663</v>
      </c>
      <c r="BC3545">
        <v>1976</v>
      </c>
      <c r="BD3545" t="s">
        <v>200</v>
      </c>
    </row>
    <row r="3546" spans="1:56" x14ac:dyDescent="0.35">
      <c r="A3546">
        <v>7778509</v>
      </c>
      <c r="B3546" t="s">
        <v>2374</v>
      </c>
      <c r="C3546" t="s">
        <v>195</v>
      </c>
      <c r="D3546" t="s">
        <v>85</v>
      </c>
      <c r="E3546" t="s">
        <v>86</v>
      </c>
      <c r="F3546" t="s">
        <v>58</v>
      </c>
      <c r="G3546" t="s">
        <v>59</v>
      </c>
      <c r="H3546" t="s">
        <v>60</v>
      </c>
      <c r="J3546">
        <v>11</v>
      </c>
      <c r="K3546" t="s">
        <v>196</v>
      </c>
      <c r="L3546" t="s">
        <v>74</v>
      </c>
      <c r="M3546" t="s">
        <v>63</v>
      </c>
      <c r="N3546" t="s">
        <v>64</v>
      </c>
      <c r="P3546" t="s">
        <v>201</v>
      </c>
      <c r="R3546">
        <v>55</v>
      </c>
      <c r="W3546" t="s">
        <v>66</v>
      </c>
      <c r="X3546" t="s">
        <v>67</v>
      </c>
      <c r="Y3546" t="s">
        <v>67</v>
      </c>
      <c r="Z3546" t="s">
        <v>68</v>
      </c>
      <c r="AB3546">
        <v>4</v>
      </c>
      <c r="AC3546" t="s">
        <v>61</v>
      </c>
      <c r="AJ3546" t="s">
        <v>69</v>
      </c>
      <c r="AY3546" t="s">
        <v>661</v>
      </c>
      <c r="AZ3546">
        <v>2145</v>
      </c>
      <c r="BA3546" t="s">
        <v>662</v>
      </c>
      <c r="BB3546" t="s">
        <v>663</v>
      </c>
      <c r="BC3546">
        <v>1976</v>
      </c>
      <c r="BD3546" t="s">
        <v>200</v>
      </c>
    </row>
    <row r="3547" spans="1:56" x14ac:dyDescent="0.35">
      <c r="A3547">
        <v>7778509</v>
      </c>
      <c r="B3547" t="s">
        <v>2374</v>
      </c>
      <c r="D3547" t="s">
        <v>85</v>
      </c>
      <c r="E3547" t="s">
        <v>86</v>
      </c>
      <c r="F3547" t="s">
        <v>58</v>
      </c>
      <c r="G3547" t="s">
        <v>59</v>
      </c>
      <c r="H3547" t="s">
        <v>60</v>
      </c>
      <c r="J3547" t="s">
        <v>86</v>
      </c>
      <c r="L3547" t="s">
        <v>62</v>
      </c>
      <c r="M3547" t="s">
        <v>63</v>
      </c>
      <c r="N3547" t="s">
        <v>64</v>
      </c>
      <c r="P3547" t="s">
        <v>201</v>
      </c>
      <c r="R3547">
        <v>32.700000000000003</v>
      </c>
      <c r="W3547" t="s">
        <v>66</v>
      </c>
      <c r="X3547" t="s">
        <v>67</v>
      </c>
      <c r="Y3547" t="s">
        <v>67</v>
      </c>
      <c r="Z3547" t="s">
        <v>68</v>
      </c>
      <c r="AB3547">
        <v>4</v>
      </c>
      <c r="AC3547" t="s">
        <v>61</v>
      </c>
      <c r="AJ3547" t="s">
        <v>69</v>
      </c>
      <c r="AY3547" t="s">
        <v>2175</v>
      </c>
      <c r="AZ3547">
        <v>584</v>
      </c>
      <c r="BA3547" t="s">
        <v>2389</v>
      </c>
      <c r="BB3547" t="s">
        <v>2390</v>
      </c>
      <c r="BC3547">
        <v>1980</v>
      </c>
      <c r="BD3547" t="s">
        <v>90</v>
      </c>
    </row>
    <row r="3548" spans="1:56" x14ac:dyDescent="0.35">
      <c r="A3548">
        <v>7778509</v>
      </c>
      <c r="B3548" t="s">
        <v>2374</v>
      </c>
      <c r="C3548" t="s">
        <v>195</v>
      </c>
      <c r="D3548" t="s">
        <v>85</v>
      </c>
      <c r="E3548" t="s">
        <v>86</v>
      </c>
      <c r="F3548" t="s">
        <v>58</v>
      </c>
      <c r="G3548" t="s">
        <v>59</v>
      </c>
      <c r="H3548" t="s">
        <v>60</v>
      </c>
      <c r="J3548">
        <v>11</v>
      </c>
      <c r="K3548" t="s">
        <v>196</v>
      </c>
      <c r="L3548" t="s">
        <v>74</v>
      </c>
      <c r="M3548" t="s">
        <v>63</v>
      </c>
      <c r="N3548" t="s">
        <v>64</v>
      </c>
      <c r="P3548" t="s">
        <v>201</v>
      </c>
      <c r="R3548">
        <v>66</v>
      </c>
      <c r="W3548" t="s">
        <v>66</v>
      </c>
      <c r="X3548" t="s">
        <v>67</v>
      </c>
      <c r="Y3548" t="s">
        <v>67</v>
      </c>
      <c r="Z3548" t="s">
        <v>68</v>
      </c>
      <c r="AB3548">
        <v>4</v>
      </c>
      <c r="AC3548" t="s">
        <v>61</v>
      </c>
      <c r="AJ3548" t="s">
        <v>69</v>
      </c>
      <c r="AY3548" t="s">
        <v>661</v>
      </c>
      <c r="AZ3548">
        <v>2145</v>
      </c>
      <c r="BA3548" t="s">
        <v>662</v>
      </c>
      <c r="BB3548" t="s">
        <v>663</v>
      </c>
      <c r="BC3548">
        <v>1976</v>
      </c>
      <c r="BD3548" t="s">
        <v>200</v>
      </c>
    </row>
    <row r="3549" spans="1:56" x14ac:dyDescent="0.35">
      <c r="A3549">
        <v>7778509</v>
      </c>
      <c r="B3549" t="s">
        <v>2374</v>
      </c>
      <c r="C3549" t="s">
        <v>195</v>
      </c>
      <c r="D3549" t="s">
        <v>85</v>
      </c>
      <c r="E3549" t="s">
        <v>86</v>
      </c>
      <c r="F3549" t="s">
        <v>58</v>
      </c>
      <c r="G3549" t="s">
        <v>59</v>
      </c>
      <c r="H3549" t="s">
        <v>60</v>
      </c>
      <c r="J3549">
        <v>11</v>
      </c>
      <c r="K3549" t="s">
        <v>196</v>
      </c>
      <c r="L3549" t="s">
        <v>74</v>
      </c>
      <c r="M3549" t="s">
        <v>63</v>
      </c>
      <c r="N3549" t="s">
        <v>64</v>
      </c>
      <c r="P3549" t="s">
        <v>201</v>
      </c>
      <c r="R3549">
        <v>34</v>
      </c>
      <c r="W3549" t="s">
        <v>66</v>
      </c>
      <c r="X3549" t="s">
        <v>67</v>
      </c>
      <c r="Y3549" t="s">
        <v>67</v>
      </c>
      <c r="Z3549" t="s">
        <v>68</v>
      </c>
      <c r="AB3549">
        <v>4</v>
      </c>
      <c r="AC3549" t="s">
        <v>61</v>
      </c>
      <c r="AJ3549" t="s">
        <v>69</v>
      </c>
      <c r="AY3549" t="s">
        <v>661</v>
      </c>
      <c r="AZ3549">
        <v>2145</v>
      </c>
      <c r="BA3549" t="s">
        <v>662</v>
      </c>
      <c r="BB3549" t="s">
        <v>663</v>
      </c>
      <c r="BC3549">
        <v>1976</v>
      </c>
      <c r="BD3549" t="s">
        <v>200</v>
      </c>
    </row>
    <row r="3550" spans="1:56" x14ac:dyDescent="0.35">
      <c r="A3550">
        <v>7778509</v>
      </c>
      <c r="B3550" t="s">
        <v>2374</v>
      </c>
      <c r="D3550" t="s">
        <v>85</v>
      </c>
      <c r="E3550" t="s">
        <v>86</v>
      </c>
      <c r="F3550" t="s">
        <v>58</v>
      </c>
      <c r="G3550" t="s">
        <v>59</v>
      </c>
      <c r="H3550" t="s">
        <v>60</v>
      </c>
      <c r="J3550" t="s">
        <v>86</v>
      </c>
      <c r="L3550" t="s">
        <v>62</v>
      </c>
      <c r="M3550" t="s">
        <v>63</v>
      </c>
      <c r="N3550" t="s">
        <v>64</v>
      </c>
      <c r="P3550" t="s">
        <v>201</v>
      </c>
      <c r="R3550">
        <v>27.3</v>
      </c>
      <c r="T3550">
        <v>20.100000000000001</v>
      </c>
      <c r="V3550">
        <v>32.700000000000003</v>
      </c>
      <c r="W3550" t="s">
        <v>66</v>
      </c>
      <c r="X3550" t="s">
        <v>67</v>
      </c>
      <c r="Y3550" t="s">
        <v>67</v>
      </c>
      <c r="Z3550" t="s">
        <v>68</v>
      </c>
      <c r="AB3550">
        <v>4</v>
      </c>
      <c r="AC3550" t="s">
        <v>61</v>
      </c>
      <c r="AJ3550" t="s">
        <v>69</v>
      </c>
      <c r="AY3550" t="s">
        <v>168</v>
      </c>
      <c r="AZ3550">
        <v>2033</v>
      </c>
      <c r="BA3550" t="s">
        <v>1385</v>
      </c>
      <c r="BB3550" t="s">
        <v>1386</v>
      </c>
      <c r="BC3550">
        <v>1966</v>
      </c>
      <c r="BD3550" t="s">
        <v>90</v>
      </c>
    </row>
    <row r="3551" spans="1:56" x14ac:dyDescent="0.35">
      <c r="A3551">
        <v>7778509</v>
      </c>
      <c r="B3551" t="s">
        <v>2374</v>
      </c>
      <c r="C3551" t="s">
        <v>195</v>
      </c>
      <c r="D3551" t="s">
        <v>85</v>
      </c>
      <c r="E3551" t="s">
        <v>86</v>
      </c>
      <c r="F3551" t="s">
        <v>58</v>
      </c>
      <c r="G3551" t="s">
        <v>59</v>
      </c>
      <c r="H3551" t="s">
        <v>60</v>
      </c>
      <c r="I3551" t="s">
        <v>129</v>
      </c>
      <c r="J3551" t="s">
        <v>86</v>
      </c>
      <c r="L3551" t="s">
        <v>62</v>
      </c>
      <c r="M3551" t="s">
        <v>63</v>
      </c>
      <c r="N3551" t="s">
        <v>64</v>
      </c>
      <c r="O3551">
        <v>5</v>
      </c>
      <c r="P3551" t="s">
        <v>201</v>
      </c>
      <c r="Q3551" t="s">
        <v>153</v>
      </c>
      <c r="R3551">
        <v>100</v>
      </c>
      <c r="W3551" t="s">
        <v>66</v>
      </c>
      <c r="X3551" t="s">
        <v>67</v>
      </c>
      <c r="Y3551" t="s">
        <v>67</v>
      </c>
      <c r="Z3551" t="s">
        <v>68</v>
      </c>
      <c r="AB3551">
        <v>4</v>
      </c>
      <c r="AC3551" t="s">
        <v>61</v>
      </c>
      <c r="AJ3551" t="s">
        <v>69</v>
      </c>
      <c r="AY3551" t="s">
        <v>298</v>
      </c>
      <c r="AZ3551">
        <v>11951</v>
      </c>
      <c r="BA3551" t="s">
        <v>299</v>
      </c>
      <c r="BB3551" t="s">
        <v>300</v>
      </c>
      <c r="BC3551">
        <v>1986</v>
      </c>
      <c r="BD3551" t="s">
        <v>90</v>
      </c>
    </row>
    <row r="3552" spans="1:56" x14ac:dyDescent="0.35">
      <c r="A3552">
        <v>7778509</v>
      </c>
      <c r="B3552" t="s">
        <v>2374</v>
      </c>
      <c r="D3552" t="s">
        <v>85</v>
      </c>
      <c r="E3552" t="s">
        <v>86</v>
      </c>
      <c r="F3552" t="s">
        <v>58</v>
      </c>
      <c r="G3552" t="s">
        <v>59</v>
      </c>
      <c r="H3552" t="s">
        <v>60</v>
      </c>
      <c r="J3552" t="s">
        <v>86</v>
      </c>
      <c r="L3552" t="s">
        <v>62</v>
      </c>
      <c r="M3552" t="s">
        <v>63</v>
      </c>
      <c r="N3552" t="s">
        <v>64</v>
      </c>
      <c r="O3552">
        <v>6</v>
      </c>
      <c r="P3552" t="s">
        <v>201</v>
      </c>
      <c r="Q3552" t="s">
        <v>153</v>
      </c>
      <c r="R3552">
        <v>200</v>
      </c>
      <c r="W3552" t="s">
        <v>66</v>
      </c>
      <c r="X3552" t="s">
        <v>67</v>
      </c>
      <c r="Y3552" t="s">
        <v>67</v>
      </c>
      <c r="Z3552" t="s">
        <v>68</v>
      </c>
      <c r="AB3552">
        <v>4</v>
      </c>
      <c r="AC3552" t="s">
        <v>61</v>
      </c>
      <c r="AJ3552" t="s">
        <v>69</v>
      </c>
      <c r="AY3552" t="s">
        <v>173</v>
      </c>
      <c r="AZ3552">
        <v>167113</v>
      </c>
      <c r="BA3552" t="s">
        <v>174</v>
      </c>
      <c r="BB3552" t="s">
        <v>175</v>
      </c>
      <c r="BC3552">
        <v>1974</v>
      </c>
      <c r="BD3552" t="s">
        <v>90</v>
      </c>
    </row>
    <row r="3553" spans="1:56" x14ac:dyDescent="0.35">
      <c r="A3553">
        <v>7778509</v>
      </c>
      <c r="B3553" t="s">
        <v>2374</v>
      </c>
      <c r="C3553" t="s">
        <v>195</v>
      </c>
      <c r="D3553" t="s">
        <v>85</v>
      </c>
      <c r="E3553" t="s">
        <v>86</v>
      </c>
      <c r="F3553" t="s">
        <v>58</v>
      </c>
      <c r="G3553" t="s">
        <v>59</v>
      </c>
      <c r="H3553" t="s">
        <v>60</v>
      </c>
      <c r="J3553">
        <v>11</v>
      </c>
      <c r="K3553" t="s">
        <v>196</v>
      </c>
      <c r="L3553" t="s">
        <v>74</v>
      </c>
      <c r="M3553" t="s">
        <v>63</v>
      </c>
      <c r="N3553" t="s">
        <v>64</v>
      </c>
      <c r="P3553" t="s">
        <v>201</v>
      </c>
      <c r="R3553">
        <v>50</v>
      </c>
      <c r="W3553" t="s">
        <v>66</v>
      </c>
      <c r="X3553" t="s">
        <v>67</v>
      </c>
      <c r="Y3553" t="s">
        <v>67</v>
      </c>
      <c r="Z3553" t="s">
        <v>68</v>
      </c>
      <c r="AB3553">
        <v>4</v>
      </c>
      <c r="AC3553" t="s">
        <v>61</v>
      </c>
      <c r="AJ3553" t="s">
        <v>69</v>
      </c>
      <c r="AY3553" t="s">
        <v>661</v>
      </c>
      <c r="AZ3553">
        <v>2145</v>
      </c>
      <c r="BA3553" t="s">
        <v>662</v>
      </c>
      <c r="BB3553" t="s">
        <v>663</v>
      </c>
      <c r="BC3553">
        <v>1976</v>
      </c>
      <c r="BD3553" t="s">
        <v>200</v>
      </c>
    </row>
    <row r="3554" spans="1:56" x14ac:dyDescent="0.35">
      <c r="A3554">
        <v>7778509</v>
      </c>
      <c r="B3554" t="s">
        <v>2374</v>
      </c>
      <c r="D3554" t="s">
        <v>57</v>
      </c>
      <c r="E3554" t="s">
        <v>86</v>
      </c>
      <c r="F3554" t="s">
        <v>58</v>
      </c>
      <c r="G3554" t="s">
        <v>59</v>
      </c>
      <c r="H3554" t="s">
        <v>60</v>
      </c>
      <c r="J3554" t="s">
        <v>86</v>
      </c>
      <c r="L3554" t="s">
        <v>74</v>
      </c>
      <c r="M3554" t="s">
        <v>63</v>
      </c>
      <c r="N3554" t="s">
        <v>64</v>
      </c>
      <c r="P3554" t="s">
        <v>201</v>
      </c>
      <c r="R3554">
        <v>37</v>
      </c>
      <c r="T3554">
        <v>27.4</v>
      </c>
      <c r="V3554">
        <v>52.6</v>
      </c>
      <c r="W3554" t="s">
        <v>66</v>
      </c>
      <c r="X3554" t="s">
        <v>67</v>
      </c>
      <c r="Y3554" t="s">
        <v>67</v>
      </c>
      <c r="Z3554" t="s">
        <v>68</v>
      </c>
      <c r="AB3554">
        <v>4</v>
      </c>
      <c r="AC3554" t="s">
        <v>61</v>
      </c>
      <c r="AJ3554" t="s">
        <v>69</v>
      </c>
      <c r="AY3554" t="s">
        <v>2175</v>
      </c>
      <c r="AZ3554">
        <v>584</v>
      </c>
      <c r="BA3554" t="s">
        <v>2389</v>
      </c>
      <c r="BB3554" t="s">
        <v>2390</v>
      </c>
      <c r="BC3554">
        <v>1980</v>
      </c>
      <c r="BD3554" t="s">
        <v>90</v>
      </c>
    </row>
    <row r="3555" spans="1:56" x14ac:dyDescent="0.35">
      <c r="A3555">
        <v>7778509</v>
      </c>
      <c r="B3555" t="s">
        <v>2374</v>
      </c>
      <c r="C3555" t="s">
        <v>195</v>
      </c>
      <c r="E3555" t="s">
        <v>86</v>
      </c>
      <c r="F3555" t="s">
        <v>58</v>
      </c>
      <c r="G3555" t="s">
        <v>59</v>
      </c>
      <c r="H3555" t="s">
        <v>60</v>
      </c>
      <c r="J3555">
        <v>11</v>
      </c>
      <c r="K3555" t="s">
        <v>196</v>
      </c>
      <c r="L3555" t="s">
        <v>74</v>
      </c>
      <c r="M3555" t="s">
        <v>63</v>
      </c>
      <c r="N3555" t="s">
        <v>64</v>
      </c>
      <c r="P3555" t="s">
        <v>201</v>
      </c>
      <c r="R3555">
        <v>48</v>
      </c>
      <c r="W3555" t="s">
        <v>66</v>
      </c>
      <c r="X3555" t="s">
        <v>67</v>
      </c>
      <c r="Y3555" t="s">
        <v>67</v>
      </c>
      <c r="Z3555" t="s">
        <v>68</v>
      </c>
      <c r="AB3555">
        <v>4</v>
      </c>
      <c r="AC3555" t="s">
        <v>61</v>
      </c>
      <c r="AJ3555" t="s">
        <v>69</v>
      </c>
      <c r="AY3555" t="s">
        <v>670</v>
      </c>
      <c r="AZ3555">
        <v>5230</v>
      </c>
      <c r="BA3555" t="s">
        <v>671</v>
      </c>
      <c r="BB3555" t="s">
        <v>672</v>
      </c>
      <c r="BC3555">
        <v>1976</v>
      </c>
      <c r="BD3555" t="s">
        <v>200</v>
      </c>
    </row>
    <row r="3556" spans="1:56" x14ac:dyDescent="0.35">
      <c r="A3556">
        <v>7778509</v>
      </c>
      <c r="B3556" t="s">
        <v>2374</v>
      </c>
      <c r="D3556" t="s">
        <v>57</v>
      </c>
      <c r="E3556" t="s">
        <v>86</v>
      </c>
      <c r="F3556" t="s">
        <v>58</v>
      </c>
      <c r="G3556" t="s">
        <v>59</v>
      </c>
      <c r="H3556" t="s">
        <v>60</v>
      </c>
      <c r="J3556" t="s">
        <v>86</v>
      </c>
      <c r="L3556" t="s">
        <v>62</v>
      </c>
      <c r="M3556" t="s">
        <v>63</v>
      </c>
      <c r="N3556" t="s">
        <v>64</v>
      </c>
      <c r="P3556" t="s">
        <v>201</v>
      </c>
      <c r="R3556">
        <v>58</v>
      </c>
      <c r="T3556">
        <v>50.877000000000002</v>
      </c>
      <c r="V3556">
        <v>66.12</v>
      </c>
      <c r="W3556" t="s">
        <v>66</v>
      </c>
      <c r="X3556" t="s">
        <v>67</v>
      </c>
      <c r="Y3556" t="s">
        <v>67</v>
      </c>
      <c r="Z3556" t="s">
        <v>68</v>
      </c>
      <c r="AB3556">
        <v>4</v>
      </c>
      <c r="AC3556" t="s">
        <v>61</v>
      </c>
      <c r="AJ3556" t="s">
        <v>69</v>
      </c>
      <c r="AY3556" t="s">
        <v>2391</v>
      </c>
      <c r="AZ3556">
        <v>3679</v>
      </c>
      <c r="BA3556" t="s">
        <v>2392</v>
      </c>
      <c r="BB3556" t="s">
        <v>2393</v>
      </c>
      <c r="BC3556">
        <v>1983</v>
      </c>
      <c r="BD3556" t="s">
        <v>90</v>
      </c>
    </row>
    <row r="3557" spans="1:56" x14ac:dyDescent="0.35">
      <c r="A3557">
        <v>7778509</v>
      </c>
      <c r="B3557" t="s">
        <v>2374</v>
      </c>
      <c r="D3557" t="s">
        <v>57</v>
      </c>
      <c r="E3557" t="s">
        <v>86</v>
      </c>
      <c r="F3557" t="s">
        <v>58</v>
      </c>
      <c r="G3557" t="s">
        <v>59</v>
      </c>
      <c r="H3557" t="s">
        <v>60</v>
      </c>
      <c r="J3557" t="s">
        <v>86</v>
      </c>
      <c r="L3557" t="s">
        <v>74</v>
      </c>
      <c r="M3557" t="s">
        <v>63</v>
      </c>
      <c r="N3557" t="s">
        <v>64</v>
      </c>
      <c r="P3557" t="s">
        <v>201</v>
      </c>
      <c r="R3557">
        <v>35.9</v>
      </c>
      <c r="T3557">
        <v>29.1</v>
      </c>
      <c r="V3557">
        <v>45.9</v>
      </c>
      <c r="W3557" t="s">
        <v>66</v>
      </c>
      <c r="X3557" t="s">
        <v>67</v>
      </c>
      <c r="Y3557" t="s">
        <v>67</v>
      </c>
      <c r="Z3557" t="s">
        <v>68</v>
      </c>
      <c r="AB3557">
        <v>4</v>
      </c>
      <c r="AC3557" t="s">
        <v>61</v>
      </c>
      <c r="AJ3557" t="s">
        <v>69</v>
      </c>
      <c r="AY3557" t="s">
        <v>2175</v>
      </c>
      <c r="AZ3557">
        <v>584</v>
      </c>
      <c r="BA3557" t="s">
        <v>2389</v>
      </c>
      <c r="BB3557" t="s">
        <v>2390</v>
      </c>
      <c r="BC3557">
        <v>1980</v>
      </c>
      <c r="BD3557" t="s">
        <v>90</v>
      </c>
    </row>
    <row r="3558" spans="1:56" x14ac:dyDescent="0.35">
      <c r="A3558">
        <v>7778509</v>
      </c>
      <c r="B3558" t="s">
        <v>2374</v>
      </c>
      <c r="C3558" t="s">
        <v>195</v>
      </c>
      <c r="D3558" t="s">
        <v>85</v>
      </c>
      <c r="E3558" t="s">
        <v>86</v>
      </c>
      <c r="F3558" t="s">
        <v>58</v>
      </c>
      <c r="G3558" t="s">
        <v>59</v>
      </c>
      <c r="H3558" t="s">
        <v>60</v>
      </c>
      <c r="J3558">
        <v>11</v>
      </c>
      <c r="K3558" t="s">
        <v>196</v>
      </c>
      <c r="L3558" t="s">
        <v>74</v>
      </c>
      <c r="M3558" t="s">
        <v>63</v>
      </c>
      <c r="N3558" t="s">
        <v>64</v>
      </c>
      <c r="P3558" t="s">
        <v>201</v>
      </c>
      <c r="R3558">
        <v>48</v>
      </c>
      <c r="W3558" t="s">
        <v>66</v>
      </c>
      <c r="X3558" t="s">
        <v>67</v>
      </c>
      <c r="Y3558" t="s">
        <v>67</v>
      </c>
      <c r="Z3558" t="s">
        <v>68</v>
      </c>
      <c r="AB3558">
        <v>4</v>
      </c>
      <c r="AC3558" t="s">
        <v>61</v>
      </c>
      <c r="AJ3558" t="s">
        <v>69</v>
      </c>
      <c r="AY3558" t="s">
        <v>661</v>
      </c>
      <c r="AZ3558">
        <v>2145</v>
      </c>
      <c r="BA3558" t="s">
        <v>662</v>
      </c>
      <c r="BB3558" t="s">
        <v>663</v>
      </c>
      <c r="BC3558">
        <v>1976</v>
      </c>
      <c r="BD3558" t="s">
        <v>200</v>
      </c>
    </row>
    <row r="3559" spans="1:56" x14ac:dyDescent="0.35">
      <c r="A3559">
        <v>7778509</v>
      </c>
      <c r="B3559" t="s">
        <v>2374</v>
      </c>
      <c r="D3559" t="s">
        <v>85</v>
      </c>
      <c r="E3559" t="s">
        <v>86</v>
      </c>
      <c r="F3559" t="s">
        <v>58</v>
      </c>
      <c r="G3559" t="s">
        <v>59</v>
      </c>
      <c r="H3559" t="s">
        <v>60</v>
      </c>
      <c r="J3559" t="s">
        <v>86</v>
      </c>
      <c r="L3559" t="s">
        <v>62</v>
      </c>
      <c r="M3559" t="s">
        <v>63</v>
      </c>
      <c r="N3559" t="s">
        <v>64</v>
      </c>
      <c r="P3559" t="s">
        <v>201</v>
      </c>
      <c r="R3559">
        <v>39.700000000000003</v>
      </c>
      <c r="W3559" t="s">
        <v>66</v>
      </c>
      <c r="X3559" t="s">
        <v>67</v>
      </c>
      <c r="Y3559" t="s">
        <v>67</v>
      </c>
      <c r="Z3559" t="s">
        <v>68</v>
      </c>
      <c r="AB3559">
        <v>4</v>
      </c>
      <c r="AC3559" t="s">
        <v>61</v>
      </c>
      <c r="AJ3559" t="s">
        <v>69</v>
      </c>
      <c r="AY3559" t="s">
        <v>2175</v>
      </c>
      <c r="AZ3559">
        <v>584</v>
      </c>
      <c r="BA3559" t="s">
        <v>2389</v>
      </c>
      <c r="BB3559" t="s">
        <v>2390</v>
      </c>
      <c r="BC3559">
        <v>1980</v>
      </c>
      <c r="BD3559" t="s">
        <v>90</v>
      </c>
    </row>
    <row r="3560" spans="1:56" x14ac:dyDescent="0.35">
      <c r="A3560">
        <v>7778509</v>
      </c>
      <c r="B3560" t="s">
        <v>2374</v>
      </c>
      <c r="C3560" t="s">
        <v>195</v>
      </c>
      <c r="D3560" t="s">
        <v>85</v>
      </c>
      <c r="E3560" t="s">
        <v>86</v>
      </c>
      <c r="F3560" t="s">
        <v>58</v>
      </c>
      <c r="G3560" t="s">
        <v>59</v>
      </c>
      <c r="H3560" t="s">
        <v>60</v>
      </c>
      <c r="J3560">
        <v>11</v>
      </c>
      <c r="K3560" t="s">
        <v>196</v>
      </c>
      <c r="L3560" t="s">
        <v>74</v>
      </c>
      <c r="M3560" t="s">
        <v>63</v>
      </c>
      <c r="N3560" t="s">
        <v>64</v>
      </c>
      <c r="P3560" t="s">
        <v>201</v>
      </c>
      <c r="R3560">
        <v>49</v>
      </c>
      <c r="W3560" t="s">
        <v>66</v>
      </c>
      <c r="X3560" t="s">
        <v>67</v>
      </c>
      <c r="Y3560" t="s">
        <v>67</v>
      </c>
      <c r="Z3560" t="s">
        <v>68</v>
      </c>
      <c r="AB3560">
        <v>4</v>
      </c>
      <c r="AC3560" t="s">
        <v>61</v>
      </c>
      <c r="AJ3560" t="s">
        <v>69</v>
      </c>
      <c r="AY3560" t="s">
        <v>661</v>
      </c>
      <c r="AZ3560">
        <v>2145</v>
      </c>
      <c r="BA3560" t="s">
        <v>662</v>
      </c>
      <c r="BB3560" t="s">
        <v>663</v>
      </c>
      <c r="BC3560">
        <v>1976</v>
      </c>
      <c r="BD3560" t="s">
        <v>200</v>
      </c>
    </row>
    <row r="3561" spans="1:56" x14ac:dyDescent="0.35">
      <c r="A3561">
        <v>7778543</v>
      </c>
      <c r="B3561" t="s">
        <v>2394</v>
      </c>
      <c r="E3561">
        <v>100</v>
      </c>
      <c r="F3561" t="s">
        <v>58</v>
      </c>
      <c r="G3561" t="s">
        <v>59</v>
      </c>
      <c r="H3561" t="s">
        <v>60</v>
      </c>
      <c r="J3561" t="s">
        <v>86</v>
      </c>
      <c r="L3561" t="s">
        <v>62</v>
      </c>
      <c r="M3561" t="s">
        <v>63</v>
      </c>
      <c r="N3561" t="s">
        <v>64</v>
      </c>
      <c r="P3561" t="s">
        <v>201</v>
      </c>
      <c r="R3561">
        <v>0.88900000000000001</v>
      </c>
      <c r="T3561">
        <v>0.56100000000000005</v>
      </c>
      <c r="V3561">
        <v>1.41</v>
      </c>
      <c r="W3561" t="s">
        <v>66</v>
      </c>
      <c r="X3561" t="s">
        <v>67</v>
      </c>
      <c r="Y3561" t="s">
        <v>67</v>
      </c>
      <c r="Z3561" t="s">
        <v>68</v>
      </c>
      <c r="AB3561">
        <v>4</v>
      </c>
      <c r="AC3561" t="s">
        <v>61</v>
      </c>
      <c r="AJ3561" t="s">
        <v>69</v>
      </c>
      <c r="AY3561" t="s">
        <v>96</v>
      </c>
      <c r="AZ3561">
        <v>6797</v>
      </c>
      <c r="BA3561" t="s">
        <v>97</v>
      </c>
      <c r="BB3561" t="s">
        <v>98</v>
      </c>
      <c r="BC3561">
        <v>1986</v>
      </c>
      <c r="BD3561" t="s">
        <v>90</v>
      </c>
    </row>
    <row r="3562" spans="1:56" x14ac:dyDescent="0.35">
      <c r="A3562">
        <v>7778543</v>
      </c>
      <c r="B3562" t="s">
        <v>2394</v>
      </c>
      <c r="E3562">
        <v>100</v>
      </c>
      <c r="F3562" t="s">
        <v>58</v>
      </c>
      <c r="G3562" t="s">
        <v>59</v>
      </c>
      <c r="H3562" t="s">
        <v>60</v>
      </c>
      <c r="J3562" t="s">
        <v>86</v>
      </c>
      <c r="L3562" t="s">
        <v>62</v>
      </c>
      <c r="M3562" t="s">
        <v>63</v>
      </c>
      <c r="N3562" t="s">
        <v>64</v>
      </c>
      <c r="P3562" t="s">
        <v>201</v>
      </c>
      <c r="R3562">
        <v>0.84</v>
      </c>
      <c r="T3562">
        <v>0.64100000000000001</v>
      </c>
      <c r="V3562">
        <v>1.101</v>
      </c>
      <c r="W3562" t="s">
        <v>66</v>
      </c>
      <c r="X3562" t="s">
        <v>67</v>
      </c>
      <c r="Y3562" t="s">
        <v>67</v>
      </c>
      <c r="Z3562" t="s">
        <v>68</v>
      </c>
      <c r="AB3562">
        <v>4</v>
      </c>
      <c r="AC3562" t="s">
        <v>61</v>
      </c>
      <c r="AJ3562" t="s">
        <v>69</v>
      </c>
      <c r="AY3562" t="s">
        <v>96</v>
      </c>
      <c r="AZ3562">
        <v>6797</v>
      </c>
      <c r="BA3562" t="s">
        <v>97</v>
      </c>
      <c r="BB3562" t="s">
        <v>98</v>
      </c>
      <c r="BC3562">
        <v>1986</v>
      </c>
      <c r="BD3562" t="s">
        <v>90</v>
      </c>
    </row>
    <row r="3563" spans="1:56" x14ac:dyDescent="0.35">
      <c r="A3563">
        <v>7778805</v>
      </c>
      <c r="B3563" t="s">
        <v>2395</v>
      </c>
      <c r="C3563" t="s">
        <v>195</v>
      </c>
      <c r="D3563" t="s">
        <v>85</v>
      </c>
      <c r="E3563" t="s">
        <v>86</v>
      </c>
      <c r="F3563" t="s">
        <v>58</v>
      </c>
      <c r="G3563" t="s">
        <v>59</v>
      </c>
      <c r="H3563" t="s">
        <v>60</v>
      </c>
      <c r="J3563" t="s">
        <v>86</v>
      </c>
      <c r="K3563" t="s">
        <v>61</v>
      </c>
      <c r="L3563" t="s">
        <v>62</v>
      </c>
      <c r="M3563" t="s">
        <v>63</v>
      </c>
      <c r="N3563" t="s">
        <v>64</v>
      </c>
      <c r="P3563" t="s">
        <v>201</v>
      </c>
      <c r="R3563">
        <v>680</v>
      </c>
      <c r="T3563">
        <v>510</v>
      </c>
      <c r="V3563">
        <v>880</v>
      </c>
      <c r="W3563" t="s">
        <v>66</v>
      </c>
      <c r="X3563" t="s">
        <v>67</v>
      </c>
      <c r="Y3563" t="s">
        <v>67</v>
      </c>
      <c r="Z3563" t="s">
        <v>68</v>
      </c>
      <c r="AB3563">
        <v>4</v>
      </c>
      <c r="AC3563" t="s">
        <v>61</v>
      </c>
      <c r="AJ3563" t="s">
        <v>69</v>
      </c>
      <c r="AY3563" t="s">
        <v>1456</v>
      </c>
      <c r="AZ3563">
        <v>18272</v>
      </c>
      <c r="BA3563" t="s">
        <v>1457</v>
      </c>
      <c r="BB3563" t="s">
        <v>1458</v>
      </c>
      <c r="BC3563">
        <v>1997</v>
      </c>
      <c r="BD3563" t="s">
        <v>1459</v>
      </c>
    </row>
    <row r="3564" spans="1:56" x14ac:dyDescent="0.35">
      <c r="A3564">
        <v>7782492</v>
      </c>
      <c r="B3564" t="s">
        <v>2396</v>
      </c>
      <c r="D3564" t="s">
        <v>57</v>
      </c>
      <c r="E3564" t="s">
        <v>86</v>
      </c>
      <c r="F3564" t="s">
        <v>58</v>
      </c>
      <c r="G3564" t="s">
        <v>59</v>
      </c>
      <c r="H3564" t="s">
        <v>60</v>
      </c>
      <c r="I3564" t="s">
        <v>177</v>
      </c>
      <c r="J3564" t="s">
        <v>86</v>
      </c>
      <c r="K3564" t="s">
        <v>61</v>
      </c>
      <c r="L3564" t="s">
        <v>74</v>
      </c>
      <c r="M3564" t="s">
        <v>63</v>
      </c>
      <c r="N3564" t="s">
        <v>64</v>
      </c>
      <c r="P3564" t="s">
        <v>201</v>
      </c>
      <c r="R3564">
        <v>1</v>
      </c>
      <c r="T3564">
        <v>0.94</v>
      </c>
      <c r="V3564">
        <v>1.2</v>
      </c>
      <c r="W3564" t="s">
        <v>66</v>
      </c>
      <c r="X3564" t="s">
        <v>67</v>
      </c>
      <c r="Y3564" t="s">
        <v>67</v>
      </c>
      <c r="Z3564" t="s">
        <v>68</v>
      </c>
      <c r="AB3564">
        <v>4</v>
      </c>
      <c r="AC3564" t="s">
        <v>61</v>
      </c>
      <c r="AJ3564" t="s">
        <v>69</v>
      </c>
      <c r="AY3564" t="s">
        <v>2397</v>
      </c>
      <c r="AZ3564">
        <v>486</v>
      </c>
      <c r="BA3564" t="s">
        <v>2398</v>
      </c>
      <c r="BB3564" t="s">
        <v>2399</v>
      </c>
      <c r="BC3564">
        <v>1980</v>
      </c>
      <c r="BD3564" t="s">
        <v>1360</v>
      </c>
    </row>
    <row r="3565" spans="1:56" x14ac:dyDescent="0.35">
      <c r="A3565">
        <v>7782492</v>
      </c>
      <c r="B3565" t="s">
        <v>2396</v>
      </c>
      <c r="D3565" t="s">
        <v>57</v>
      </c>
      <c r="E3565" t="s">
        <v>86</v>
      </c>
      <c r="F3565" t="s">
        <v>58</v>
      </c>
      <c r="G3565" t="s">
        <v>59</v>
      </c>
      <c r="H3565" t="s">
        <v>60</v>
      </c>
      <c r="J3565" t="s">
        <v>86</v>
      </c>
      <c r="L3565" t="s">
        <v>74</v>
      </c>
      <c r="M3565" t="s">
        <v>63</v>
      </c>
      <c r="N3565" t="s">
        <v>64</v>
      </c>
      <c r="P3565" t="s">
        <v>201</v>
      </c>
      <c r="R3565">
        <v>0.93</v>
      </c>
      <c r="W3565" t="s">
        <v>66</v>
      </c>
      <c r="X3565" t="s">
        <v>67</v>
      </c>
      <c r="Y3565" t="s">
        <v>67</v>
      </c>
      <c r="Z3565" t="s">
        <v>68</v>
      </c>
      <c r="AB3565">
        <v>4</v>
      </c>
      <c r="AC3565" t="s">
        <v>61</v>
      </c>
      <c r="AJ3565" t="s">
        <v>69</v>
      </c>
      <c r="AY3565" t="s">
        <v>1989</v>
      </c>
      <c r="AZ3565">
        <v>120966</v>
      </c>
      <c r="BA3565" t="s">
        <v>1990</v>
      </c>
      <c r="BB3565" t="s">
        <v>1991</v>
      </c>
      <c r="BC3565">
        <v>1978</v>
      </c>
      <c r="BD3565" t="s">
        <v>90</v>
      </c>
    </row>
    <row r="3566" spans="1:56" x14ac:dyDescent="0.35">
      <c r="A3566">
        <v>7783008</v>
      </c>
      <c r="B3566" t="s">
        <v>2400</v>
      </c>
      <c r="C3566" t="s">
        <v>195</v>
      </c>
      <c r="D3566" t="s">
        <v>85</v>
      </c>
      <c r="E3566" t="s">
        <v>86</v>
      </c>
      <c r="F3566" t="s">
        <v>58</v>
      </c>
      <c r="G3566" t="s">
        <v>59</v>
      </c>
      <c r="H3566" t="s">
        <v>60</v>
      </c>
      <c r="I3566" t="s">
        <v>129</v>
      </c>
      <c r="J3566">
        <v>8</v>
      </c>
      <c r="K3566" t="s">
        <v>196</v>
      </c>
      <c r="L3566" t="s">
        <v>74</v>
      </c>
      <c r="M3566" t="s">
        <v>63</v>
      </c>
      <c r="N3566" t="s">
        <v>64</v>
      </c>
      <c r="P3566" t="s">
        <v>201</v>
      </c>
      <c r="R3566">
        <v>0.97</v>
      </c>
      <c r="W3566" t="s">
        <v>66</v>
      </c>
      <c r="X3566" t="s">
        <v>67</v>
      </c>
      <c r="Y3566" t="s">
        <v>67</v>
      </c>
      <c r="Z3566" t="s">
        <v>68</v>
      </c>
      <c r="AB3566">
        <v>4</v>
      </c>
      <c r="AC3566" t="s">
        <v>61</v>
      </c>
      <c r="AJ3566" t="s">
        <v>69</v>
      </c>
      <c r="AY3566" t="s">
        <v>197</v>
      </c>
      <c r="AZ3566">
        <v>3783</v>
      </c>
      <c r="BA3566" t="s">
        <v>198</v>
      </c>
      <c r="BB3566" t="s">
        <v>199</v>
      </c>
      <c r="BC3566">
        <v>1978</v>
      </c>
      <c r="BD3566" t="s">
        <v>200</v>
      </c>
    </row>
    <row r="3567" spans="1:56" x14ac:dyDescent="0.35">
      <c r="A3567">
        <v>7783008</v>
      </c>
      <c r="B3567" t="s">
        <v>2400</v>
      </c>
      <c r="C3567" t="s">
        <v>195</v>
      </c>
      <c r="D3567" t="s">
        <v>85</v>
      </c>
      <c r="E3567" t="s">
        <v>86</v>
      </c>
      <c r="F3567" t="s">
        <v>58</v>
      </c>
      <c r="G3567" t="s">
        <v>59</v>
      </c>
      <c r="H3567" t="s">
        <v>60</v>
      </c>
      <c r="I3567" t="s">
        <v>129</v>
      </c>
      <c r="J3567">
        <v>8</v>
      </c>
      <c r="K3567" t="s">
        <v>196</v>
      </c>
      <c r="L3567" t="s">
        <v>74</v>
      </c>
      <c r="M3567" t="s">
        <v>63</v>
      </c>
      <c r="N3567" t="s">
        <v>64</v>
      </c>
      <c r="P3567" t="s">
        <v>201</v>
      </c>
      <c r="R3567">
        <v>0.62</v>
      </c>
      <c r="W3567" t="s">
        <v>66</v>
      </c>
      <c r="X3567" t="s">
        <v>67</v>
      </c>
      <c r="Y3567" t="s">
        <v>67</v>
      </c>
      <c r="Z3567" t="s">
        <v>68</v>
      </c>
      <c r="AB3567">
        <v>4</v>
      </c>
      <c r="AC3567" t="s">
        <v>61</v>
      </c>
      <c r="AJ3567" t="s">
        <v>69</v>
      </c>
      <c r="AY3567" t="s">
        <v>197</v>
      </c>
      <c r="AZ3567">
        <v>3783</v>
      </c>
      <c r="BA3567" t="s">
        <v>198</v>
      </c>
      <c r="BB3567" t="s">
        <v>199</v>
      </c>
      <c r="BC3567">
        <v>1978</v>
      </c>
      <c r="BD3567" t="s">
        <v>200</v>
      </c>
    </row>
    <row r="3568" spans="1:56" x14ac:dyDescent="0.35">
      <c r="A3568">
        <v>7783064</v>
      </c>
      <c r="B3568" t="s">
        <v>2401</v>
      </c>
      <c r="D3568" t="s">
        <v>57</v>
      </c>
      <c r="E3568" t="s">
        <v>86</v>
      </c>
      <c r="F3568" t="s">
        <v>58</v>
      </c>
      <c r="G3568" t="s">
        <v>59</v>
      </c>
      <c r="H3568" t="s">
        <v>60</v>
      </c>
      <c r="I3568" t="s">
        <v>186</v>
      </c>
      <c r="J3568" t="s">
        <v>86</v>
      </c>
      <c r="L3568" t="s">
        <v>74</v>
      </c>
      <c r="M3568" t="s">
        <v>63</v>
      </c>
      <c r="N3568" t="s">
        <v>64</v>
      </c>
      <c r="P3568" t="s">
        <v>201</v>
      </c>
      <c r="R3568">
        <v>3.5000000000000003E-2</v>
      </c>
      <c r="W3568" t="s">
        <v>66</v>
      </c>
      <c r="X3568" t="s">
        <v>67</v>
      </c>
      <c r="Y3568" t="s">
        <v>67</v>
      </c>
      <c r="Z3568" t="s">
        <v>68</v>
      </c>
      <c r="AB3568">
        <v>4</v>
      </c>
      <c r="AC3568" t="s">
        <v>61</v>
      </c>
      <c r="AJ3568" t="s">
        <v>69</v>
      </c>
      <c r="AY3568" t="s">
        <v>2402</v>
      </c>
      <c r="AZ3568">
        <v>414</v>
      </c>
      <c r="BA3568" t="s">
        <v>2403</v>
      </c>
      <c r="BB3568" t="s">
        <v>2404</v>
      </c>
      <c r="BC3568">
        <v>1975</v>
      </c>
      <c r="BD3568" t="s">
        <v>90</v>
      </c>
    </row>
    <row r="3569" spans="1:56" x14ac:dyDescent="0.35">
      <c r="A3569">
        <v>7783064</v>
      </c>
      <c r="B3569" t="s">
        <v>2401</v>
      </c>
      <c r="D3569" t="s">
        <v>57</v>
      </c>
      <c r="E3569" t="s">
        <v>86</v>
      </c>
      <c r="F3569" t="s">
        <v>58</v>
      </c>
      <c r="G3569" t="s">
        <v>59</v>
      </c>
      <c r="H3569" t="s">
        <v>60</v>
      </c>
      <c r="I3569" t="s">
        <v>129</v>
      </c>
      <c r="J3569">
        <v>13</v>
      </c>
      <c r="K3569" t="s">
        <v>196</v>
      </c>
      <c r="L3569" t="s">
        <v>74</v>
      </c>
      <c r="M3569" t="s">
        <v>63</v>
      </c>
      <c r="N3569" t="s">
        <v>64</v>
      </c>
      <c r="P3569" t="s">
        <v>1296</v>
      </c>
      <c r="R3569">
        <v>0.54600000000000004</v>
      </c>
      <c r="T3569">
        <v>0.48299999999999998</v>
      </c>
      <c r="V3569">
        <v>0.61599999999999999</v>
      </c>
      <c r="W3569" t="s">
        <v>66</v>
      </c>
      <c r="X3569" t="s">
        <v>67</v>
      </c>
      <c r="Y3569" t="s">
        <v>67</v>
      </c>
      <c r="Z3569" t="s">
        <v>68</v>
      </c>
      <c r="AB3569">
        <v>4</v>
      </c>
      <c r="AC3569" t="s">
        <v>61</v>
      </c>
      <c r="AJ3569" t="s">
        <v>69</v>
      </c>
      <c r="AQ3569" t="s">
        <v>69</v>
      </c>
      <c r="AY3569" t="s">
        <v>460</v>
      </c>
      <c r="AZ3569">
        <v>519</v>
      </c>
      <c r="BA3569" t="s">
        <v>461</v>
      </c>
      <c r="BB3569" t="s">
        <v>462</v>
      </c>
      <c r="BC3569">
        <v>1977</v>
      </c>
      <c r="BD3569" t="s">
        <v>2405</v>
      </c>
    </row>
    <row r="3570" spans="1:56" x14ac:dyDescent="0.35">
      <c r="A3570">
        <v>7783064</v>
      </c>
      <c r="B3570" t="s">
        <v>2401</v>
      </c>
      <c r="D3570" t="s">
        <v>57</v>
      </c>
      <c r="E3570" t="s">
        <v>86</v>
      </c>
      <c r="F3570" t="s">
        <v>58</v>
      </c>
      <c r="G3570" t="s">
        <v>59</v>
      </c>
      <c r="H3570" t="s">
        <v>60</v>
      </c>
      <c r="I3570" t="s">
        <v>129</v>
      </c>
      <c r="J3570" t="s">
        <v>86</v>
      </c>
      <c r="L3570" t="s">
        <v>74</v>
      </c>
      <c r="M3570" t="s">
        <v>63</v>
      </c>
      <c r="N3570" t="s">
        <v>64</v>
      </c>
      <c r="P3570" t="s">
        <v>201</v>
      </c>
      <c r="R3570">
        <v>4.7699999999999999E-2</v>
      </c>
      <c r="W3570" t="s">
        <v>66</v>
      </c>
      <c r="X3570" t="s">
        <v>67</v>
      </c>
      <c r="Y3570" t="s">
        <v>67</v>
      </c>
      <c r="Z3570" t="s">
        <v>68</v>
      </c>
      <c r="AB3570">
        <v>4</v>
      </c>
      <c r="AC3570" t="s">
        <v>61</v>
      </c>
      <c r="AJ3570" t="s">
        <v>69</v>
      </c>
      <c r="AY3570" t="s">
        <v>2406</v>
      </c>
      <c r="AZ3570">
        <v>5885</v>
      </c>
      <c r="BA3570" t="s">
        <v>2407</v>
      </c>
      <c r="BB3570" t="s">
        <v>2408</v>
      </c>
      <c r="BC3570">
        <v>1976</v>
      </c>
      <c r="BD3570" t="s">
        <v>90</v>
      </c>
    </row>
    <row r="3571" spans="1:56" x14ac:dyDescent="0.35">
      <c r="A3571">
        <v>7783064</v>
      </c>
      <c r="B3571" t="s">
        <v>2401</v>
      </c>
      <c r="D3571" t="s">
        <v>57</v>
      </c>
      <c r="E3571" t="s">
        <v>86</v>
      </c>
      <c r="F3571" t="s">
        <v>58</v>
      </c>
      <c r="G3571" t="s">
        <v>59</v>
      </c>
      <c r="H3571" t="s">
        <v>60</v>
      </c>
      <c r="I3571" t="s">
        <v>186</v>
      </c>
      <c r="J3571" t="s">
        <v>86</v>
      </c>
      <c r="L3571" t="s">
        <v>74</v>
      </c>
      <c r="M3571" t="s">
        <v>63</v>
      </c>
      <c r="N3571" t="s">
        <v>64</v>
      </c>
      <c r="P3571" t="s">
        <v>201</v>
      </c>
      <c r="R3571">
        <v>3.5000000000000003E-2</v>
      </c>
      <c r="W3571" t="s">
        <v>66</v>
      </c>
      <c r="X3571" t="s">
        <v>67</v>
      </c>
      <c r="Y3571" t="s">
        <v>67</v>
      </c>
      <c r="Z3571" t="s">
        <v>68</v>
      </c>
      <c r="AB3571">
        <v>4</v>
      </c>
      <c r="AC3571" t="s">
        <v>61</v>
      </c>
      <c r="AJ3571" t="s">
        <v>69</v>
      </c>
      <c r="AY3571" t="s">
        <v>2402</v>
      </c>
      <c r="AZ3571">
        <v>8719</v>
      </c>
      <c r="BA3571" t="s">
        <v>2409</v>
      </c>
      <c r="BB3571" t="s">
        <v>2410</v>
      </c>
      <c r="BC3571">
        <v>1974</v>
      </c>
      <c r="BD3571" t="s">
        <v>90</v>
      </c>
    </row>
    <row r="3572" spans="1:56" x14ac:dyDescent="0.35">
      <c r="A3572">
        <v>7783064</v>
      </c>
      <c r="B3572" t="s">
        <v>2401</v>
      </c>
      <c r="D3572" t="s">
        <v>57</v>
      </c>
      <c r="E3572" t="s">
        <v>86</v>
      </c>
      <c r="F3572" t="s">
        <v>58</v>
      </c>
      <c r="G3572" t="s">
        <v>59</v>
      </c>
      <c r="H3572" t="s">
        <v>60</v>
      </c>
      <c r="I3572" t="s">
        <v>397</v>
      </c>
      <c r="J3572" t="s">
        <v>86</v>
      </c>
      <c r="L3572" t="s">
        <v>74</v>
      </c>
      <c r="M3572" t="s">
        <v>63</v>
      </c>
      <c r="N3572" t="s">
        <v>64</v>
      </c>
      <c r="P3572" t="s">
        <v>201</v>
      </c>
      <c r="R3572">
        <v>1.6E-2</v>
      </c>
      <c r="W3572" t="s">
        <v>66</v>
      </c>
      <c r="X3572" t="s">
        <v>67</v>
      </c>
      <c r="Y3572" t="s">
        <v>67</v>
      </c>
      <c r="Z3572" t="s">
        <v>68</v>
      </c>
      <c r="AB3572">
        <v>4</v>
      </c>
      <c r="AC3572" t="s">
        <v>61</v>
      </c>
      <c r="AJ3572" t="s">
        <v>69</v>
      </c>
      <c r="AY3572" t="s">
        <v>2402</v>
      </c>
      <c r="AZ3572">
        <v>414</v>
      </c>
      <c r="BA3572" t="s">
        <v>2403</v>
      </c>
      <c r="BB3572" t="s">
        <v>2404</v>
      </c>
      <c r="BC3572">
        <v>1975</v>
      </c>
      <c r="BD3572" t="s">
        <v>90</v>
      </c>
    </row>
    <row r="3573" spans="1:56" x14ac:dyDescent="0.35">
      <c r="A3573">
        <v>7783064</v>
      </c>
      <c r="B3573" t="s">
        <v>2401</v>
      </c>
      <c r="D3573" t="s">
        <v>57</v>
      </c>
      <c r="E3573" t="s">
        <v>86</v>
      </c>
      <c r="F3573" t="s">
        <v>58</v>
      </c>
      <c r="G3573" t="s">
        <v>59</v>
      </c>
      <c r="H3573" t="s">
        <v>60</v>
      </c>
      <c r="I3573" t="s">
        <v>186</v>
      </c>
      <c r="J3573" t="s">
        <v>86</v>
      </c>
      <c r="L3573" t="s">
        <v>74</v>
      </c>
      <c r="M3573" t="s">
        <v>63</v>
      </c>
      <c r="N3573" t="s">
        <v>64</v>
      </c>
      <c r="P3573" t="s">
        <v>201</v>
      </c>
      <c r="R3573">
        <v>5.3600000000000002E-2</v>
      </c>
      <c r="W3573" t="s">
        <v>66</v>
      </c>
      <c r="X3573" t="s">
        <v>67</v>
      </c>
      <c r="Y3573" t="s">
        <v>67</v>
      </c>
      <c r="Z3573" t="s">
        <v>68</v>
      </c>
      <c r="AB3573">
        <v>4</v>
      </c>
      <c r="AC3573" t="s">
        <v>61</v>
      </c>
      <c r="AJ3573" t="s">
        <v>69</v>
      </c>
      <c r="AY3573" t="s">
        <v>2406</v>
      </c>
      <c r="AZ3573">
        <v>5885</v>
      </c>
      <c r="BA3573" t="s">
        <v>2407</v>
      </c>
      <c r="BB3573" t="s">
        <v>2408</v>
      </c>
      <c r="BC3573">
        <v>1976</v>
      </c>
      <c r="BD3573" t="s">
        <v>90</v>
      </c>
    </row>
    <row r="3574" spans="1:56" x14ac:dyDescent="0.35">
      <c r="A3574">
        <v>7783064</v>
      </c>
      <c r="B3574" t="s">
        <v>2401</v>
      </c>
      <c r="D3574" t="s">
        <v>57</v>
      </c>
      <c r="E3574" t="s">
        <v>86</v>
      </c>
      <c r="F3574" t="s">
        <v>58</v>
      </c>
      <c r="G3574" t="s">
        <v>59</v>
      </c>
      <c r="H3574" t="s">
        <v>60</v>
      </c>
      <c r="I3574" t="s">
        <v>177</v>
      </c>
      <c r="J3574">
        <v>24</v>
      </c>
      <c r="K3574" t="s">
        <v>184</v>
      </c>
      <c r="L3574" t="s">
        <v>74</v>
      </c>
      <c r="M3574" t="s">
        <v>63</v>
      </c>
      <c r="N3574" t="s">
        <v>64</v>
      </c>
      <c r="P3574" t="s">
        <v>201</v>
      </c>
      <c r="R3574">
        <v>1.0699999999999999E-2</v>
      </c>
      <c r="W3574" t="s">
        <v>66</v>
      </c>
      <c r="X3574" t="s">
        <v>67</v>
      </c>
      <c r="Y3574" t="s">
        <v>67</v>
      </c>
      <c r="Z3574" t="s">
        <v>68</v>
      </c>
      <c r="AB3574">
        <v>4</v>
      </c>
      <c r="AC3574" t="s">
        <v>61</v>
      </c>
      <c r="AJ3574" t="s">
        <v>69</v>
      </c>
      <c r="AY3574" t="s">
        <v>2406</v>
      </c>
      <c r="AZ3574">
        <v>5885</v>
      </c>
      <c r="BA3574" t="s">
        <v>2407</v>
      </c>
      <c r="BB3574" t="s">
        <v>2408</v>
      </c>
      <c r="BC3574">
        <v>1976</v>
      </c>
      <c r="BD3574" t="s">
        <v>185</v>
      </c>
    </row>
    <row r="3575" spans="1:56" x14ac:dyDescent="0.35">
      <c r="A3575">
        <v>7783064</v>
      </c>
      <c r="B3575" t="s">
        <v>2401</v>
      </c>
      <c r="D3575" t="s">
        <v>57</v>
      </c>
      <c r="E3575" t="s">
        <v>86</v>
      </c>
      <c r="F3575" t="s">
        <v>58</v>
      </c>
      <c r="G3575" t="s">
        <v>59</v>
      </c>
      <c r="H3575" t="s">
        <v>60</v>
      </c>
      <c r="I3575" t="s">
        <v>397</v>
      </c>
      <c r="J3575" t="s">
        <v>86</v>
      </c>
      <c r="L3575" t="s">
        <v>74</v>
      </c>
      <c r="M3575" t="s">
        <v>63</v>
      </c>
      <c r="N3575" t="s">
        <v>64</v>
      </c>
      <c r="P3575" t="s">
        <v>201</v>
      </c>
      <c r="R3575">
        <v>3.5999999999999997E-2</v>
      </c>
      <c r="W3575" t="s">
        <v>66</v>
      </c>
      <c r="X3575" t="s">
        <v>67</v>
      </c>
      <c r="Y3575" t="s">
        <v>67</v>
      </c>
      <c r="Z3575" t="s">
        <v>68</v>
      </c>
      <c r="AB3575">
        <v>4</v>
      </c>
      <c r="AC3575" t="s">
        <v>61</v>
      </c>
      <c r="AJ3575" t="s">
        <v>69</v>
      </c>
      <c r="AY3575" t="s">
        <v>2402</v>
      </c>
      <c r="AZ3575">
        <v>414</v>
      </c>
      <c r="BA3575" t="s">
        <v>2403</v>
      </c>
      <c r="BB3575" t="s">
        <v>2404</v>
      </c>
      <c r="BC3575">
        <v>1975</v>
      </c>
      <c r="BD3575" t="s">
        <v>90</v>
      </c>
    </row>
    <row r="3576" spans="1:56" x14ac:dyDescent="0.35">
      <c r="A3576">
        <v>7783064</v>
      </c>
      <c r="B3576" t="s">
        <v>2401</v>
      </c>
      <c r="D3576" t="s">
        <v>57</v>
      </c>
      <c r="E3576" t="s">
        <v>86</v>
      </c>
      <c r="F3576" t="s">
        <v>58</v>
      </c>
      <c r="G3576" t="s">
        <v>59</v>
      </c>
      <c r="H3576" t="s">
        <v>60</v>
      </c>
      <c r="I3576" t="s">
        <v>129</v>
      </c>
      <c r="J3576" t="s">
        <v>86</v>
      </c>
      <c r="L3576" t="s">
        <v>74</v>
      </c>
      <c r="M3576" t="s">
        <v>63</v>
      </c>
      <c r="N3576" t="s">
        <v>64</v>
      </c>
      <c r="P3576" t="s">
        <v>201</v>
      </c>
      <c r="R3576">
        <v>5.5399999999999998E-2</v>
      </c>
      <c r="W3576" t="s">
        <v>66</v>
      </c>
      <c r="X3576" t="s">
        <v>67</v>
      </c>
      <c r="Y3576" t="s">
        <v>67</v>
      </c>
      <c r="Z3576" t="s">
        <v>68</v>
      </c>
      <c r="AB3576">
        <v>4</v>
      </c>
      <c r="AC3576" t="s">
        <v>61</v>
      </c>
      <c r="AJ3576" t="s">
        <v>69</v>
      </c>
      <c r="AY3576" t="s">
        <v>2406</v>
      </c>
      <c r="AZ3576">
        <v>5885</v>
      </c>
      <c r="BA3576" t="s">
        <v>2407</v>
      </c>
      <c r="BB3576" t="s">
        <v>2408</v>
      </c>
      <c r="BC3576">
        <v>1976</v>
      </c>
      <c r="BD3576" t="s">
        <v>90</v>
      </c>
    </row>
    <row r="3577" spans="1:56" x14ac:dyDescent="0.35">
      <c r="A3577">
        <v>7783064</v>
      </c>
      <c r="B3577" t="s">
        <v>2401</v>
      </c>
      <c r="D3577" t="s">
        <v>57</v>
      </c>
      <c r="E3577" t="s">
        <v>86</v>
      </c>
      <c r="F3577" t="s">
        <v>58</v>
      </c>
      <c r="G3577" t="s">
        <v>59</v>
      </c>
      <c r="H3577" t="s">
        <v>60</v>
      </c>
      <c r="I3577" t="s">
        <v>397</v>
      </c>
      <c r="J3577" t="s">
        <v>86</v>
      </c>
      <c r="L3577" t="s">
        <v>74</v>
      </c>
      <c r="M3577" t="s">
        <v>63</v>
      </c>
      <c r="N3577" t="s">
        <v>64</v>
      </c>
      <c r="P3577" t="s">
        <v>201</v>
      </c>
      <c r="R3577">
        <v>2.1000000000000001E-2</v>
      </c>
      <c r="W3577" t="s">
        <v>66</v>
      </c>
      <c r="X3577" t="s">
        <v>67</v>
      </c>
      <c r="Y3577" t="s">
        <v>67</v>
      </c>
      <c r="Z3577" t="s">
        <v>68</v>
      </c>
      <c r="AB3577">
        <v>4</v>
      </c>
      <c r="AC3577" t="s">
        <v>61</v>
      </c>
      <c r="AJ3577" t="s">
        <v>69</v>
      </c>
      <c r="AY3577" t="s">
        <v>2402</v>
      </c>
      <c r="AZ3577">
        <v>414</v>
      </c>
      <c r="BA3577" t="s">
        <v>2403</v>
      </c>
      <c r="BB3577" t="s">
        <v>2404</v>
      </c>
      <c r="BC3577">
        <v>1975</v>
      </c>
      <c r="BD3577" t="s">
        <v>90</v>
      </c>
    </row>
    <row r="3578" spans="1:56" x14ac:dyDescent="0.35">
      <c r="A3578">
        <v>7783064</v>
      </c>
      <c r="B3578" t="s">
        <v>2401</v>
      </c>
      <c r="D3578" t="s">
        <v>57</v>
      </c>
      <c r="E3578" t="s">
        <v>86</v>
      </c>
      <c r="F3578" t="s">
        <v>58</v>
      </c>
      <c r="G3578" t="s">
        <v>59</v>
      </c>
      <c r="H3578" t="s">
        <v>60</v>
      </c>
      <c r="I3578" t="s">
        <v>129</v>
      </c>
      <c r="J3578" t="s">
        <v>86</v>
      </c>
      <c r="L3578" t="s">
        <v>74</v>
      </c>
      <c r="M3578" t="s">
        <v>63</v>
      </c>
      <c r="N3578" t="s">
        <v>64</v>
      </c>
      <c r="P3578" t="s">
        <v>201</v>
      </c>
      <c r="R3578">
        <v>1.6E-2</v>
      </c>
      <c r="W3578" t="s">
        <v>66</v>
      </c>
      <c r="X3578" t="s">
        <v>67</v>
      </c>
      <c r="Y3578" t="s">
        <v>67</v>
      </c>
      <c r="Z3578" t="s">
        <v>68</v>
      </c>
      <c r="AB3578">
        <v>4</v>
      </c>
      <c r="AC3578" t="s">
        <v>61</v>
      </c>
      <c r="AJ3578" t="s">
        <v>69</v>
      </c>
      <c r="AY3578" t="s">
        <v>2402</v>
      </c>
      <c r="AZ3578">
        <v>8719</v>
      </c>
      <c r="BA3578" t="s">
        <v>2409</v>
      </c>
      <c r="BB3578" t="s">
        <v>2410</v>
      </c>
      <c r="BC3578">
        <v>1974</v>
      </c>
      <c r="BD3578" t="s">
        <v>90</v>
      </c>
    </row>
    <row r="3579" spans="1:56" x14ac:dyDescent="0.35">
      <c r="A3579">
        <v>7783064</v>
      </c>
      <c r="B3579" t="s">
        <v>2401</v>
      </c>
      <c r="D3579" t="s">
        <v>57</v>
      </c>
      <c r="E3579" t="s">
        <v>86</v>
      </c>
      <c r="F3579" t="s">
        <v>58</v>
      </c>
      <c r="G3579" t="s">
        <v>59</v>
      </c>
      <c r="H3579" t="s">
        <v>60</v>
      </c>
      <c r="I3579" t="s">
        <v>397</v>
      </c>
      <c r="J3579" t="s">
        <v>86</v>
      </c>
      <c r="L3579" t="s">
        <v>74</v>
      </c>
      <c r="M3579" t="s">
        <v>63</v>
      </c>
      <c r="N3579" t="s">
        <v>64</v>
      </c>
      <c r="P3579" t="s">
        <v>201</v>
      </c>
      <c r="R3579">
        <v>5.7000000000000002E-2</v>
      </c>
      <c r="W3579" t="s">
        <v>66</v>
      </c>
      <c r="X3579" t="s">
        <v>67</v>
      </c>
      <c r="Y3579" t="s">
        <v>67</v>
      </c>
      <c r="Z3579" t="s">
        <v>68</v>
      </c>
      <c r="AB3579">
        <v>4</v>
      </c>
      <c r="AC3579" t="s">
        <v>61</v>
      </c>
      <c r="AJ3579" t="s">
        <v>69</v>
      </c>
      <c r="AY3579" t="s">
        <v>2402</v>
      </c>
      <c r="AZ3579">
        <v>414</v>
      </c>
      <c r="BA3579" t="s">
        <v>2403</v>
      </c>
      <c r="BB3579" t="s">
        <v>2404</v>
      </c>
      <c r="BC3579">
        <v>1975</v>
      </c>
      <c r="BD3579" t="s">
        <v>90</v>
      </c>
    </row>
    <row r="3580" spans="1:56" x14ac:dyDescent="0.35">
      <c r="A3580">
        <v>7783064</v>
      </c>
      <c r="B3580" t="s">
        <v>2401</v>
      </c>
      <c r="D3580" t="s">
        <v>57</v>
      </c>
      <c r="E3580" t="s">
        <v>86</v>
      </c>
      <c r="F3580" t="s">
        <v>58</v>
      </c>
      <c r="G3580" t="s">
        <v>59</v>
      </c>
      <c r="H3580" t="s">
        <v>60</v>
      </c>
      <c r="I3580" t="s">
        <v>129</v>
      </c>
      <c r="J3580">
        <v>13</v>
      </c>
      <c r="K3580" t="s">
        <v>196</v>
      </c>
      <c r="L3580" t="s">
        <v>74</v>
      </c>
      <c r="M3580" t="s">
        <v>63</v>
      </c>
      <c r="N3580" t="s">
        <v>64</v>
      </c>
      <c r="P3580" t="s">
        <v>1296</v>
      </c>
      <c r="R3580">
        <v>0.80600000000000005</v>
      </c>
      <c r="T3580">
        <v>0.72599999999999998</v>
      </c>
      <c r="V3580">
        <v>0.89500000000000002</v>
      </c>
      <c r="W3580" t="s">
        <v>66</v>
      </c>
      <c r="X3580" t="s">
        <v>67</v>
      </c>
      <c r="Y3580" t="s">
        <v>67</v>
      </c>
      <c r="Z3580" t="s">
        <v>68</v>
      </c>
      <c r="AB3580">
        <v>4</v>
      </c>
      <c r="AC3580" t="s">
        <v>61</v>
      </c>
      <c r="AJ3580" t="s">
        <v>69</v>
      </c>
      <c r="AQ3580" t="s">
        <v>69</v>
      </c>
      <c r="AY3580" t="s">
        <v>460</v>
      </c>
      <c r="AZ3580">
        <v>519</v>
      </c>
      <c r="BA3580" t="s">
        <v>461</v>
      </c>
      <c r="BB3580" t="s">
        <v>462</v>
      </c>
      <c r="BC3580">
        <v>1977</v>
      </c>
      <c r="BD3580" t="s">
        <v>2411</v>
      </c>
    </row>
    <row r="3581" spans="1:56" x14ac:dyDescent="0.35">
      <c r="A3581">
        <v>7783064</v>
      </c>
      <c r="B3581" t="s">
        <v>2401</v>
      </c>
      <c r="D3581" t="s">
        <v>57</v>
      </c>
      <c r="E3581" t="s">
        <v>86</v>
      </c>
      <c r="F3581" t="s">
        <v>58</v>
      </c>
      <c r="G3581" t="s">
        <v>59</v>
      </c>
      <c r="H3581" t="s">
        <v>60</v>
      </c>
      <c r="I3581" t="s">
        <v>129</v>
      </c>
      <c r="J3581">
        <v>13</v>
      </c>
      <c r="K3581" t="s">
        <v>196</v>
      </c>
      <c r="L3581" t="s">
        <v>74</v>
      </c>
      <c r="M3581" t="s">
        <v>63</v>
      </c>
      <c r="N3581" t="s">
        <v>64</v>
      </c>
      <c r="P3581" t="s">
        <v>1296</v>
      </c>
      <c r="R3581">
        <v>0.23899999999999999</v>
      </c>
      <c r="T3581">
        <v>0.219</v>
      </c>
      <c r="V3581">
        <v>0.26</v>
      </c>
      <c r="W3581" t="s">
        <v>66</v>
      </c>
      <c r="X3581" t="s">
        <v>67</v>
      </c>
      <c r="Y3581" t="s">
        <v>67</v>
      </c>
      <c r="Z3581" t="s">
        <v>68</v>
      </c>
      <c r="AB3581">
        <v>4</v>
      </c>
      <c r="AC3581" t="s">
        <v>61</v>
      </c>
      <c r="AJ3581" t="s">
        <v>69</v>
      </c>
      <c r="AQ3581" t="s">
        <v>69</v>
      </c>
      <c r="AY3581" t="s">
        <v>460</v>
      </c>
      <c r="AZ3581">
        <v>519</v>
      </c>
      <c r="BA3581" t="s">
        <v>461</v>
      </c>
      <c r="BB3581" t="s">
        <v>462</v>
      </c>
      <c r="BC3581">
        <v>1977</v>
      </c>
      <c r="BD3581" t="s">
        <v>2412</v>
      </c>
    </row>
    <row r="3582" spans="1:56" x14ac:dyDescent="0.35">
      <c r="A3582">
        <v>7783064</v>
      </c>
      <c r="B3582" t="s">
        <v>2401</v>
      </c>
      <c r="D3582" t="s">
        <v>57</v>
      </c>
      <c r="E3582" t="s">
        <v>86</v>
      </c>
      <c r="F3582" t="s">
        <v>58</v>
      </c>
      <c r="G3582" t="s">
        <v>59</v>
      </c>
      <c r="H3582" t="s">
        <v>60</v>
      </c>
      <c r="I3582" t="s">
        <v>177</v>
      </c>
      <c r="J3582" t="s">
        <v>86</v>
      </c>
      <c r="L3582" t="s">
        <v>74</v>
      </c>
      <c r="M3582" t="s">
        <v>63</v>
      </c>
      <c r="N3582" t="s">
        <v>64</v>
      </c>
      <c r="P3582" t="s">
        <v>201</v>
      </c>
      <c r="R3582">
        <v>7.0000000000000001E-3</v>
      </c>
      <c r="W3582" t="s">
        <v>66</v>
      </c>
      <c r="X3582" t="s">
        <v>67</v>
      </c>
      <c r="Y3582" t="s">
        <v>67</v>
      </c>
      <c r="Z3582" t="s">
        <v>68</v>
      </c>
      <c r="AB3582">
        <v>4</v>
      </c>
      <c r="AC3582" t="s">
        <v>61</v>
      </c>
      <c r="AJ3582" t="s">
        <v>69</v>
      </c>
      <c r="AY3582" t="s">
        <v>2402</v>
      </c>
      <c r="AZ3582">
        <v>8719</v>
      </c>
      <c r="BA3582" t="s">
        <v>2409</v>
      </c>
      <c r="BB3582" t="s">
        <v>2410</v>
      </c>
      <c r="BC3582">
        <v>1974</v>
      </c>
      <c r="BD3582" t="s">
        <v>90</v>
      </c>
    </row>
    <row r="3583" spans="1:56" x14ac:dyDescent="0.35">
      <c r="A3583">
        <v>7783064</v>
      </c>
      <c r="B3583" t="s">
        <v>2401</v>
      </c>
      <c r="D3583" t="s">
        <v>57</v>
      </c>
      <c r="E3583" t="s">
        <v>86</v>
      </c>
      <c r="F3583" t="s">
        <v>58</v>
      </c>
      <c r="G3583" t="s">
        <v>59</v>
      </c>
      <c r="H3583" t="s">
        <v>60</v>
      </c>
      <c r="I3583" t="s">
        <v>397</v>
      </c>
      <c r="J3583" t="s">
        <v>86</v>
      </c>
      <c r="L3583" t="s">
        <v>74</v>
      </c>
      <c r="M3583" t="s">
        <v>63</v>
      </c>
      <c r="N3583" t="s">
        <v>64</v>
      </c>
      <c r="P3583" t="s">
        <v>201</v>
      </c>
      <c r="R3583">
        <v>0.15</v>
      </c>
      <c r="W3583" t="s">
        <v>66</v>
      </c>
      <c r="X3583" t="s">
        <v>67</v>
      </c>
      <c r="Y3583" t="s">
        <v>67</v>
      </c>
      <c r="Z3583" t="s">
        <v>68</v>
      </c>
      <c r="AB3583">
        <v>4</v>
      </c>
      <c r="AC3583" t="s">
        <v>61</v>
      </c>
      <c r="AJ3583" t="s">
        <v>69</v>
      </c>
      <c r="AY3583" t="s">
        <v>2402</v>
      </c>
      <c r="AZ3583">
        <v>414</v>
      </c>
      <c r="BA3583" t="s">
        <v>2403</v>
      </c>
      <c r="BB3583" t="s">
        <v>2404</v>
      </c>
      <c r="BC3583">
        <v>1975</v>
      </c>
      <c r="BD3583" t="s">
        <v>90</v>
      </c>
    </row>
    <row r="3584" spans="1:56" x14ac:dyDescent="0.35">
      <c r="A3584">
        <v>7783064</v>
      </c>
      <c r="B3584" t="s">
        <v>2401</v>
      </c>
      <c r="D3584" t="s">
        <v>57</v>
      </c>
      <c r="E3584" t="s">
        <v>86</v>
      </c>
      <c r="F3584" t="s">
        <v>58</v>
      </c>
      <c r="G3584" t="s">
        <v>59</v>
      </c>
      <c r="H3584" t="s">
        <v>60</v>
      </c>
      <c r="I3584" t="s">
        <v>129</v>
      </c>
      <c r="J3584" t="s">
        <v>86</v>
      </c>
      <c r="L3584" t="s">
        <v>74</v>
      </c>
      <c r="M3584" t="s">
        <v>63</v>
      </c>
      <c r="N3584" t="s">
        <v>64</v>
      </c>
      <c r="P3584" t="s">
        <v>201</v>
      </c>
      <c r="R3584">
        <v>7.7539999999999998E-2</v>
      </c>
      <c r="W3584" t="s">
        <v>66</v>
      </c>
      <c r="X3584" t="s">
        <v>67</v>
      </c>
      <c r="Y3584" t="s">
        <v>67</v>
      </c>
      <c r="Z3584" t="s">
        <v>68</v>
      </c>
      <c r="AB3584">
        <v>4</v>
      </c>
      <c r="AC3584" t="s">
        <v>61</v>
      </c>
      <c r="AJ3584" t="s">
        <v>69</v>
      </c>
      <c r="AY3584" t="s">
        <v>2406</v>
      </c>
      <c r="AZ3584">
        <v>5885</v>
      </c>
      <c r="BA3584" t="s">
        <v>2407</v>
      </c>
      <c r="BB3584" t="s">
        <v>2408</v>
      </c>
      <c r="BC3584">
        <v>1976</v>
      </c>
      <c r="BD3584" t="s">
        <v>90</v>
      </c>
    </row>
    <row r="3585" spans="1:56" x14ac:dyDescent="0.35">
      <c r="A3585">
        <v>7783064</v>
      </c>
      <c r="B3585" t="s">
        <v>2401</v>
      </c>
      <c r="D3585" t="s">
        <v>57</v>
      </c>
      <c r="E3585" t="s">
        <v>86</v>
      </c>
      <c r="F3585" t="s">
        <v>58</v>
      </c>
      <c r="G3585" t="s">
        <v>59</v>
      </c>
      <c r="H3585" t="s">
        <v>60</v>
      </c>
      <c r="I3585" t="s">
        <v>129</v>
      </c>
      <c r="J3585" t="s">
        <v>86</v>
      </c>
      <c r="L3585" t="s">
        <v>74</v>
      </c>
      <c r="M3585" t="s">
        <v>63</v>
      </c>
      <c r="N3585" t="s">
        <v>64</v>
      </c>
      <c r="P3585" t="s">
        <v>201</v>
      </c>
      <c r="R3585">
        <v>2.4299999999999999E-2</v>
      </c>
      <c r="W3585" t="s">
        <v>66</v>
      </c>
      <c r="X3585" t="s">
        <v>67</v>
      </c>
      <c r="Y3585" t="s">
        <v>67</v>
      </c>
      <c r="Z3585" t="s">
        <v>68</v>
      </c>
      <c r="AB3585">
        <v>4</v>
      </c>
      <c r="AC3585" t="s">
        <v>61</v>
      </c>
      <c r="AJ3585" t="s">
        <v>69</v>
      </c>
      <c r="AY3585" t="s">
        <v>2406</v>
      </c>
      <c r="AZ3585">
        <v>5885</v>
      </c>
      <c r="BA3585" t="s">
        <v>2407</v>
      </c>
      <c r="BB3585" t="s">
        <v>2408</v>
      </c>
      <c r="BC3585">
        <v>1976</v>
      </c>
      <c r="BD3585" t="s">
        <v>90</v>
      </c>
    </row>
    <row r="3586" spans="1:56" x14ac:dyDescent="0.35">
      <c r="A3586">
        <v>7783064</v>
      </c>
      <c r="B3586" t="s">
        <v>2401</v>
      </c>
      <c r="D3586" t="s">
        <v>57</v>
      </c>
      <c r="E3586" t="s">
        <v>86</v>
      </c>
      <c r="F3586" t="s">
        <v>58</v>
      </c>
      <c r="G3586" t="s">
        <v>59</v>
      </c>
      <c r="H3586" t="s">
        <v>60</v>
      </c>
      <c r="I3586" t="s">
        <v>211</v>
      </c>
      <c r="J3586" t="s">
        <v>86</v>
      </c>
      <c r="L3586" t="s">
        <v>74</v>
      </c>
      <c r="M3586" t="s">
        <v>63</v>
      </c>
      <c r="N3586" t="s">
        <v>64</v>
      </c>
      <c r="P3586" t="s">
        <v>201</v>
      </c>
      <c r="T3586">
        <v>3.9E-2</v>
      </c>
      <c r="V3586">
        <v>4.2999999999999997E-2</v>
      </c>
      <c r="W3586" t="s">
        <v>66</v>
      </c>
      <c r="X3586" t="s">
        <v>67</v>
      </c>
      <c r="Y3586" t="s">
        <v>67</v>
      </c>
      <c r="Z3586" t="s">
        <v>68</v>
      </c>
      <c r="AB3586">
        <v>4</v>
      </c>
      <c r="AC3586" t="s">
        <v>61</v>
      </c>
      <c r="AJ3586" t="s">
        <v>69</v>
      </c>
      <c r="AY3586" t="s">
        <v>2402</v>
      </c>
      <c r="AZ3586">
        <v>9699</v>
      </c>
      <c r="BA3586" t="s">
        <v>2413</v>
      </c>
      <c r="BB3586" t="s">
        <v>2414</v>
      </c>
      <c r="BC3586">
        <v>1970</v>
      </c>
      <c r="BD3586" t="s">
        <v>90</v>
      </c>
    </row>
    <row r="3587" spans="1:56" x14ac:dyDescent="0.35">
      <c r="A3587">
        <v>7783064</v>
      </c>
      <c r="B3587" t="s">
        <v>2401</v>
      </c>
      <c r="D3587" t="s">
        <v>57</v>
      </c>
      <c r="E3587" t="s">
        <v>86</v>
      </c>
      <c r="F3587" t="s">
        <v>58</v>
      </c>
      <c r="G3587" t="s">
        <v>59</v>
      </c>
      <c r="H3587" t="s">
        <v>60</v>
      </c>
      <c r="I3587" t="s">
        <v>129</v>
      </c>
      <c r="J3587">
        <v>13</v>
      </c>
      <c r="K3587" t="s">
        <v>196</v>
      </c>
      <c r="L3587" t="s">
        <v>74</v>
      </c>
      <c r="M3587" t="s">
        <v>63</v>
      </c>
      <c r="N3587" t="s">
        <v>64</v>
      </c>
      <c r="P3587" t="s">
        <v>1296</v>
      </c>
      <c r="R3587">
        <v>0.42</v>
      </c>
      <c r="T3587">
        <v>0.39400000000000002</v>
      </c>
      <c r="V3587">
        <v>0.44800000000000001</v>
      </c>
      <c r="W3587" t="s">
        <v>66</v>
      </c>
      <c r="X3587" t="s">
        <v>67</v>
      </c>
      <c r="Y3587" t="s">
        <v>67</v>
      </c>
      <c r="Z3587" t="s">
        <v>68</v>
      </c>
      <c r="AB3587">
        <v>4</v>
      </c>
      <c r="AC3587" t="s">
        <v>61</v>
      </c>
      <c r="AJ3587" t="s">
        <v>69</v>
      </c>
      <c r="AQ3587" t="s">
        <v>69</v>
      </c>
      <c r="AY3587" t="s">
        <v>460</v>
      </c>
      <c r="AZ3587">
        <v>519</v>
      </c>
      <c r="BA3587" t="s">
        <v>461</v>
      </c>
      <c r="BB3587" t="s">
        <v>462</v>
      </c>
      <c r="BC3587">
        <v>1977</v>
      </c>
      <c r="BD3587" t="s">
        <v>2415</v>
      </c>
    </row>
    <row r="3588" spans="1:56" x14ac:dyDescent="0.35">
      <c r="A3588">
        <v>7783064</v>
      </c>
      <c r="B3588" t="s">
        <v>2401</v>
      </c>
      <c r="D3588" t="s">
        <v>57</v>
      </c>
      <c r="E3588" t="s">
        <v>86</v>
      </c>
      <c r="F3588" t="s">
        <v>58</v>
      </c>
      <c r="G3588" t="s">
        <v>59</v>
      </c>
      <c r="H3588" t="s">
        <v>60</v>
      </c>
      <c r="I3588" t="s">
        <v>397</v>
      </c>
      <c r="J3588" t="s">
        <v>86</v>
      </c>
      <c r="L3588" t="s">
        <v>74</v>
      </c>
      <c r="M3588" t="s">
        <v>63</v>
      </c>
      <c r="N3588" t="s">
        <v>64</v>
      </c>
      <c r="P3588" t="s">
        <v>201</v>
      </c>
      <c r="R3588">
        <v>0.51500000000000001</v>
      </c>
      <c r="W3588" t="s">
        <v>66</v>
      </c>
      <c r="X3588" t="s">
        <v>67</v>
      </c>
      <c r="Y3588" t="s">
        <v>67</v>
      </c>
      <c r="Z3588" t="s">
        <v>68</v>
      </c>
      <c r="AB3588">
        <v>4</v>
      </c>
      <c r="AC3588" t="s">
        <v>61</v>
      </c>
      <c r="AJ3588" t="s">
        <v>69</v>
      </c>
      <c r="AY3588" t="s">
        <v>2402</v>
      </c>
      <c r="AZ3588">
        <v>414</v>
      </c>
      <c r="BA3588" t="s">
        <v>2403</v>
      </c>
      <c r="BB3588" t="s">
        <v>2404</v>
      </c>
      <c r="BC3588">
        <v>1975</v>
      </c>
      <c r="BD3588" t="s">
        <v>90</v>
      </c>
    </row>
    <row r="3589" spans="1:56" x14ac:dyDescent="0.35">
      <c r="A3589">
        <v>7783064</v>
      </c>
      <c r="B3589" t="s">
        <v>2401</v>
      </c>
      <c r="D3589" t="s">
        <v>57</v>
      </c>
      <c r="E3589" t="s">
        <v>86</v>
      </c>
      <c r="F3589" t="s">
        <v>58</v>
      </c>
      <c r="G3589" t="s">
        <v>59</v>
      </c>
      <c r="H3589" t="s">
        <v>60</v>
      </c>
      <c r="I3589" t="s">
        <v>129</v>
      </c>
      <c r="J3589" t="s">
        <v>86</v>
      </c>
      <c r="L3589" t="s">
        <v>74</v>
      </c>
      <c r="M3589" t="s">
        <v>63</v>
      </c>
      <c r="N3589" t="s">
        <v>64</v>
      </c>
      <c r="P3589" t="s">
        <v>201</v>
      </c>
      <c r="R3589">
        <v>7.9799999999999996E-2</v>
      </c>
      <c r="W3589" t="s">
        <v>66</v>
      </c>
      <c r="X3589" t="s">
        <v>67</v>
      </c>
      <c r="Y3589" t="s">
        <v>67</v>
      </c>
      <c r="Z3589" t="s">
        <v>68</v>
      </c>
      <c r="AB3589">
        <v>4</v>
      </c>
      <c r="AC3589" t="s">
        <v>61</v>
      </c>
      <c r="AJ3589" t="s">
        <v>69</v>
      </c>
      <c r="AY3589" t="s">
        <v>2406</v>
      </c>
      <c r="AZ3589">
        <v>5885</v>
      </c>
      <c r="BA3589" t="s">
        <v>2407</v>
      </c>
      <c r="BB3589" t="s">
        <v>2408</v>
      </c>
      <c r="BC3589">
        <v>1976</v>
      </c>
      <c r="BD3589" t="s">
        <v>90</v>
      </c>
    </row>
    <row r="3590" spans="1:56" x14ac:dyDescent="0.35">
      <c r="A3590">
        <v>7783064</v>
      </c>
      <c r="B3590" t="s">
        <v>2401</v>
      </c>
      <c r="D3590" t="s">
        <v>57</v>
      </c>
      <c r="E3590" t="s">
        <v>86</v>
      </c>
      <c r="F3590" t="s">
        <v>58</v>
      </c>
      <c r="G3590" t="s">
        <v>59</v>
      </c>
      <c r="H3590" t="s">
        <v>60</v>
      </c>
      <c r="I3590" t="s">
        <v>177</v>
      </c>
      <c r="J3590" t="s">
        <v>86</v>
      </c>
      <c r="L3590" t="s">
        <v>74</v>
      </c>
      <c r="M3590" t="s">
        <v>63</v>
      </c>
      <c r="N3590" t="s">
        <v>64</v>
      </c>
      <c r="P3590" t="s">
        <v>201</v>
      </c>
      <c r="R3590">
        <v>7.1000000000000004E-3</v>
      </c>
      <c r="W3590" t="s">
        <v>66</v>
      </c>
      <c r="X3590" t="s">
        <v>67</v>
      </c>
      <c r="Y3590" t="s">
        <v>67</v>
      </c>
      <c r="Z3590" t="s">
        <v>68</v>
      </c>
      <c r="AB3590">
        <v>4</v>
      </c>
      <c r="AC3590" t="s">
        <v>61</v>
      </c>
      <c r="AJ3590" t="s">
        <v>69</v>
      </c>
      <c r="AY3590" t="s">
        <v>2402</v>
      </c>
      <c r="AZ3590">
        <v>414</v>
      </c>
      <c r="BA3590" t="s">
        <v>2403</v>
      </c>
      <c r="BB3590" t="s">
        <v>2404</v>
      </c>
      <c r="BC3590">
        <v>1975</v>
      </c>
      <c r="BD3590" t="s">
        <v>90</v>
      </c>
    </row>
    <row r="3591" spans="1:56" x14ac:dyDescent="0.35">
      <c r="A3591">
        <v>7783064</v>
      </c>
      <c r="B3591" t="s">
        <v>2401</v>
      </c>
      <c r="D3591" t="s">
        <v>57</v>
      </c>
      <c r="E3591" t="s">
        <v>86</v>
      </c>
      <c r="F3591" t="s">
        <v>58</v>
      </c>
      <c r="G3591" t="s">
        <v>59</v>
      </c>
      <c r="H3591" t="s">
        <v>60</v>
      </c>
      <c r="I3591" t="s">
        <v>129</v>
      </c>
      <c r="J3591">
        <v>13</v>
      </c>
      <c r="K3591" t="s">
        <v>196</v>
      </c>
      <c r="L3591" t="s">
        <v>74</v>
      </c>
      <c r="M3591" t="s">
        <v>63</v>
      </c>
      <c r="N3591" t="s">
        <v>64</v>
      </c>
      <c r="P3591" t="s">
        <v>1296</v>
      </c>
      <c r="R3591">
        <v>6.4100000000000004E-2</v>
      </c>
      <c r="T3591">
        <v>5.8700000000000002E-2</v>
      </c>
      <c r="V3591">
        <v>7.0000000000000007E-2</v>
      </c>
      <c r="W3591" t="s">
        <v>66</v>
      </c>
      <c r="X3591" t="s">
        <v>67</v>
      </c>
      <c r="Y3591" t="s">
        <v>67</v>
      </c>
      <c r="Z3591" t="s">
        <v>68</v>
      </c>
      <c r="AB3591">
        <v>4</v>
      </c>
      <c r="AC3591" t="s">
        <v>61</v>
      </c>
      <c r="AJ3591" t="s">
        <v>69</v>
      </c>
      <c r="AQ3591" t="s">
        <v>69</v>
      </c>
      <c r="AY3591" t="s">
        <v>460</v>
      </c>
      <c r="AZ3591">
        <v>519</v>
      </c>
      <c r="BA3591" t="s">
        <v>461</v>
      </c>
      <c r="BB3591" t="s">
        <v>462</v>
      </c>
      <c r="BC3591">
        <v>1977</v>
      </c>
      <c r="BD3591" t="s">
        <v>2416</v>
      </c>
    </row>
    <row r="3592" spans="1:56" x14ac:dyDescent="0.35">
      <c r="A3592">
        <v>7783064</v>
      </c>
      <c r="B3592" t="s">
        <v>2401</v>
      </c>
      <c r="D3592" t="s">
        <v>57</v>
      </c>
      <c r="E3592" t="s">
        <v>86</v>
      </c>
      <c r="F3592" t="s">
        <v>58</v>
      </c>
      <c r="G3592" t="s">
        <v>59</v>
      </c>
      <c r="H3592" t="s">
        <v>60</v>
      </c>
      <c r="I3592" t="s">
        <v>129</v>
      </c>
      <c r="J3592" t="s">
        <v>86</v>
      </c>
      <c r="L3592" t="s">
        <v>74</v>
      </c>
      <c r="M3592" t="s">
        <v>63</v>
      </c>
      <c r="N3592" t="s">
        <v>64</v>
      </c>
      <c r="P3592" t="s">
        <v>201</v>
      </c>
      <c r="R3592">
        <v>0.77610000000000001</v>
      </c>
      <c r="W3592" t="s">
        <v>66</v>
      </c>
      <c r="X3592" t="s">
        <v>67</v>
      </c>
      <c r="Y3592" t="s">
        <v>67</v>
      </c>
      <c r="Z3592" t="s">
        <v>68</v>
      </c>
      <c r="AB3592">
        <v>4</v>
      </c>
      <c r="AC3592" t="s">
        <v>61</v>
      </c>
      <c r="AJ3592" t="s">
        <v>69</v>
      </c>
      <c r="AY3592" t="s">
        <v>2406</v>
      </c>
      <c r="AZ3592">
        <v>5885</v>
      </c>
      <c r="BA3592" t="s">
        <v>2407</v>
      </c>
      <c r="BB3592" t="s">
        <v>2408</v>
      </c>
      <c r="BC3592">
        <v>1976</v>
      </c>
      <c r="BD3592" t="s">
        <v>90</v>
      </c>
    </row>
    <row r="3593" spans="1:56" x14ac:dyDescent="0.35">
      <c r="A3593">
        <v>7783064</v>
      </c>
      <c r="B3593" t="s">
        <v>2401</v>
      </c>
      <c r="D3593" t="s">
        <v>57</v>
      </c>
      <c r="E3593" t="s">
        <v>86</v>
      </c>
      <c r="F3593" t="s">
        <v>58</v>
      </c>
      <c r="G3593" t="s">
        <v>59</v>
      </c>
      <c r="H3593" t="s">
        <v>60</v>
      </c>
      <c r="I3593" t="s">
        <v>129</v>
      </c>
      <c r="J3593">
        <v>13</v>
      </c>
      <c r="K3593" t="s">
        <v>196</v>
      </c>
      <c r="L3593" t="s">
        <v>74</v>
      </c>
      <c r="M3593" t="s">
        <v>63</v>
      </c>
      <c r="N3593" t="s">
        <v>64</v>
      </c>
      <c r="P3593" t="s">
        <v>1296</v>
      </c>
      <c r="R3593">
        <v>0.13300000000000001</v>
      </c>
      <c r="T3593">
        <v>0.123</v>
      </c>
      <c r="V3593">
        <v>0.14499999999999999</v>
      </c>
      <c r="W3593" t="s">
        <v>66</v>
      </c>
      <c r="X3593" t="s">
        <v>67</v>
      </c>
      <c r="Y3593" t="s">
        <v>67</v>
      </c>
      <c r="Z3593" t="s">
        <v>68</v>
      </c>
      <c r="AB3593">
        <v>4</v>
      </c>
      <c r="AC3593" t="s">
        <v>61</v>
      </c>
      <c r="AJ3593" t="s">
        <v>69</v>
      </c>
      <c r="AQ3593" t="s">
        <v>69</v>
      </c>
      <c r="AY3593" t="s">
        <v>460</v>
      </c>
      <c r="AZ3593">
        <v>519</v>
      </c>
      <c r="BA3593" t="s">
        <v>461</v>
      </c>
      <c r="BB3593" t="s">
        <v>462</v>
      </c>
      <c r="BC3593">
        <v>1977</v>
      </c>
      <c r="BD3593" t="s">
        <v>2417</v>
      </c>
    </row>
    <row r="3594" spans="1:56" x14ac:dyDescent="0.35">
      <c r="A3594">
        <v>7783064</v>
      </c>
      <c r="B3594" t="s">
        <v>2401</v>
      </c>
      <c r="D3594" t="s">
        <v>57</v>
      </c>
      <c r="E3594" t="s">
        <v>86</v>
      </c>
      <c r="F3594" t="s">
        <v>58</v>
      </c>
      <c r="G3594" t="s">
        <v>59</v>
      </c>
      <c r="H3594" t="s">
        <v>60</v>
      </c>
      <c r="I3594" t="s">
        <v>129</v>
      </c>
      <c r="J3594" t="s">
        <v>86</v>
      </c>
      <c r="L3594" t="s">
        <v>74</v>
      </c>
      <c r="M3594" t="s">
        <v>63</v>
      </c>
      <c r="N3594" t="s">
        <v>64</v>
      </c>
      <c r="P3594" t="s">
        <v>201</v>
      </c>
      <c r="R3594">
        <v>4.2299999999999997E-2</v>
      </c>
      <c r="W3594" t="s">
        <v>66</v>
      </c>
      <c r="X3594" t="s">
        <v>67</v>
      </c>
      <c r="Y3594" t="s">
        <v>67</v>
      </c>
      <c r="Z3594" t="s">
        <v>68</v>
      </c>
      <c r="AB3594">
        <v>4</v>
      </c>
      <c r="AC3594" t="s">
        <v>61</v>
      </c>
      <c r="AJ3594" t="s">
        <v>69</v>
      </c>
      <c r="AY3594" t="s">
        <v>2406</v>
      </c>
      <c r="AZ3594">
        <v>5885</v>
      </c>
      <c r="BA3594" t="s">
        <v>2407</v>
      </c>
      <c r="BB3594" t="s">
        <v>2408</v>
      </c>
      <c r="BC3594">
        <v>1976</v>
      </c>
      <c r="BD3594" t="s">
        <v>90</v>
      </c>
    </row>
    <row r="3595" spans="1:56" x14ac:dyDescent="0.35">
      <c r="A3595">
        <v>7783064</v>
      </c>
      <c r="B3595" t="s">
        <v>2401</v>
      </c>
      <c r="D3595" t="s">
        <v>57</v>
      </c>
      <c r="E3595" t="s">
        <v>86</v>
      </c>
      <c r="F3595" t="s">
        <v>58</v>
      </c>
      <c r="G3595" t="s">
        <v>59</v>
      </c>
      <c r="H3595" t="s">
        <v>60</v>
      </c>
      <c r="I3595" t="s">
        <v>129</v>
      </c>
      <c r="J3595" t="s">
        <v>86</v>
      </c>
      <c r="L3595" t="s">
        <v>74</v>
      </c>
      <c r="M3595" t="s">
        <v>63</v>
      </c>
      <c r="N3595" t="s">
        <v>64</v>
      </c>
      <c r="P3595" t="s">
        <v>201</v>
      </c>
      <c r="R3595">
        <v>0.20399999999999999</v>
      </c>
      <c r="W3595" t="s">
        <v>66</v>
      </c>
      <c r="X3595" t="s">
        <v>67</v>
      </c>
      <c r="Y3595" t="s">
        <v>67</v>
      </c>
      <c r="Z3595" t="s">
        <v>68</v>
      </c>
      <c r="AB3595">
        <v>4</v>
      </c>
      <c r="AC3595" t="s">
        <v>61</v>
      </c>
      <c r="AJ3595" t="s">
        <v>69</v>
      </c>
      <c r="AY3595" t="s">
        <v>2406</v>
      </c>
      <c r="AZ3595">
        <v>5885</v>
      </c>
      <c r="BA3595" t="s">
        <v>2407</v>
      </c>
      <c r="BB3595" t="s">
        <v>2408</v>
      </c>
      <c r="BC3595">
        <v>1976</v>
      </c>
      <c r="BD3595" t="s">
        <v>90</v>
      </c>
    </row>
    <row r="3596" spans="1:56" x14ac:dyDescent="0.35">
      <c r="A3596">
        <v>7783202</v>
      </c>
      <c r="B3596" t="s">
        <v>2418</v>
      </c>
      <c r="C3596" t="s">
        <v>195</v>
      </c>
      <c r="D3596" t="s">
        <v>85</v>
      </c>
      <c r="E3596" t="s">
        <v>86</v>
      </c>
      <c r="F3596" t="s">
        <v>58</v>
      </c>
      <c r="G3596" t="s">
        <v>59</v>
      </c>
      <c r="H3596" t="s">
        <v>60</v>
      </c>
      <c r="I3596" t="s">
        <v>129</v>
      </c>
      <c r="J3596" t="s">
        <v>86</v>
      </c>
      <c r="L3596" t="s">
        <v>62</v>
      </c>
      <c r="M3596" t="s">
        <v>63</v>
      </c>
      <c r="N3596" t="s">
        <v>64</v>
      </c>
      <c r="O3596">
        <v>5</v>
      </c>
      <c r="P3596" t="s">
        <v>201</v>
      </c>
      <c r="Q3596" t="s">
        <v>153</v>
      </c>
      <c r="R3596">
        <v>100</v>
      </c>
      <c r="W3596" t="s">
        <v>66</v>
      </c>
      <c r="X3596" t="s">
        <v>67</v>
      </c>
      <c r="Y3596" t="s">
        <v>67</v>
      </c>
      <c r="Z3596" t="s">
        <v>68</v>
      </c>
      <c r="AB3596">
        <v>4</v>
      </c>
      <c r="AC3596" t="s">
        <v>61</v>
      </c>
      <c r="AJ3596" t="s">
        <v>69</v>
      </c>
      <c r="AY3596" t="s">
        <v>298</v>
      </c>
      <c r="AZ3596">
        <v>11951</v>
      </c>
      <c r="BA3596" t="s">
        <v>299</v>
      </c>
      <c r="BB3596" t="s">
        <v>300</v>
      </c>
      <c r="BC3596">
        <v>1986</v>
      </c>
      <c r="BD3596" t="s">
        <v>90</v>
      </c>
    </row>
    <row r="3597" spans="1:56" x14ac:dyDescent="0.35">
      <c r="A3597">
        <v>7783280</v>
      </c>
      <c r="B3597" t="s">
        <v>2419</v>
      </c>
      <c r="D3597" t="s">
        <v>85</v>
      </c>
      <c r="E3597" t="s">
        <v>86</v>
      </c>
      <c r="F3597" t="s">
        <v>58</v>
      </c>
      <c r="G3597" t="s">
        <v>59</v>
      </c>
      <c r="H3597" t="s">
        <v>60</v>
      </c>
      <c r="I3597" t="s">
        <v>129</v>
      </c>
      <c r="J3597" t="s">
        <v>86</v>
      </c>
      <c r="L3597" t="s">
        <v>62</v>
      </c>
      <c r="M3597" t="s">
        <v>63</v>
      </c>
      <c r="N3597" t="s">
        <v>64</v>
      </c>
      <c r="P3597" t="s">
        <v>201</v>
      </c>
      <c r="R3597">
        <v>33</v>
      </c>
      <c r="W3597" t="s">
        <v>66</v>
      </c>
      <c r="X3597" t="s">
        <v>67</v>
      </c>
      <c r="Y3597" t="s">
        <v>67</v>
      </c>
      <c r="Z3597" t="s">
        <v>68</v>
      </c>
      <c r="AB3597">
        <v>4</v>
      </c>
      <c r="AC3597" t="s">
        <v>61</v>
      </c>
      <c r="AJ3597" t="s">
        <v>69</v>
      </c>
      <c r="AY3597" t="s">
        <v>2420</v>
      </c>
      <c r="AZ3597">
        <v>6010</v>
      </c>
      <c r="BA3597" t="s">
        <v>2421</v>
      </c>
      <c r="BB3597" t="s">
        <v>2422</v>
      </c>
      <c r="BC3597">
        <v>1974</v>
      </c>
      <c r="BD3597" t="s">
        <v>90</v>
      </c>
    </row>
    <row r="3598" spans="1:56" x14ac:dyDescent="0.35">
      <c r="A3598">
        <v>7783906</v>
      </c>
      <c r="B3598" t="s">
        <v>2423</v>
      </c>
      <c r="D3598" t="s">
        <v>85</v>
      </c>
      <c r="E3598" t="s">
        <v>86</v>
      </c>
      <c r="F3598" t="s">
        <v>58</v>
      </c>
      <c r="G3598" t="s">
        <v>59</v>
      </c>
      <c r="H3598" t="s">
        <v>60</v>
      </c>
      <c r="J3598" t="s">
        <v>86</v>
      </c>
      <c r="L3598" t="s">
        <v>74</v>
      </c>
      <c r="M3598" t="s">
        <v>63</v>
      </c>
      <c r="N3598" t="s">
        <v>64</v>
      </c>
      <c r="P3598" t="s">
        <v>201</v>
      </c>
      <c r="R3598">
        <v>5.6</v>
      </c>
      <c r="T3598">
        <v>4.4000000000000004</v>
      </c>
      <c r="V3598">
        <v>10</v>
      </c>
      <c r="W3598" t="s">
        <v>66</v>
      </c>
      <c r="X3598" t="s">
        <v>67</v>
      </c>
      <c r="Y3598" t="s">
        <v>67</v>
      </c>
      <c r="Z3598" t="s">
        <v>68</v>
      </c>
      <c r="AB3598">
        <v>4</v>
      </c>
      <c r="AC3598" t="s">
        <v>61</v>
      </c>
      <c r="AJ3598" t="s">
        <v>69</v>
      </c>
      <c r="AY3598" t="s">
        <v>525</v>
      </c>
      <c r="AZ3598">
        <v>14379</v>
      </c>
      <c r="BA3598" t="s">
        <v>2363</v>
      </c>
      <c r="BB3598" t="s">
        <v>2364</v>
      </c>
      <c r="BC3598">
        <v>1979</v>
      </c>
      <c r="BD3598" t="s">
        <v>90</v>
      </c>
    </row>
    <row r="3599" spans="1:56" x14ac:dyDescent="0.35">
      <c r="A3599">
        <v>7783906</v>
      </c>
      <c r="B3599" t="s">
        <v>2423</v>
      </c>
      <c r="D3599" t="s">
        <v>85</v>
      </c>
      <c r="E3599" t="s">
        <v>86</v>
      </c>
      <c r="F3599" t="s">
        <v>58</v>
      </c>
      <c r="G3599" t="s">
        <v>59</v>
      </c>
      <c r="H3599" t="s">
        <v>60</v>
      </c>
      <c r="J3599" t="s">
        <v>86</v>
      </c>
      <c r="L3599" t="s">
        <v>74</v>
      </c>
      <c r="M3599" t="s">
        <v>63</v>
      </c>
      <c r="N3599" t="s">
        <v>64</v>
      </c>
      <c r="P3599" t="s">
        <v>201</v>
      </c>
      <c r="R3599">
        <v>0.51</v>
      </c>
      <c r="W3599" t="s">
        <v>66</v>
      </c>
      <c r="X3599" t="s">
        <v>67</v>
      </c>
      <c r="Y3599" t="s">
        <v>67</v>
      </c>
      <c r="Z3599" t="s">
        <v>68</v>
      </c>
      <c r="AB3599">
        <v>4</v>
      </c>
      <c r="AC3599" t="s">
        <v>61</v>
      </c>
      <c r="AJ3599" t="s">
        <v>69</v>
      </c>
      <c r="AY3599" t="s">
        <v>525</v>
      </c>
      <c r="AZ3599">
        <v>14379</v>
      </c>
      <c r="BA3599" t="s">
        <v>2363</v>
      </c>
      <c r="BB3599" t="s">
        <v>2364</v>
      </c>
      <c r="BC3599">
        <v>1979</v>
      </c>
      <c r="BD3599" t="s">
        <v>90</v>
      </c>
    </row>
    <row r="3600" spans="1:56" x14ac:dyDescent="0.35">
      <c r="A3600">
        <v>7783906</v>
      </c>
      <c r="B3600" t="s">
        <v>2423</v>
      </c>
      <c r="D3600" t="s">
        <v>85</v>
      </c>
      <c r="E3600" t="s">
        <v>86</v>
      </c>
      <c r="F3600" t="s">
        <v>58</v>
      </c>
      <c r="G3600" t="s">
        <v>59</v>
      </c>
      <c r="H3600" t="s">
        <v>60</v>
      </c>
      <c r="J3600" t="s">
        <v>86</v>
      </c>
      <c r="L3600" t="s">
        <v>74</v>
      </c>
      <c r="M3600" t="s">
        <v>63</v>
      </c>
      <c r="N3600" t="s">
        <v>64</v>
      </c>
      <c r="P3600" t="s">
        <v>201</v>
      </c>
      <c r="R3600">
        <v>2.1</v>
      </c>
      <c r="W3600" t="s">
        <v>66</v>
      </c>
      <c r="X3600" t="s">
        <v>67</v>
      </c>
      <c r="Y3600" t="s">
        <v>67</v>
      </c>
      <c r="Z3600" t="s">
        <v>68</v>
      </c>
      <c r="AB3600">
        <v>4</v>
      </c>
      <c r="AC3600" t="s">
        <v>61</v>
      </c>
      <c r="AJ3600" t="s">
        <v>69</v>
      </c>
      <c r="AY3600" t="s">
        <v>525</v>
      </c>
      <c r="AZ3600">
        <v>14379</v>
      </c>
      <c r="BA3600" t="s">
        <v>2363</v>
      </c>
      <c r="BB3600" t="s">
        <v>2364</v>
      </c>
      <c r="BC3600">
        <v>1979</v>
      </c>
      <c r="BD3600" t="s">
        <v>90</v>
      </c>
    </row>
    <row r="3601" spans="1:56" x14ac:dyDescent="0.35">
      <c r="A3601">
        <v>7783906</v>
      </c>
      <c r="B3601" t="s">
        <v>2423</v>
      </c>
      <c r="D3601" t="s">
        <v>57</v>
      </c>
      <c r="E3601" t="s">
        <v>86</v>
      </c>
      <c r="F3601" t="s">
        <v>58</v>
      </c>
      <c r="G3601" t="s">
        <v>59</v>
      </c>
      <c r="H3601" t="s">
        <v>60</v>
      </c>
      <c r="J3601" t="s">
        <v>86</v>
      </c>
      <c r="K3601" t="s">
        <v>184</v>
      </c>
      <c r="L3601" t="s">
        <v>62</v>
      </c>
      <c r="M3601" t="s">
        <v>63</v>
      </c>
      <c r="N3601" t="s">
        <v>64</v>
      </c>
      <c r="P3601" t="s">
        <v>201</v>
      </c>
      <c r="Q3601" t="s">
        <v>153</v>
      </c>
      <c r="R3601">
        <v>1.93</v>
      </c>
      <c r="W3601" t="s">
        <v>66</v>
      </c>
      <c r="X3601" t="s">
        <v>67</v>
      </c>
      <c r="Y3601" t="s">
        <v>67</v>
      </c>
      <c r="Z3601" t="s">
        <v>68</v>
      </c>
      <c r="AB3601">
        <v>4</v>
      </c>
      <c r="AC3601" t="s">
        <v>61</v>
      </c>
      <c r="AJ3601" t="s">
        <v>69</v>
      </c>
      <c r="AY3601" t="s">
        <v>2356</v>
      </c>
      <c r="AZ3601">
        <v>17981</v>
      </c>
      <c r="BA3601" t="s">
        <v>2357</v>
      </c>
      <c r="BB3601" t="s">
        <v>2358</v>
      </c>
      <c r="BC3601">
        <v>1997</v>
      </c>
      <c r="BD3601" t="s">
        <v>283</v>
      </c>
    </row>
    <row r="3602" spans="1:56" x14ac:dyDescent="0.35">
      <c r="A3602">
        <v>7784465</v>
      </c>
      <c r="B3602" t="s">
        <v>2424</v>
      </c>
      <c r="E3602" t="s">
        <v>86</v>
      </c>
      <c r="F3602" t="s">
        <v>58</v>
      </c>
      <c r="G3602" t="s">
        <v>59</v>
      </c>
      <c r="H3602" t="s">
        <v>60</v>
      </c>
      <c r="J3602" t="s">
        <v>86</v>
      </c>
      <c r="K3602" t="s">
        <v>61</v>
      </c>
      <c r="L3602" t="s">
        <v>62</v>
      </c>
      <c r="M3602" t="s">
        <v>63</v>
      </c>
      <c r="N3602" t="s">
        <v>64</v>
      </c>
      <c r="P3602" t="s">
        <v>201</v>
      </c>
      <c r="R3602">
        <v>9.9</v>
      </c>
      <c r="W3602" t="s">
        <v>66</v>
      </c>
      <c r="X3602" t="s">
        <v>67</v>
      </c>
      <c r="Y3602" t="s">
        <v>67</v>
      </c>
      <c r="Z3602" t="s">
        <v>68</v>
      </c>
      <c r="AB3602">
        <v>4</v>
      </c>
      <c r="AC3602" t="s">
        <v>61</v>
      </c>
      <c r="AJ3602" t="s">
        <v>69</v>
      </c>
      <c r="AY3602" t="s">
        <v>242</v>
      </c>
      <c r="AZ3602">
        <v>45073</v>
      </c>
      <c r="BA3602" t="s">
        <v>243</v>
      </c>
      <c r="BB3602" t="s">
        <v>244</v>
      </c>
      <c r="BC3602">
        <v>1993</v>
      </c>
      <c r="BD3602" t="s">
        <v>245</v>
      </c>
    </row>
    <row r="3603" spans="1:56" x14ac:dyDescent="0.35">
      <c r="A3603">
        <v>7784465</v>
      </c>
      <c r="B3603" t="s">
        <v>2424</v>
      </c>
      <c r="E3603" t="s">
        <v>86</v>
      </c>
      <c r="F3603" t="s">
        <v>58</v>
      </c>
      <c r="G3603" t="s">
        <v>59</v>
      </c>
      <c r="H3603" t="s">
        <v>60</v>
      </c>
      <c r="J3603" t="s">
        <v>86</v>
      </c>
      <c r="K3603" t="s">
        <v>61</v>
      </c>
      <c r="L3603" t="s">
        <v>62</v>
      </c>
      <c r="M3603" t="s">
        <v>63</v>
      </c>
      <c r="N3603" t="s">
        <v>64</v>
      </c>
      <c r="P3603" t="s">
        <v>201</v>
      </c>
      <c r="R3603">
        <v>9.9</v>
      </c>
      <c r="W3603" t="s">
        <v>66</v>
      </c>
      <c r="X3603" t="s">
        <v>67</v>
      </c>
      <c r="Y3603" t="s">
        <v>67</v>
      </c>
      <c r="Z3603" t="s">
        <v>68</v>
      </c>
      <c r="AB3603">
        <v>4</v>
      </c>
      <c r="AC3603" t="s">
        <v>61</v>
      </c>
      <c r="AJ3603" t="s">
        <v>69</v>
      </c>
      <c r="AY3603" t="s">
        <v>242</v>
      </c>
      <c r="AZ3603">
        <v>45073</v>
      </c>
      <c r="BA3603" t="s">
        <v>243</v>
      </c>
      <c r="BB3603" t="s">
        <v>244</v>
      </c>
      <c r="BC3603">
        <v>1993</v>
      </c>
      <c r="BD3603" t="s">
        <v>245</v>
      </c>
    </row>
    <row r="3604" spans="1:56" x14ac:dyDescent="0.35">
      <c r="A3604">
        <v>7784465</v>
      </c>
      <c r="B3604" t="s">
        <v>2424</v>
      </c>
      <c r="E3604" t="s">
        <v>86</v>
      </c>
      <c r="F3604" t="s">
        <v>58</v>
      </c>
      <c r="G3604" t="s">
        <v>59</v>
      </c>
      <c r="H3604" t="s">
        <v>60</v>
      </c>
      <c r="J3604" t="s">
        <v>86</v>
      </c>
      <c r="K3604" t="s">
        <v>61</v>
      </c>
      <c r="L3604" t="s">
        <v>62</v>
      </c>
      <c r="M3604" t="s">
        <v>63</v>
      </c>
      <c r="N3604" t="s">
        <v>64</v>
      </c>
      <c r="P3604" t="s">
        <v>201</v>
      </c>
      <c r="R3604">
        <v>9.9</v>
      </c>
      <c r="W3604" t="s">
        <v>66</v>
      </c>
      <c r="X3604" t="s">
        <v>67</v>
      </c>
      <c r="Y3604" t="s">
        <v>67</v>
      </c>
      <c r="Z3604" t="s">
        <v>68</v>
      </c>
      <c r="AB3604">
        <v>4</v>
      </c>
      <c r="AC3604" t="s">
        <v>61</v>
      </c>
      <c r="AJ3604" t="s">
        <v>69</v>
      </c>
      <c r="AY3604" t="s">
        <v>242</v>
      </c>
      <c r="AZ3604">
        <v>45073</v>
      </c>
      <c r="BA3604" t="s">
        <v>243</v>
      </c>
      <c r="BB3604" t="s">
        <v>244</v>
      </c>
      <c r="BC3604">
        <v>1993</v>
      </c>
      <c r="BD3604" t="s">
        <v>245</v>
      </c>
    </row>
    <row r="3605" spans="1:56" x14ac:dyDescent="0.35">
      <c r="A3605">
        <v>7784465</v>
      </c>
      <c r="B3605" t="s">
        <v>2424</v>
      </c>
      <c r="E3605" t="s">
        <v>86</v>
      </c>
      <c r="F3605" t="s">
        <v>58</v>
      </c>
      <c r="G3605" t="s">
        <v>59</v>
      </c>
      <c r="H3605" t="s">
        <v>60</v>
      </c>
      <c r="J3605" t="s">
        <v>86</v>
      </c>
      <c r="K3605" t="s">
        <v>61</v>
      </c>
      <c r="L3605" t="s">
        <v>62</v>
      </c>
      <c r="M3605" t="s">
        <v>63</v>
      </c>
      <c r="N3605" t="s">
        <v>64</v>
      </c>
      <c r="P3605" t="s">
        <v>201</v>
      </c>
      <c r="R3605">
        <v>9.9</v>
      </c>
      <c r="W3605" t="s">
        <v>66</v>
      </c>
      <c r="X3605" t="s">
        <v>67</v>
      </c>
      <c r="Y3605" t="s">
        <v>67</v>
      </c>
      <c r="Z3605" t="s">
        <v>68</v>
      </c>
      <c r="AB3605">
        <v>4</v>
      </c>
      <c r="AC3605" t="s">
        <v>61</v>
      </c>
      <c r="AJ3605" t="s">
        <v>69</v>
      </c>
      <c r="AY3605" t="s">
        <v>242</v>
      </c>
      <c r="AZ3605">
        <v>45073</v>
      </c>
      <c r="BA3605" t="s">
        <v>243</v>
      </c>
      <c r="BB3605" t="s">
        <v>244</v>
      </c>
      <c r="BC3605">
        <v>1993</v>
      </c>
      <c r="BD3605" t="s">
        <v>245</v>
      </c>
    </row>
    <row r="3606" spans="1:56" x14ac:dyDescent="0.35">
      <c r="A3606">
        <v>7784465</v>
      </c>
      <c r="B3606" t="s">
        <v>2424</v>
      </c>
      <c r="C3606" t="s">
        <v>195</v>
      </c>
      <c r="D3606" t="s">
        <v>57</v>
      </c>
      <c r="E3606" t="s">
        <v>86</v>
      </c>
      <c r="F3606" t="s">
        <v>58</v>
      </c>
      <c r="G3606" t="s">
        <v>59</v>
      </c>
      <c r="H3606" t="s">
        <v>60</v>
      </c>
      <c r="J3606" t="s">
        <v>1854</v>
      </c>
      <c r="K3606" t="s">
        <v>61</v>
      </c>
      <c r="L3606" t="s">
        <v>74</v>
      </c>
      <c r="M3606" t="s">
        <v>63</v>
      </c>
      <c r="N3606" t="s">
        <v>64</v>
      </c>
      <c r="P3606" t="s">
        <v>1296</v>
      </c>
      <c r="R3606">
        <v>12.6</v>
      </c>
      <c r="T3606">
        <v>9.9</v>
      </c>
      <c r="V3606">
        <v>15.9</v>
      </c>
      <c r="W3606" t="s">
        <v>66</v>
      </c>
      <c r="X3606" t="s">
        <v>67</v>
      </c>
      <c r="Y3606" t="s">
        <v>67</v>
      </c>
      <c r="Z3606" t="s">
        <v>68</v>
      </c>
      <c r="AB3606">
        <v>4</v>
      </c>
      <c r="AC3606" t="s">
        <v>61</v>
      </c>
      <c r="AJ3606" t="s">
        <v>69</v>
      </c>
      <c r="AY3606" t="s">
        <v>1855</v>
      </c>
      <c r="AZ3606">
        <v>12093</v>
      </c>
      <c r="BA3606" t="s">
        <v>1856</v>
      </c>
      <c r="BB3606" t="s">
        <v>1857</v>
      </c>
      <c r="BC3606">
        <v>1986</v>
      </c>
      <c r="BD3606" t="s">
        <v>73</v>
      </c>
    </row>
    <row r="3607" spans="1:56" x14ac:dyDescent="0.35">
      <c r="A3607">
        <v>7784465</v>
      </c>
      <c r="B3607" t="s">
        <v>2424</v>
      </c>
      <c r="E3607" t="s">
        <v>86</v>
      </c>
      <c r="F3607" t="s">
        <v>58</v>
      </c>
      <c r="G3607" t="s">
        <v>59</v>
      </c>
      <c r="H3607" t="s">
        <v>60</v>
      </c>
      <c r="J3607" t="s">
        <v>86</v>
      </c>
      <c r="K3607" t="s">
        <v>61</v>
      </c>
      <c r="L3607" t="s">
        <v>62</v>
      </c>
      <c r="M3607" t="s">
        <v>63</v>
      </c>
      <c r="N3607" t="s">
        <v>64</v>
      </c>
      <c r="P3607" t="s">
        <v>201</v>
      </c>
      <c r="R3607">
        <v>9.9</v>
      </c>
      <c r="W3607" t="s">
        <v>66</v>
      </c>
      <c r="X3607" t="s">
        <v>67</v>
      </c>
      <c r="Y3607" t="s">
        <v>67</v>
      </c>
      <c r="Z3607" t="s">
        <v>68</v>
      </c>
      <c r="AB3607">
        <v>4</v>
      </c>
      <c r="AC3607" t="s">
        <v>61</v>
      </c>
      <c r="AJ3607" t="s">
        <v>69</v>
      </c>
      <c r="AY3607" t="s">
        <v>242</v>
      </c>
      <c r="AZ3607">
        <v>45073</v>
      </c>
      <c r="BA3607" t="s">
        <v>243</v>
      </c>
      <c r="BB3607" t="s">
        <v>244</v>
      </c>
      <c r="BC3607">
        <v>1993</v>
      </c>
      <c r="BD3607" t="s">
        <v>245</v>
      </c>
    </row>
    <row r="3608" spans="1:56" x14ac:dyDescent="0.35">
      <c r="A3608">
        <v>7784465</v>
      </c>
      <c r="B3608" t="s">
        <v>2424</v>
      </c>
      <c r="E3608" t="s">
        <v>86</v>
      </c>
      <c r="F3608" t="s">
        <v>58</v>
      </c>
      <c r="G3608" t="s">
        <v>59</v>
      </c>
      <c r="H3608" t="s">
        <v>60</v>
      </c>
      <c r="J3608" t="s">
        <v>86</v>
      </c>
      <c r="K3608" t="s">
        <v>61</v>
      </c>
      <c r="L3608" t="s">
        <v>62</v>
      </c>
      <c r="M3608" t="s">
        <v>63</v>
      </c>
      <c r="N3608" t="s">
        <v>64</v>
      </c>
      <c r="P3608" t="s">
        <v>201</v>
      </c>
      <c r="R3608">
        <v>9.9</v>
      </c>
      <c r="W3608" t="s">
        <v>66</v>
      </c>
      <c r="X3608" t="s">
        <v>67</v>
      </c>
      <c r="Y3608" t="s">
        <v>67</v>
      </c>
      <c r="Z3608" t="s">
        <v>68</v>
      </c>
      <c r="AB3608">
        <v>4</v>
      </c>
      <c r="AC3608" t="s">
        <v>61</v>
      </c>
      <c r="AJ3608" t="s">
        <v>69</v>
      </c>
      <c r="AY3608" t="s">
        <v>242</v>
      </c>
      <c r="AZ3608">
        <v>45073</v>
      </c>
      <c r="BA3608" t="s">
        <v>243</v>
      </c>
      <c r="BB3608" t="s">
        <v>244</v>
      </c>
      <c r="BC3608">
        <v>1993</v>
      </c>
      <c r="BD3608" t="s">
        <v>245</v>
      </c>
    </row>
    <row r="3609" spans="1:56" x14ac:dyDescent="0.35">
      <c r="A3609">
        <v>7784465</v>
      </c>
      <c r="B3609" t="s">
        <v>2424</v>
      </c>
      <c r="D3609" t="s">
        <v>57</v>
      </c>
      <c r="E3609" t="s">
        <v>128</v>
      </c>
      <c r="F3609" t="s">
        <v>58</v>
      </c>
      <c r="G3609" t="s">
        <v>59</v>
      </c>
      <c r="H3609" t="s">
        <v>60</v>
      </c>
      <c r="I3609" t="s">
        <v>129</v>
      </c>
      <c r="J3609" t="s">
        <v>86</v>
      </c>
      <c r="K3609" t="s">
        <v>61</v>
      </c>
      <c r="L3609" t="s">
        <v>74</v>
      </c>
      <c r="M3609" t="s">
        <v>63</v>
      </c>
      <c r="N3609" t="s">
        <v>64</v>
      </c>
      <c r="P3609" t="s">
        <v>201</v>
      </c>
      <c r="R3609">
        <v>23.6</v>
      </c>
      <c r="W3609" t="s">
        <v>66</v>
      </c>
      <c r="X3609" t="s">
        <v>67</v>
      </c>
      <c r="Y3609" t="s">
        <v>67</v>
      </c>
      <c r="Z3609" t="s">
        <v>68</v>
      </c>
      <c r="AB3609">
        <v>4</v>
      </c>
      <c r="AC3609" t="s">
        <v>61</v>
      </c>
      <c r="AJ3609" t="s">
        <v>69</v>
      </c>
      <c r="AY3609" t="s">
        <v>134</v>
      </c>
      <c r="AZ3609">
        <v>15031</v>
      </c>
      <c r="BA3609" t="s">
        <v>135</v>
      </c>
      <c r="BB3609" t="s">
        <v>136</v>
      </c>
      <c r="BC3609">
        <v>1995</v>
      </c>
      <c r="BD3609" t="s">
        <v>133</v>
      </c>
    </row>
    <row r="3610" spans="1:56" x14ac:dyDescent="0.35">
      <c r="A3610">
        <v>7784465</v>
      </c>
      <c r="B3610" t="s">
        <v>2424</v>
      </c>
      <c r="C3610" t="s">
        <v>2425</v>
      </c>
      <c r="D3610" t="s">
        <v>57</v>
      </c>
      <c r="E3610" t="s">
        <v>86</v>
      </c>
      <c r="F3610" t="s">
        <v>58</v>
      </c>
      <c r="G3610" t="s">
        <v>59</v>
      </c>
      <c r="H3610" t="s">
        <v>60</v>
      </c>
      <c r="I3610" t="s">
        <v>129</v>
      </c>
      <c r="J3610">
        <v>3</v>
      </c>
      <c r="K3610" t="s">
        <v>320</v>
      </c>
      <c r="L3610" t="s">
        <v>74</v>
      </c>
      <c r="M3610" t="s">
        <v>63</v>
      </c>
      <c r="N3610" t="s">
        <v>64</v>
      </c>
      <c r="P3610" t="s">
        <v>201</v>
      </c>
      <c r="R3610">
        <v>27</v>
      </c>
      <c r="T3610">
        <v>24.7</v>
      </c>
      <c r="V3610">
        <v>29.4</v>
      </c>
      <c r="W3610" t="s">
        <v>66</v>
      </c>
      <c r="X3610" t="s">
        <v>67</v>
      </c>
      <c r="Y3610" t="s">
        <v>67</v>
      </c>
      <c r="Z3610" t="s">
        <v>68</v>
      </c>
      <c r="AB3610">
        <v>4</v>
      </c>
      <c r="AC3610" t="s">
        <v>61</v>
      </c>
      <c r="AJ3610" t="s">
        <v>69</v>
      </c>
      <c r="AY3610" t="s">
        <v>376</v>
      </c>
      <c r="AZ3610">
        <v>838</v>
      </c>
      <c r="BA3610" t="s">
        <v>1255</v>
      </c>
      <c r="BB3610" t="s">
        <v>1256</v>
      </c>
      <c r="BC3610">
        <v>1976</v>
      </c>
      <c r="BD3610" t="s">
        <v>324</v>
      </c>
    </row>
    <row r="3611" spans="1:56" x14ac:dyDescent="0.35">
      <c r="A3611">
        <v>7784465</v>
      </c>
      <c r="B3611" t="s">
        <v>2424</v>
      </c>
      <c r="E3611" t="s">
        <v>86</v>
      </c>
      <c r="F3611" t="s">
        <v>58</v>
      </c>
      <c r="G3611" t="s">
        <v>59</v>
      </c>
      <c r="H3611" t="s">
        <v>60</v>
      </c>
      <c r="J3611" t="s">
        <v>86</v>
      </c>
      <c r="K3611" t="s">
        <v>61</v>
      </c>
      <c r="L3611" t="s">
        <v>62</v>
      </c>
      <c r="M3611" t="s">
        <v>63</v>
      </c>
      <c r="N3611" t="s">
        <v>64</v>
      </c>
      <c r="P3611" t="s">
        <v>201</v>
      </c>
      <c r="R3611">
        <v>9.9</v>
      </c>
      <c r="W3611" t="s">
        <v>66</v>
      </c>
      <c r="X3611" t="s">
        <v>67</v>
      </c>
      <c r="Y3611" t="s">
        <v>67</v>
      </c>
      <c r="Z3611" t="s">
        <v>68</v>
      </c>
      <c r="AB3611">
        <v>4</v>
      </c>
      <c r="AC3611" t="s">
        <v>61</v>
      </c>
      <c r="AJ3611" t="s">
        <v>69</v>
      </c>
      <c r="AY3611" t="s">
        <v>242</v>
      </c>
      <c r="AZ3611">
        <v>45073</v>
      </c>
      <c r="BA3611" t="s">
        <v>243</v>
      </c>
      <c r="BB3611" t="s">
        <v>244</v>
      </c>
      <c r="BC3611">
        <v>1993</v>
      </c>
      <c r="BD3611" t="s">
        <v>245</v>
      </c>
    </row>
    <row r="3612" spans="1:56" x14ac:dyDescent="0.35">
      <c r="A3612">
        <v>7784465</v>
      </c>
      <c r="B3612" t="s">
        <v>2424</v>
      </c>
      <c r="C3612" t="s">
        <v>195</v>
      </c>
      <c r="D3612" t="s">
        <v>57</v>
      </c>
      <c r="E3612" t="s">
        <v>86</v>
      </c>
      <c r="F3612" t="s">
        <v>58</v>
      </c>
      <c r="G3612" t="s">
        <v>59</v>
      </c>
      <c r="H3612" t="s">
        <v>60</v>
      </c>
      <c r="I3612" t="s">
        <v>177</v>
      </c>
      <c r="J3612" t="s">
        <v>86</v>
      </c>
      <c r="L3612" t="s">
        <v>74</v>
      </c>
      <c r="M3612" t="s">
        <v>63</v>
      </c>
      <c r="N3612" t="s">
        <v>64</v>
      </c>
      <c r="O3612">
        <v>6</v>
      </c>
      <c r="P3612" t="s">
        <v>201</v>
      </c>
      <c r="R3612">
        <v>14.1</v>
      </c>
      <c r="T3612">
        <v>12.5</v>
      </c>
      <c r="V3612">
        <v>15.9</v>
      </c>
      <c r="W3612" t="s">
        <v>66</v>
      </c>
      <c r="X3612" t="s">
        <v>67</v>
      </c>
      <c r="Y3612" t="s">
        <v>67</v>
      </c>
      <c r="Z3612" t="s">
        <v>68</v>
      </c>
      <c r="AB3612">
        <v>4</v>
      </c>
      <c r="AC3612" t="s">
        <v>61</v>
      </c>
      <c r="AJ3612" t="s">
        <v>69</v>
      </c>
      <c r="AY3612" t="s">
        <v>2426</v>
      </c>
      <c r="AZ3612">
        <v>10695</v>
      </c>
      <c r="BA3612" t="s">
        <v>2427</v>
      </c>
      <c r="BB3612" t="s">
        <v>2428</v>
      </c>
      <c r="BC3612">
        <v>1984</v>
      </c>
      <c r="BD3612" t="s">
        <v>90</v>
      </c>
    </row>
    <row r="3613" spans="1:56" x14ac:dyDescent="0.35">
      <c r="A3613">
        <v>7785708</v>
      </c>
      <c r="B3613" t="s">
        <v>2429</v>
      </c>
      <c r="D3613" t="s">
        <v>57</v>
      </c>
      <c r="E3613">
        <v>98</v>
      </c>
      <c r="F3613" t="s">
        <v>58</v>
      </c>
      <c r="G3613" t="s">
        <v>59</v>
      </c>
      <c r="H3613" t="s">
        <v>60</v>
      </c>
      <c r="I3613" t="s">
        <v>129</v>
      </c>
      <c r="J3613">
        <v>30</v>
      </c>
      <c r="K3613" t="s">
        <v>61</v>
      </c>
      <c r="L3613" t="s">
        <v>74</v>
      </c>
      <c r="M3613" t="s">
        <v>63</v>
      </c>
      <c r="N3613" t="s">
        <v>64</v>
      </c>
      <c r="O3613">
        <v>6</v>
      </c>
      <c r="P3613" t="s">
        <v>65</v>
      </c>
      <c r="R3613">
        <v>0.28000000000000003</v>
      </c>
      <c r="T3613">
        <v>0.25900000000000001</v>
      </c>
      <c r="V3613">
        <v>0.30299999999999999</v>
      </c>
      <c r="W3613" t="s">
        <v>66</v>
      </c>
      <c r="X3613" t="s">
        <v>67</v>
      </c>
      <c r="Y3613" t="s">
        <v>67</v>
      </c>
      <c r="Z3613" t="s">
        <v>68</v>
      </c>
      <c r="AB3613">
        <v>4</v>
      </c>
      <c r="AC3613" t="s">
        <v>61</v>
      </c>
      <c r="AJ3613" t="s">
        <v>69</v>
      </c>
      <c r="AY3613" t="s">
        <v>884</v>
      </c>
      <c r="AZ3613">
        <v>97161</v>
      </c>
      <c r="BA3613" t="s">
        <v>885</v>
      </c>
      <c r="BB3613" t="s">
        <v>886</v>
      </c>
      <c r="BC3613">
        <v>1990</v>
      </c>
      <c r="BD3613" t="s">
        <v>73</v>
      </c>
    </row>
    <row r="3614" spans="1:56" x14ac:dyDescent="0.35">
      <c r="A3614">
        <v>7785877</v>
      </c>
      <c r="B3614" t="s">
        <v>2430</v>
      </c>
      <c r="C3614" t="s">
        <v>195</v>
      </c>
      <c r="D3614" t="s">
        <v>85</v>
      </c>
      <c r="E3614" t="s">
        <v>86</v>
      </c>
      <c r="F3614" t="s">
        <v>58</v>
      </c>
      <c r="G3614" t="s">
        <v>59</v>
      </c>
      <c r="H3614" t="s">
        <v>60</v>
      </c>
      <c r="I3614" t="s">
        <v>129</v>
      </c>
      <c r="J3614">
        <v>8</v>
      </c>
      <c r="K3614" t="s">
        <v>196</v>
      </c>
      <c r="L3614" t="s">
        <v>74</v>
      </c>
      <c r="M3614" t="s">
        <v>63</v>
      </c>
      <c r="N3614" t="s">
        <v>64</v>
      </c>
      <c r="P3614" t="s">
        <v>201</v>
      </c>
      <c r="R3614">
        <v>36.9</v>
      </c>
      <c r="W3614" t="s">
        <v>66</v>
      </c>
      <c r="X3614" t="s">
        <v>67</v>
      </c>
      <c r="Y3614" t="s">
        <v>67</v>
      </c>
      <c r="Z3614" t="s">
        <v>68</v>
      </c>
      <c r="AB3614">
        <v>4</v>
      </c>
      <c r="AC3614" t="s">
        <v>61</v>
      </c>
      <c r="AJ3614" t="s">
        <v>69</v>
      </c>
      <c r="AY3614" t="s">
        <v>197</v>
      </c>
      <c r="AZ3614">
        <v>3783</v>
      </c>
      <c r="BA3614" t="s">
        <v>198</v>
      </c>
      <c r="BB3614" t="s">
        <v>199</v>
      </c>
      <c r="BC3614">
        <v>1978</v>
      </c>
      <c r="BD3614" t="s">
        <v>200</v>
      </c>
    </row>
    <row r="3615" spans="1:56" x14ac:dyDescent="0.35">
      <c r="A3615">
        <v>7785877</v>
      </c>
      <c r="B3615" t="s">
        <v>2430</v>
      </c>
      <c r="C3615" t="s">
        <v>195</v>
      </c>
      <c r="D3615" t="s">
        <v>85</v>
      </c>
      <c r="E3615" t="s">
        <v>86</v>
      </c>
      <c r="F3615" t="s">
        <v>58</v>
      </c>
      <c r="G3615" t="s">
        <v>59</v>
      </c>
      <c r="H3615" t="s">
        <v>60</v>
      </c>
      <c r="I3615" t="s">
        <v>129</v>
      </c>
      <c r="J3615">
        <v>8</v>
      </c>
      <c r="K3615" t="s">
        <v>196</v>
      </c>
      <c r="L3615" t="s">
        <v>74</v>
      </c>
      <c r="M3615" t="s">
        <v>63</v>
      </c>
      <c r="N3615" t="s">
        <v>64</v>
      </c>
      <c r="P3615" t="s">
        <v>201</v>
      </c>
      <c r="R3615">
        <v>30.6</v>
      </c>
      <c r="T3615">
        <v>24.3</v>
      </c>
      <c r="V3615">
        <v>38.9</v>
      </c>
      <c r="W3615" t="s">
        <v>66</v>
      </c>
      <c r="X3615" t="s">
        <v>67</v>
      </c>
      <c r="Y3615" t="s">
        <v>67</v>
      </c>
      <c r="Z3615" t="s">
        <v>68</v>
      </c>
      <c r="AB3615">
        <v>4</v>
      </c>
      <c r="AC3615" t="s">
        <v>61</v>
      </c>
      <c r="AJ3615" t="s">
        <v>69</v>
      </c>
      <c r="AY3615" t="s">
        <v>197</v>
      </c>
      <c r="AZ3615">
        <v>3783</v>
      </c>
      <c r="BA3615" t="s">
        <v>198</v>
      </c>
      <c r="BB3615" t="s">
        <v>199</v>
      </c>
      <c r="BC3615">
        <v>1978</v>
      </c>
      <c r="BD3615" t="s">
        <v>200</v>
      </c>
    </row>
    <row r="3616" spans="1:56" x14ac:dyDescent="0.35">
      <c r="A3616">
        <v>7786303</v>
      </c>
      <c r="B3616" t="s">
        <v>2431</v>
      </c>
      <c r="C3616" t="s">
        <v>195</v>
      </c>
      <c r="D3616" t="s">
        <v>85</v>
      </c>
      <c r="E3616" t="s">
        <v>86</v>
      </c>
      <c r="F3616" t="s">
        <v>58</v>
      </c>
      <c r="G3616" t="s">
        <v>59</v>
      </c>
      <c r="H3616" t="s">
        <v>60</v>
      </c>
      <c r="J3616" t="s">
        <v>86</v>
      </c>
      <c r="K3616" t="s">
        <v>61</v>
      </c>
      <c r="L3616" t="s">
        <v>62</v>
      </c>
      <c r="M3616" t="s">
        <v>63</v>
      </c>
      <c r="N3616" t="s">
        <v>64</v>
      </c>
      <c r="P3616" t="s">
        <v>201</v>
      </c>
      <c r="R3616">
        <v>2120</v>
      </c>
      <c r="T3616">
        <v>1580</v>
      </c>
      <c r="V3616">
        <v>2740</v>
      </c>
      <c r="W3616" t="s">
        <v>66</v>
      </c>
      <c r="X3616" t="s">
        <v>67</v>
      </c>
      <c r="Y3616" t="s">
        <v>67</v>
      </c>
      <c r="Z3616" t="s">
        <v>68</v>
      </c>
      <c r="AB3616">
        <v>4</v>
      </c>
      <c r="AC3616" t="s">
        <v>61</v>
      </c>
      <c r="AJ3616" t="s">
        <v>69</v>
      </c>
      <c r="AY3616" t="s">
        <v>1456</v>
      </c>
      <c r="AZ3616">
        <v>18272</v>
      </c>
      <c r="BA3616" t="s">
        <v>1457</v>
      </c>
      <c r="BB3616" t="s">
        <v>1458</v>
      </c>
      <c r="BC3616">
        <v>1997</v>
      </c>
      <c r="BD3616" t="s">
        <v>1459</v>
      </c>
    </row>
    <row r="3617" spans="1:56" x14ac:dyDescent="0.35">
      <c r="A3617">
        <v>7786814</v>
      </c>
      <c r="B3617" t="s">
        <v>2432</v>
      </c>
      <c r="D3617" t="s">
        <v>57</v>
      </c>
      <c r="E3617" t="s">
        <v>86</v>
      </c>
      <c r="F3617" t="s">
        <v>58</v>
      </c>
      <c r="G3617" t="s">
        <v>59</v>
      </c>
      <c r="H3617" t="s">
        <v>60</v>
      </c>
      <c r="J3617" t="s">
        <v>86</v>
      </c>
      <c r="L3617" t="s">
        <v>74</v>
      </c>
      <c r="M3617" t="s">
        <v>63</v>
      </c>
      <c r="N3617" t="s">
        <v>64</v>
      </c>
      <c r="P3617" t="s">
        <v>201</v>
      </c>
      <c r="R3617">
        <v>2.923</v>
      </c>
      <c r="T3617">
        <v>2.625</v>
      </c>
      <c r="V3617">
        <v>3.2559999999999998</v>
      </c>
      <c r="W3617" t="s">
        <v>66</v>
      </c>
      <c r="X3617" t="s">
        <v>67</v>
      </c>
      <c r="Y3617" t="s">
        <v>67</v>
      </c>
      <c r="Z3617" t="s">
        <v>68</v>
      </c>
      <c r="AB3617">
        <v>4</v>
      </c>
      <c r="AC3617" t="s">
        <v>61</v>
      </c>
      <c r="AJ3617" t="s">
        <v>69</v>
      </c>
      <c r="AY3617" t="s">
        <v>2227</v>
      </c>
      <c r="AZ3617">
        <v>5081</v>
      </c>
      <c r="BA3617" t="s">
        <v>2228</v>
      </c>
      <c r="BB3617" t="s">
        <v>2229</v>
      </c>
      <c r="BC3617">
        <v>1978</v>
      </c>
      <c r="BD3617" t="s">
        <v>90</v>
      </c>
    </row>
    <row r="3618" spans="1:56" x14ac:dyDescent="0.35">
      <c r="A3618">
        <v>7786814</v>
      </c>
      <c r="B3618" t="s">
        <v>2432</v>
      </c>
      <c r="D3618" t="s">
        <v>57</v>
      </c>
      <c r="E3618" t="s">
        <v>86</v>
      </c>
      <c r="F3618" t="s">
        <v>58</v>
      </c>
      <c r="G3618" t="s">
        <v>59</v>
      </c>
      <c r="H3618" t="s">
        <v>60</v>
      </c>
      <c r="J3618" t="s">
        <v>86</v>
      </c>
      <c r="L3618" t="s">
        <v>74</v>
      </c>
      <c r="M3618" t="s">
        <v>63</v>
      </c>
      <c r="N3618" t="s">
        <v>64</v>
      </c>
      <c r="P3618" t="s">
        <v>201</v>
      </c>
      <c r="R3618">
        <v>2.9159999999999999</v>
      </c>
      <c r="T3618">
        <v>2.5939999999999999</v>
      </c>
      <c r="V3618">
        <v>3.2789999999999999</v>
      </c>
      <c r="W3618" t="s">
        <v>66</v>
      </c>
      <c r="X3618" t="s">
        <v>67</v>
      </c>
      <c r="Y3618" t="s">
        <v>67</v>
      </c>
      <c r="Z3618" t="s">
        <v>68</v>
      </c>
      <c r="AB3618">
        <v>4</v>
      </c>
      <c r="AC3618" t="s">
        <v>61</v>
      </c>
      <c r="AJ3618" t="s">
        <v>69</v>
      </c>
      <c r="AY3618" t="s">
        <v>2227</v>
      </c>
      <c r="AZ3618">
        <v>5081</v>
      </c>
      <c r="BA3618" t="s">
        <v>2228</v>
      </c>
      <c r="BB3618" t="s">
        <v>2229</v>
      </c>
      <c r="BC3618">
        <v>1978</v>
      </c>
      <c r="BD3618" t="s">
        <v>90</v>
      </c>
    </row>
    <row r="3619" spans="1:56" x14ac:dyDescent="0.35">
      <c r="A3619">
        <v>7786814</v>
      </c>
      <c r="B3619" t="s">
        <v>2432</v>
      </c>
      <c r="D3619" t="s">
        <v>57</v>
      </c>
      <c r="E3619" t="s">
        <v>86</v>
      </c>
      <c r="F3619" t="s">
        <v>58</v>
      </c>
      <c r="G3619" t="s">
        <v>59</v>
      </c>
      <c r="H3619" t="s">
        <v>60</v>
      </c>
      <c r="J3619" t="s">
        <v>86</v>
      </c>
      <c r="L3619" t="s">
        <v>74</v>
      </c>
      <c r="M3619" t="s">
        <v>63</v>
      </c>
      <c r="N3619" t="s">
        <v>64</v>
      </c>
      <c r="P3619" t="s">
        <v>201</v>
      </c>
      <c r="R3619">
        <v>5.2089999999999996</v>
      </c>
      <c r="T3619">
        <v>4.5039999999999996</v>
      </c>
      <c r="V3619">
        <v>6.0250000000000004</v>
      </c>
      <c r="W3619" t="s">
        <v>66</v>
      </c>
      <c r="X3619" t="s">
        <v>67</v>
      </c>
      <c r="Y3619" t="s">
        <v>67</v>
      </c>
      <c r="Z3619" t="s">
        <v>68</v>
      </c>
      <c r="AB3619">
        <v>4</v>
      </c>
      <c r="AC3619" t="s">
        <v>61</v>
      </c>
      <c r="AJ3619" t="s">
        <v>69</v>
      </c>
      <c r="AY3619" t="s">
        <v>2227</v>
      </c>
      <c r="AZ3619">
        <v>5081</v>
      </c>
      <c r="BA3619" t="s">
        <v>2228</v>
      </c>
      <c r="BB3619" t="s">
        <v>2229</v>
      </c>
      <c r="BC3619">
        <v>1978</v>
      </c>
      <c r="BD3619" t="s">
        <v>90</v>
      </c>
    </row>
    <row r="3620" spans="1:56" x14ac:dyDescent="0.35">
      <c r="A3620">
        <v>7786814</v>
      </c>
      <c r="B3620" t="s">
        <v>2432</v>
      </c>
      <c r="D3620" t="s">
        <v>57</v>
      </c>
      <c r="E3620" t="s">
        <v>86</v>
      </c>
      <c r="F3620" t="s">
        <v>58</v>
      </c>
      <c r="G3620" t="s">
        <v>59</v>
      </c>
      <c r="H3620" t="s">
        <v>60</v>
      </c>
      <c r="J3620" t="s">
        <v>86</v>
      </c>
      <c r="L3620" t="s">
        <v>74</v>
      </c>
      <c r="M3620" t="s">
        <v>63</v>
      </c>
      <c r="N3620" t="s">
        <v>64</v>
      </c>
      <c r="P3620" t="s">
        <v>201</v>
      </c>
      <c r="R3620">
        <v>17.678000000000001</v>
      </c>
      <c r="W3620" t="s">
        <v>66</v>
      </c>
      <c r="X3620" t="s">
        <v>67</v>
      </c>
      <c r="Y3620" t="s">
        <v>67</v>
      </c>
      <c r="Z3620" t="s">
        <v>68</v>
      </c>
      <c r="AB3620">
        <v>4</v>
      </c>
      <c r="AC3620" t="s">
        <v>61</v>
      </c>
      <c r="AJ3620" t="s">
        <v>69</v>
      </c>
      <c r="AY3620" t="s">
        <v>2227</v>
      </c>
      <c r="AZ3620">
        <v>5081</v>
      </c>
      <c r="BA3620" t="s">
        <v>2228</v>
      </c>
      <c r="BB3620" t="s">
        <v>2229</v>
      </c>
      <c r="BC3620">
        <v>1978</v>
      </c>
      <c r="BD3620" t="s">
        <v>90</v>
      </c>
    </row>
    <row r="3621" spans="1:56" x14ac:dyDescent="0.35">
      <c r="A3621">
        <v>7786814</v>
      </c>
      <c r="B3621" t="s">
        <v>2432</v>
      </c>
      <c r="D3621" t="s">
        <v>57</v>
      </c>
      <c r="E3621" t="s">
        <v>86</v>
      </c>
      <c r="F3621" t="s">
        <v>58</v>
      </c>
      <c r="G3621" t="s">
        <v>59</v>
      </c>
      <c r="H3621" t="s">
        <v>60</v>
      </c>
      <c r="J3621" t="s">
        <v>86</v>
      </c>
      <c r="L3621" t="s">
        <v>74</v>
      </c>
      <c r="M3621" t="s">
        <v>63</v>
      </c>
      <c r="N3621" t="s">
        <v>64</v>
      </c>
      <c r="P3621" t="s">
        <v>201</v>
      </c>
      <c r="R3621">
        <v>5.1630000000000003</v>
      </c>
      <c r="T3621">
        <v>4.4710000000000001</v>
      </c>
      <c r="V3621">
        <v>5.9619999999999997</v>
      </c>
      <c r="W3621" t="s">
        <v>66</v>
      </c>
      <c r="X3621" t="s">
        <v>67</v>
      </c>
      <c r="Y3621" t="s">
        <v>67</v>
      </c>
      <c r="Z3621" t="s">
        <v>68</v>
      </c>
      <c r="AB3621">
        <v>4</v>
      </c>
      <c r="AC3621" t="s">
        <v>61</v>
      </c>
      <c r="AJ3621" t="s">
        <v>69</v>
      </c>
      <c r="AY3621" t="s">
        <v>2227</v>
      </c>
      <c r="AZ3621">
        <v>5081</v>
      </c>
      <c r="BA3621" t="s">
        <v>2228</v>
      </c>
      <c r="BB3621" t="s">
        <v>2229</v>
      </c>
      <c r="BC3621">
        <v>1978</v>
      </c>
      <c r="BD3621" t="s">
        <v>90</v>
      </c>
    </row>
    <row r="3622" spans="1:56" x14ac:dyDescent="0.35">
      <c r="A3622">
        <v>7786814</v>
      </c>
      <c r="B3622" t="s">
        <v>2432</v>
      </c>
      <c r="D3622" t="s">
        <v>57</v>
      </c>
      <c r="E3622" t="s">
        <v>86</v>
      </c>
      <c r="F3622" t="s">
        <v>58</v>
      </c>
      <c r="G3622" t="s">
        <v>59</v>
      </c>
      <c r="H3622" t="s">
        <v>60</v>
      </c>
      <c r="J3622" t="s">
        <v>86</v>
      </c>
      <c r="L3622" t="s">
        <v>74</v>
      </c>
      <c r="M3622" t="s">
        <v>63</v>
      </c>
      <c r="N3622" t="s">
        <v>64</v>
      </c>
      <c r="P3622" t="s">
        <v>201</v>
      </c>
      <c r="R3622">
        <v>5.383</v>
      </c>
      <c r="W3622" t="s">
        <v>66</v>
      </c>
      <c r="X3622" t="s">
        <v>67</v>
      </c>
      <c r="Y3622" t="s">
        <v>67</v>
      </c>
      <c r="Z3622" t="s">
        <v>68</v>
      </c>
      <c r="AB3622">
        <v>4</v>
      </c>
      <c r="AC3622" t="s">
        <v>61</v>
      </c>
      <c r="AJ3622" t="s">
        <v>69</v>
      </c>
      <c r="AY3622" t="s">
        <v>2227</v>
      </c>
      <c r="AZ3622">
        <v>5081</v>
      </c>
      <c r="BA3622" t="s">
        <v>2228</v>
      </c>
      <c r="BB3622" t="s">
        <v>2229</v>
      </c>
      <c r="BC3622">
        <v>1978</v>
      </c>
      <c r="BD3622" t="s">
        <v>90</v>
      </c>
    </row>
    <row r="3623" spans="1:56" x14ac:dyDescent="0.35">
      <c r="A3623">
        <v>7786814</v>
      </c>
      <c r="B3623" t="s">
        <v>2432</v>
      </c>
      <c r="D3623" t="s">
        <v>57</v>
      </c>
      <c r="E3623" t="s">
        <v>86</v>
      </c>
      <c r="F3623" t="s">
        <v>58</v>
      </c>
      <c r="G3623" t="s">
        <v>59</v>
      </c>
      <c r="H3623" t="s">
        <v>60</v>
      </c>
      <c r="J3623" t="s">
        <v>86</v>
      </c>
      <c r="L3623" t="s">
        <v>74</v>
      </c>
      <c r="M3623" t="s">
        <v>63</v>
      </c>
      <c r="N3623" t="s">
        <v>64</v>
      </c>
      <c r="P3623" t="s">
        <v>201</v>
      </c>
      <c r="R3623">
        <v>8.6170000000000009</v>
      </c>
      <c r="W3623" t="s">
        <v>66</v>
      </c>
      <c r="X3623" t="s">
        <v>67</v>
      </c>
      <c r="Y3623" t="s">
        <v>67</v>
      </c>
      <c r="Z3623" t="s">
        <v>68</v>
      </c>
      <c r="AB3623">
        <v>4</v>
      </c>
      <c r="AC3623" t="s">
        <v>61</v>
      </c>
      <c r="AJ3623" t="s">
        <v>69</v>
      </c>
      <c r="AY3623" t="s">
        <v>2227</v>
      </c>
      <c r="AZ3623">
        <v>5081</v>
      </c>
      <c r="BA3623" t="s">
        <v>2228</v>
      </c>
      <c r="BB3623" t="s">
        <v>2229</v>
      </c>
      <c r="BC3623">
        <v>1978</v>
      </c>
      <c r="BD3623" t="s">
        <v>90</v>
      </c>
    </row>
    <row r="3624" spans="1:56" x14ac:dyDescent="0.35">
      <c r="A3624">
        <v>7786814</v>
      </c>
      <c r="B3624" t="s">
        <v>2432</v>
      </c>
      <c r="D3624" t="s">
        <v>57</v>
      </c>
      <c r="E3624" t="s">
        <v>86</v>
      </c>
      <c r="F3624" t="s">
        <v>58</v>
      </c>
      <c r="G3624" t="s">
        <v>59</v>
      </c>
      <c r="H3624" t="s">
        <v>60</v>
      </c>
      <c r="J3624" t="s">
        <v>86</v>
      </c>
      <c r="L3624" t="s">
        <v>74</v>
      </c>
      <c r="M3624" t="s">
        <v>63</v>
      </c>
      <c r="N3624" t="s">
        <v>64</v>
      </c>
      <c r="P3624" t="s">
        <v>201</v>
      </c>
      <c r="R3624">
        <v>12.356</v>
      </c>
      <c r="W3624" t="s">
        <v>66</v>
      </c>
      <c r="X3624" t="s">
        <v>67</v>
      </c>
      <c r="Y3624" t="s">
        <v>67</v>
      </c>
      <c r="Z3624" t="s">
        <v>68</v>
      </c>
      <c r="AB3624">
        <v>4</v>
      </c>
      <c r="AC3624" t="s">
        <v>61</v>
      </c>
      <c r="AJ3624" t="s">
        <v>69</v>
      </c>
      <c r="AY3624" t="s">
        <v>2227</v>
      </c>
      <c r="AZ3624">
        <v>5081</v>
      </c>
      <c r="BA3624" t="s">
        <v>2228</v>
      </c>
      <c r="BB3624" t="s">
        <v>2229</v>
      </c>
      <c r="BC3624">
        <v>1978</v>
      </c>
      <c r="BD3624" t="s">
        <v>90</v>
      </c>
    </row>
    <row r="3625" spans="1:56" x14ac:dyDescent="0.35">
      <c r="A3625">
        <v>7787475</v>
      </c>
      <c r="B3625" t="s">
        <v>2433</v>
      </c>
      <c r="D3625" t="s">
        <v>85</v>
      </c>
      <c r="E3625" t="s">
        <v>86</v>
      </c>
      <c r="F3625" t="s">
        <v>58</v>
      </c>
      <c r="G3625" t="s">
        <v>59</v>
      </c>
      <c r="H3625" t="s">
        <v>60</v>
      </c>
      <c r="J3625" t="s">
        <v>86</v>
      </c>
      <c r="L3625" t="s">
        <v>62</v>
      </c>
      <c r="M3625" t="s">
        <v>63</v>
      </c>
      <c r="N3625" t="s">
        <v>64</v>
      </c>
      <c r="P3625" t="s">
        <v>201</v>
      </c>
      <c r="R3625">
        <v>0.15</v>
      </c>
      <c r="W3625" t="s">
        <v>66</v>
      </c>
      <c r="X3625" t="s">
        <v>67</v>
      </c>
      <c r="Y3625" t="s">
        <v>67</v>
      </c>
      <c r="Z3625" t="s">
        <v>68</v>
      </c>
      <c r="AB3625">
        <v>4</v>
      </c>
      <c r="AC3625" t="s">
        <v>61</v>
      </c>
      <c r="AJ3625" t="s">
        <v>69</v>
      </c>
      <c r="AY3625" t="s">
        <v>275</v>
      </c>
      <c r="AZ3625">
        <v>2042</v>
      </c>
      <c r="BA3625" t="s">
        <v>1490</v>
      </c>
      <c r="BB3625" t="s">
        <v>1491</v>
      </c>
      <c r="BC3625">
        <v>1960</v>
      </c>
      <c r="BD3625" t="s">
        <v>90</v>
      </c>
    </row>
    <row r="3626" spans="1:56" x14ac:dyDescent="0.35">
      <c r="A3626">
        <v>7787475</v>
      </c>
      <c r="B3626" t="s">
        <v>2433</v>
      </c>
      <c r="D3626" t="s">
        <v>85</v>
      </c>
      <c r="E3626" t="s">
        <v>86</v>
      </c>
      <c r="F3626" t="s">
        <v>58</v>
      </c>
      <c r="G3626" t="s">
        <v>59</v>
      </c>
      <c r="H3626" t="s">
        <v>60</v>
      </c>
      <c r="J3626" t="s">
        <v>86</v>
      </c>
      <c r="L3626" t="s">
        <v>62</v>
      </c>
      <c r="M3626" t="s">
        <v>63</v>
      </c>
      <c r="N3626" t="s">
        <v>64</v>
      </c>
      <c r="P3626" t="s">
        <v>201</v>
      </c>
      <c r="R3626">
        <v>15</v>
      </c>
      <c r="W3626" t="s">
        <v>66</v>
      </c>
      <c r="X3626" t="s">
        <v>67</v>
      </c>
      <c r="Y3626" t="s">
        <v>67</v>
      </c>
      <c r="Z3626" t="s">
        <v>68</v>
      </c>
      <c r="AB3626">
        <v>4</v>
      </c>
      <c r="AC3626" t="s">
        <v>61</v>
      </c>
      <c r="AJ3626" t="s">
        <v>69</v>
      </c>
      <c r="AY3626" t="s">
        <v>275</v>
      </c>
      <c r="AZ3626">
        <v>2042</v>
      </c>
      <c r="BA3626" t="s">
        <v>1490</v>
      </c>
      <c r="BB3626" t="s">
        <v>1491</v>
      </c>
      <c r="BC3626">
        <v>1960</v>
      </c>
      <c r="BD3626" t="s">
        <v>90</v>
      </c>
    </row>
    <row r="3627" spans="1:56" x14ac:dyDescent="0.35">
      <c r="A3627">
        <v>7787475</v>
      </c>
      <c r="B3627" t="s">
        <v>2433</v>
      </c>
      <c r="C3627" t="s">
        <v>195</v>
      </c>
      <c r="D3627" t="s">
        <v>85</v>
      </c>
      <c r="E3627" t="s">
        <v>86</v>
      </c>
      <c r="F3627" t="s">
        <v>58</v>
      </c>
      <c r="G3627" t="s">
        <v>59</v>
      </c>
      <c r="H3627" t="s">
        <v>60</v>
      </c>
      <c r="I3627" t="s">
        <v>129</v>
      </c>
      <c r="J3627" t="s">
        <v>86</v>
      </c>
      <c r="L3627" t="s">
        <v>62</v>
      </c>
      <c r="M3627" t="s">
        <v>63</v>
      </c>
      <c r="N3627" t="s">
        <v>64</v>
      </c>
      <c r="O3627">
        <v>5</v>
      </c>
      <c r="P3627" t="s">
        <v>201</v>
      </c>
      <c r="Q3627" t="s">
        <v>153</v>
      </c>
      <c r="R3627">
        <v>100</v>
      </c>
      <c r="W3627" t="s">
        <v>66</v>
      </c>
      <c r="X3627" t="s">
        <v>67</v>
      </c>
      <c r="Y3627" t="s">
        <v>67</v>
      </c>
      <c r="Z3627" t="s">
        <v>68</v>
      </c>
      <c r="AB3627">
        <v>4</v>
      </c>
      <c r="AC3627" t="s">
        <v>61</v>
      </c>
      <c r="AJ3627" t="s">
        <v>69</v>
      </c>
      <c r="AY3627" t="s">
        <v>298</v>
      </c>
      <c r="AZ3627">
        <v>11951</v>
      </c>
      <c r="BA3627" t="s">
        <v>299</v>
      </c>
      <c r="BB3627" t="s">
        <v>300</v>
      </c>
      <c r="BC3627">
        <v>1986</v>
      </c>
      <c r="BD3627" t="s">
        <v>90</v>
      </c>
    </row>
    <row r="3628" spans="1:56" x14ac:dyDescent="0.35">
      <c r="A3628">
        <v>7789006</v>
      </c>
      <c r="B3628" t="s">
        <v>2434</v>
      </c>
      <c r="D3628" t="s">
        <v>57</v>
      </c>
      <c r="E3628" t="s">
        <v>86</v>
      </c>
      <c r="F3628" t="s">
        <v>58</v>
      </c>
      <c r="G3628" t="s">
        <v>59</v>
      </c>
      <c r="H3628" t="s">
        <v>60</v>
      </c>
      <c r="J3628" t="s">
        <v>86</v>
      </c>
      <c r="K3628" t="s">
        <v>196</v>
      </c>
      <c r="L3628" t="s">
        <v>62</v>
      </c>
      <c r="M3628" t="s">
        <v>63</v>
      </c>
      <c r="N3628" t="s">
        <v>64</v>
      </c>
      <c r="P3628" t="s">
        <v>201</v>
      </c>
      <c r="R3628">
        <v>39.799999999999997</v>
      </c>
      <c r="T3628">
        <v>38.799999999999997</v>
      </c>
      <c r="V3628">
        <v>40.9</v>
      </c>
      <c r="W3628" t="s">
        <v>66</v>
      </c>
      <c r="X3628" t="s">
        <v>67</v>
      </c>
      <c r="Y3628" t="s">
        <v>67</v>
      </c>
      <c r="Z3628" t="s">
        <v>68</v>
      </c>
      <c r="AB3628">
        <v>4</v>
      </c>
      <c r="AC3628" t="s">
        <v>61</v>
      </c>
      <c r="AJ3628" t="s">
        <v>69</v>
      </c>
      <c r="AY3628" t="s">
        <v>2435</v>
      </c>
      <c r="AZ3628">
        <v>7772</v>
      </c>
      <c r="BA3628" t="s">
        <v>2436</v>
      </c>
      <c r="BB3628" t="s">
        <v>2437</v>
      </c>
      <c r="BC3628">
        <v>1986</v>
      </c>
      <c r="BD3628" t="s">
        <v>2438</v>
      </c>
    </row>
    <row r="3629" spans="1:56" x14ac:dyDescent="0.35">
      <c r="A3629">
        <v>7789006</v>
      </c>
      <c r="B3629" t="s">
        <v>2434</v>
      </c>
      <c r="D3629" t="s">
        <v>85</v>
      </c>
      <c r="E3629" t="s">
        <v>86</v>
      </c>
      <c r="F3629" t="s">
        <v>58</v>
      </c>
      <c r="G3629" t="s">
        <v>59</v>
      </c>
      <c r="H3629" t="s">
        <v>60</v>
      </c>
      <c r="J3629" t="s">
        <v>86</v>
      </c>
      <c r="L3629" t="s">
        <v>62</v>
      </c>
      <c r="M3629" t="s">
        <v>63</v>
      </c>
      <c r="N3629" t="s">
        <v>64</v>
      </c>
      <c r="P3629" t="s">
        <v>201</v>
      </c>
      <c r="R3629">
        <v>45.6</v>
      </c>
      <c r="T3629">
        <v>32.200000000000003</v>
      </c>
      <c r="V3629">
        <v>59.6</v>
      </c>
      <c r="W3629" t="s">
        <v>66</v>
      </c>
      <c r="X3629" t="s">
        <v>67</v>
      </c>
      <c r="Y3629" t="s">
        <v>67</v>
      </c>
      <c r="Z3629" t="s">
        <v>68</v>
      </c>
      <c r="AB3629">
        <v>4</v>
      </c>
      <c r="AC3629" t="s">
        <v>61</v>
      </c>
      <c r="AJ3629" t="s">
        <v>69</v>
      </c>
      <c r="AY3629" t="s">
        <v>168</v>
      </c>
      <c r="AZ3629">
        <v>2033</v>
      </c>
      <c r="BA3629" t="s">
        <v>1385</v>
      </c>
      <c r="BB3629" t="s">
        <v>1386</v>
      </c>
      <c r="BC3629">
        <v>1966</v>
      </c>
      <c r="BD3629" t="s">
        <v>90</v>
      </c>
    </row>
    <row r="3630" spans="1:56" x14ac:dyDescent="0.35">
      <c r="A3630">
        <v>7789006</v>
      </c>
      <c r="B3630" t="s">
        <v>2434</v>
      </c>
      <c r="D3630" t="s">
        <v>57</v>
      </c>
      <c r="E3630" t="s">
        <v>86</v>
      </c>
      <c r="F3630" t="s">
        <v>58</v>
      </c>
      <c r="G3630" t="s">
        <v>59</v>
      </c>
      <c r="H3630" t="s">
        <v>60</v>
      </c>
      <c r="J3630" t="s">
        <v>86</v>
      </c>
      <c r="L3630" t="s">
        <v>62</v>
      </c>
      <c r="M3630" t="s">
        <v>63</v>
      </c>
      <c r="N3630" t="s">
        <v>64</v>
      </c>
      <c r="P3630" t="s">
        <v>201</v>
      </c>
      <c r="R3630">
        <v>46</v>
      </c>
      <c r="T3630">
        <v>44</v>
      </c>
      <c r="V3630">
        <v>47</v>
      </c>
      <c r="W3630" t="s">
        <v>66</v>
      </c>
      <c r="X3630" t="s">
        <v>67</v>
      </c>
      <c r="Y3630" t="s">
        <v>67</v>
      </c>
      <c r="Z3630" t="s">
        <v>68</v>
      </c>
      <c r="AB3630">
        <v>4</v>
      </c>
      <c r="AC3630" t="s">
        <v>61</v>
      </c>
      <c r="AJ3630" t="s">
        <v>69</v>
      </c>
      <c r="AY3630" t="s">
        <v>2382</v>
      </c>
      <c r="AZ3630">
        <v>12721</v>
      </c>
      <c r="BA3630" t="s">
        <v>2383</v>
      </c>
      <c r="BB3630" t="s">
        <v>2384</v>
      </c>
      <c r="BC3630">
        <v>1987</v>
      </c>
      <c r="BD3630" t="s">
        <v>90</v>
      </c>
    </row>
    <row r="3631" spans="1:56" x14ac:dyDescent="0.35">
      <c r="A3631">
        <v>7789437</v>
      </c>
      <c r="B3631" t="s">
        <v>2439</v>
      </c>
      <c r="D3631" t="s">
        <v>57</v>
      </c>
      <c r="E3631" t="s">
        <v>86</v>
      </c>
      <c r="F3631" t="s">
        <v>58</v>
      </c>
      <c r="G3631" t="s">
        <v>59</v>
      </c>
      <c r="H3631" t="s">
        <v>60</v>
      </c>
      <c r="J3631" t="s">
        <v>86</v>
      </c>
      <c r="L3631" t="s">
        <v>62</v>
      </c>
      <c r="M3631" t="s">
        <v>63</v>
      </c>
      <c r="N3631" t="s">
        <v>64</v>
      </c>
      <c r="O3631" t="s">
        <v>267</v>
      </c>
      <c r="P3631" t="s">
        <v>1296</v>
      </c>
      <c r="R3631">
        <v>91.9</v>
      </c>
      <c r="T3631">
        <v>56.3</v>
      </c>
      <c r="V3631">
        <v>132.9</v>
      </c>
      <c r="W3631" t="s">
        <v>66</v>
      </c>
      <c r="X3631" t="s">
        <v>67</v>
      </c>
      <c r="Y3631" t="s">
        <v>67</v>
      </c>
      <c r="Z3631" t="s">
        <v>68</v>
      </c>
      <c r="AB3631">
        <v>4</v>
      </c>
      <c r="AC3631" t="s">
        <v>61</v>
      </c>
      <c r="AJ3631" t="s">
        <v>69</v>
      </c>
      <c r="AY3631" t="s">
        <v>268</v>
      </c>
      <c r="AZ3631">
        <v>2965</v>
      </c>
      <c r="BA3631" t="s">
        <v>269</v>
      </c>
      <c r="BB3631" t="s">
        <v>270</v>
      </c>
      <c r="BC3631">
        <v>1981</v>
      </c>
      <c r="BD3631" t="s">
        <v>90</v>
      </c>
    </row>
    <row r="3632" spans="1:56" x14ac:dyDescent="0.35">
      <c r="A3632">
        <v>8001352</v>
      </c>
      <c r="B3632" t="s">
        <v>2440</v>
      </c>
      <c r="C3632" t="s">
        <v>84</v>
      </c>
      <c r="D3632" t="s">
        <v>85</v>
      </c>
      <c r="E3632">
        <v>100</v>
      </c>
      <c r="F3632" t="s">
        <v>58</v>
      </c>
      <c r="G3632" t="s">
        <v>59</v>
      </c>
      <c r="H3632" t="s">
        <v>60</v>
      </c>
      <c r="J3632" t="s">
        <v>86</v>
      </c>
      <c r="L3632" t="s">
        <v>62</v>
      </c>
      <c r="M3632" t="s">
        <v>63</v>
      </c>
      <c r="N3632" t="s">
        <v>64</v>
      </c>
      <c r="P3632" t="s">
        <v>65</v>
      </c>
      <c r="R3632">
        <v>7.4999999999999997E-3</v>
      </c>
      <c r="W3632" t="s">
        <v>66</v>
      </c>
      <c r="X3632" t="s">
        <v>67</v>
      </c>
      <c r="Y3632" t="s">
        <v>67</v>
      </c>
      <c r="Z3632" t="s">
        <v>68</v>
      </c>
      <c r="AB3632">
        <v>4</v>
      </c>
      <c r="AC3632" t="s">
        <v>61</v>
      </c>
      <c r="AJ3632" t="s">
        <v>69</v>
      </c>
      <c r="AY3632" t="s">
        <v>87</v>
      </c>
      <c r="AZ3632">
        <v>878</v>
      </c>
      <c r="BA3632" t="s">
        <v>88</v>
      </c>
      <c r="BB3632" t="s">
        <v>89</v>
      </c>
      <c r="BC3632">
        <v>1959</v>
      </c>
      <c r="BD3632" t="s">
        <v>90</v>
      </c>
    </row>
    <row r="3633" spans="1:56" x14ac:dyDescent="0.35">
      <c r="A3633">
        <v>8001352</v>
      </c>
      <c r="B3633" t="s">
        <v>2440</v>
      </c>
      <c r="E3633">
        <v>100</v>
      </c>
      <c r="F3633" t="s">
        <v>58</v>
      </c>
      <c r="G3633" t="s">
        <v>59</v>
      </c>
      <c r="H3633" t="s">
        <v>60</v>
      </c>
      <c r="J3633" t="s">
        <v>86</v>
      </c>
      <c r="L3633" t="s">
        <v>62</v>
      </c>
      <c r="M3633" t="s">
        <v>63</v>
      </c>
      <c r="N3633" t="s">
        <v>64</v>
      </c>
      <c r="P3633" t="s">
        <v>65</v>
      </c>
      <c r="R3633">
        <v>0.02</v>
      </c>
      <c r="T3633">
        <v>1.4999999999999999E-2</v>
      </c>
      <c r="V3633">
        <v>2.7E-2</v>
      </c>
      <c r="W3633" t="s">
        <v>66</v>
      </c>
      <c r="X3633" t="s">
        <v>67</v>
      </c>
      <c r="Y3633" t="s">
        <v>67</v>
      </c>
      <c r="Z3633" t="s">
        <v>68</v>
      </c>
      <c r="AB3633">
        <v>4</v>
      </c>
      <c r="AC3633" t="s">
        <v>61</v>
      </c>
      <c r="AJ3633" t="s">
        <v>69</v>
      </c>
      <c r="AY3633" t="s">
        <v>96</v>
      </c>
      <c r="AZ3633">
        <v>6797</v>
      </c>
      <c r="BA3633" t="s">
        <v>97</v>
      </c>
      <c r="BB3633" t="s">
        <v>98</v>
      </c>
      <c r="BC3633">
        <v>1986</v>
      </c>
      <c r="BD3633" t="s">
        <v>90</v>
      </c>
    </row>
    <row r="3634" spans="1:56" x14ac:dyDescent="0.35">
      <c r="A3634">
        <v>8001352</v>
      </c>
      <c r="B3634" t="s">
        <v>2440</v>
      </c>
      <c r="E3634">
        <v>100</v>
      </c>
      <c r="F3634" t="s">
        <v>58</v>
      </c>
      <c r="G3634" t="s">
        <v>59</v>
      </c>
      <c r="H3634" t="s">
        <v>60</v>
      </c>
      <c r="J3634" t="s">
        <v>86</v>
      </c>
      <c r="L3634" t="s">
        <v>62</v>
      </c>
      <c r="M3634" t="s">
        <v>63</v>
      </c>
      <c r="N3634" t="s">
        <v>64</v>
      </c>
      <c r="P3634" t="s">
        <v>65</v>
      </c>
      <c r="R3634">
        <v>1.7999999999999999E-2</v>
      </c>
      <c r="T3634">
        <v>1.2E-2</v>
      </c>
      <c r="V3634">
        <v>2.7E-2</v>
      </c>
      <c r="W3634" t="s">
        <v>66</v>
      </c>
      <c r="X3634" t="s">
        <v>67</v>
      </c>
      <c r="Y3634" t="s">
        <v>67</v>
      </c>
      <c r="Z3634" t="s">
        <v>68</v>
      </c>
      <c r="AB3634">
        <v>4</v>
      </c>
      <c r="AC3634" t="s">
        <v>61</v>
      </c>
      <c r="AJ3634" t="s">
        <v>69</v>
      </c>
      <c r="AY3634" t="s">
        <v>96</v>
      </c>
      <c r="AZ3634">
        <v>6797</v>
      </c>
      <c r="BA3634" t="s">
        <v>97</v>
      </c>
      <c r="BB3634" t="s">
        <v>98</v>
      </c>
      <c r="BC3634">
        <v>1986</v>
      </c>
      <c r="BD3634" t="s">
        <v>90</v>
      </c>
    </row>
    <row r="3635" spans="1:56" x14ac:dyDescent="0.35">
      <c r="A3635">
        <v>8001352</v>
      </c>
      <c r="B3635" t="s">
        <v>2440</v>
      </c>
      <c r="E3635">
        <v>100</v>
      </c>
      <c r="F3635" t="s">
        <v>58</v>
      </c>
      <c r="G3635" t="s">
        <v>59</v>
      </c>
      <c r="H3635" t="s">
        <v>60</v>
      </c>
      <c r="J3635" t="s">
        <v>86</v>
      </c>
      <c r="L3635" t="s">
        <v>74</v>
      </c>
      <c r="M3635" t="s">
        <v>63</v>
      </c>
      <c r="N3635" t="s">
        <v>64</v>
      </c>
      <c r="P3635" t="s">
        <v>65</v>
      </c>
      <c r="R3635">
        <v>5.5999999999999999E-3</v>
      </c>
      <c r="T3635">
        <v>3.8999999999999998E-3</v>
      </c>
      <c r="V3635">
        <v>8.0000000000000002E-3</v>
      </c>
      <c r="W3635" t="s">
        <v>66</v>
      </c>
      <c r="X3635" t="s">
        <v>67</v>
      </c>
      <c r="Y3635" t="s">
        <v>67</v>
      </c>
      <c r="Z3635" t="s">
        <v>68</v>
      </c>
      <c r="AB3635">
        <v>4</v>
      </c>
      <c r="AC3635" t="s">
        <v>61</v>
      </c>
      <c r="AJ3635" t="s">
        <v>69</v>
      </c>
      <c r="AY3635" t="s">
        <v>96</v>
      </c>
      <c r="AZ3635">
        <v>6797</v>
      </c>
      <c r="BA3635" t="s">
        <v>97</v>
      </c>
      <c r="BB3635" t="s">
        <v>98</v>
      </c>
      <c r="BC3635">
        <v>1986</v>
      </c>
      <c r="BD3635" t="s">
        <v>90</v>
      </c>
    </row>
    <row r="3636" spans="1:56" x14ac:dyDescent="0.35">
      <c r="A3636">
        <v>8001352</v>
      </c>
      <c r="B3636" t="s">
        <v>2440</v>
      </c>
      <c r="C3636" t="s">
        <v>84</v>
      </c>
      <c r="D3636" t="s">
        <v>85</v>
      </c>
      <c r="E3636">
        <v>100</v>
      </c>
      <c r="F3636" t="s">
        <v>58</v>
      </c>
      <c r="G3636" t="s">
        <v>59</v>
      </c>
      <c r="H3636" t="s">
        <v>60</v>
      </c>
      <c r="J3636" t="s">
        <v>86</v>
      </c>
      <c r="L3636" t="s">
        <v>62</v>
      </c>
      <c r="M3636" t="s">
        <v>63</v>
      </c>
      <c r="N3636" t="s">
        <v>64</v>
      </c>
      <c r="P3636" t="s">
        <v>65</v>
      </c>
      <c r="R3636">
        <v>5.1000000000000004E-3</v>
      </c>
      <c r="W3636" t="s">
        <v>66</v>
      </c>
      <c r="X3636" t="s">
        <v>67</v>
      </c>
      <c r="Y3636" t="s">
        <v>67</v>
      </c>
      <c r="Z3636" t="s">
        <v>68</v>
      </c>
      <c r="AB3636">
        <v>4</v>
      </c>
      <c r="AC3636" t="s">
        <v>61</v>
      </c>
      <c r="AJ3636" t="s">
        <v>69</v>
      </c>
      <c r="AY3636" t="s">
        <v>87</v>
      </c>
      <c r="AZ3636">
        <v>878</v>
      </c>
      <c r="BA3636" t="s">
        <v>88</v>
      </c>
      <c r="BB3636" t="s">
        <v>89</v>
      </c>
      <c r="BC3636">
        <v>1959</v>
      </c>
      <c r="BD3636" t="s">
        <v>90</v>
      </c>
    </row>
    <row r="3637" spans="1:56" x14ac:dyDescent="0.35">
      <c r="A3637">
        <v>8001352</v>
      </c>
      <c r="B3637" t="s">
        <v>2440</v>
      </c>
      <c r="D3637" t="s">
        <v>85</v>
      </c>
      <c r="E3637" t="s">
        <v>86</v>
      </c>
      <c r="F3637" t="s">
        <v>58</v>
      </c>
      <c r="G3637" t="s">
        <v>59</v>
      </c>
      <c r="H3637" t="s">
        <v>60</v>
      </c>
      <c r="J3637" t="s">
        <v>86</v>
      </c>
      <c r="M3637" t="s">
        <v>63</v>
      </c>
      <c r="N3637" t="s">
        <v>64</v>
      </c>
      <c r="P3637" t="s">
        <v>65</v>
      </c>
      <c r="R3637">
        <v>1.2999999999999999E-2</v>
      </c>
      <c r="W3637" t="s">
        <v>66</v>
      </c>
      <c r="X3637" t="s">
        <v>67</v>
      </c>
      <c r="Y3637" t="s">
        <v>67</v>
      </c>
      <c r="Z3637" t="s">
        <v>68</v>
      </c>
      <c r="AB3637">
        <v>4</v>
      </c>
      <c r="AC3637" t="s">
        <v>61</v>
      </c>
      <c r="AJ3637" t="s">
        <v>69</v>
      </c>
      <c r="AY3637" t="s">
        <v>618</v>
      </c>
      <c r="AZ3637">
        <v>2082</v>
      </c>
      <c r="BA3637" t="s">
        <v>619</v>
      </c>
      <c r="BB3637" t="s">
        <v>620</v>
      </c>
      <c r="BC3637">
        <v>1960</v>
      </c>
      <c r="BD3637" t="s">
        <v>90</v>
      </c>
    </row>
    <row r="3638" spans="1:56" x14ac:dyDescent="0.35">
      <c r="A3638">
        <v>8001352</v>
      </c>
      <c r="B3638" t="s">
        <v>2440</v>
      </c>
      <c r="C3638" t="s">
        <v>91</v>
      </c>
      <c r="D3638" t="s">
        <v>57</v>
      </c>
      <c r="E3638">
        <v>100</v>
      </c>
      <c r="F3638" t="s">
        <v>58</v>
      </c>
      <c r="G3638" t="s">
        <v>59</v>
      </c>
      <c r="H3638" t="s">
        <v>60</v>
      </c>
      <c r="J3638" t="s">
        <v>86</v>
      </c>
      <c r="L3638" t="s">
        <v>74</v>
      </c>
      <c r="M3638" t="s">
        <v>63</v>
      </c>
      <c r="N3638" t="s">
        <v>64</v>
      </c>
      <c r="P3638" t="s">
        <v>65</v>
      </c>
      <c r="R3638">
        <v>5.0000000000000001E-3</v>
      </c>
      <c r="T3638">
        <v>3.3999999999999998E-3</v>
      </c>
      <c r="V3638">
        <v>7.4000000000000003E-3</v>
      </c>
      <c r="W3638" t="s">
        <v>66</v>
      </c>
      <c r="X3638" t="s">
        <v>67</v>
      </c>
      <c r="Y3638" t="s">
        <v>67</v>
      </c>
      <c r="Z3638" t="s">
        <v>68</v>
      </c>
      <c r="AB3638">
        <v>4</v>
      </c>
      <c r="AC3638" t="s">
        <v>61</v>
      </c>
      <c r="AJ3638" t="s">
        <v>69</v>
      </c>
      <c r="AY3638" t="s">
        <v>2441</v>
      </c>
      <c r="AZ3638">
        <v>491</v>
      </c>
      <c r="BA3638" t="s">
        <v>2442</v>
      </c>
      <c r="BB3638" t="s">
        <v>2443</v>
      </c>
      <c r="BC3638">
        <v>1980</v>
      </c>
      <c r="BD3638" t="s">
        <v>90</v>
      </c>
    </row>
    <row r="3639" spans="1:56" x14ac:dyDescent="0.35">
      <c r="A3639">
        <v>8001352</v>
      </c>
      <c r="B3639" t="s">
        <v>2440</v>
      </c>
      <c r="E3639">
        <v>100</v>
      </c>
      <c r="F3639" t="s">
        <v>58</v>
      </c>
      <c r="G3639" t="s">
        <v>59</v>
      </c>
      <c r="H3639" t="s">
        <v>60</v>
      </c>
      <c r="J3639" t="s">
        <v>86</v>
      </c>
      <c r="L3639" t="s">
        <v>74</v>
      </c>
      <c r="M3639" t="s">
        <v>63</v>
      </c>
      <c r="N3639" t="s">
        <v>64</v>
      </c>
      <c r="P3639" t="s">
        <v>65</v>
      </c>
      <c r="R3639">
        <v>6.8999999999999999E-3</v>
      </c>
      <c r="T3639">
        <v>6.4000000000000003E-3</v>
      </c>
      <c r="V3639">
        <v>7.4000000000000003E-3</v>
      </c>
      <c r="W3639" t="s">
        <v>66</v>
      </c>
      <c r="X3639" t="s">
        <v>67</v>
      </c>
      <c r="Y3639" t="s">
        <v>67</v>
      </c>
      <c r="Z3639" t="s">
        <v>68</v>
      </c>
      <c r="AB3639">
        <v>4</v>
      </c>
      <c r="AC3639" t="s">
        <v>61</v>
      </c>
      <c r="AJ3639" t="s">
        <v>69</v>
      </c>
      <c r="AY3639" t="s">
        <v>96</v>
      </c>
      <c r="AZ3639">
        <v>6797</v>
      </c>
      <c r="BA3639" t="s">
        <v>97</v>
      </c>
      <c r="BB3639" t="s">
        <v>98</v>
      </c>
      <c r="BC3639">
        <v>1986</v>
      </c>
      <c r="BD3639" t="s">
        <v>90</v>
      </c>
    </row>
    <row r="3640" spans="1:56" x14ac:dyDescent="0.35">
      <c r="A3640">
        <v>8001352</v>
      </c>
      <c r="B3640" t="s">
        <v>2440</v>
      </c>
      <c r="E3640">
        <v>100</v>
      </c>
      <c r="F3640" t="s">
        <v>58</v>
      </c>
      <c r="G3640" t="s">
        <v>59</v>
      </c>
      <c r="H3640" t="s">
        <v>60</v>
      </c>
      <c r="J3640" t="s">
        <v>86</v>
      </c>
      <c r="L3640" t="s">
        <v>62</v>
      </c>
      <c r="M3640" t="s">
        <v>63</v>
      </c>
      <c r="N3640" t="s">
        <v>64</v>
      </c>
      <c r="P3640" t="s">
        <v>65</v>
      </c>
      <c r="R3640">
        <v>1.4E-2</v>
      </c>
      <c r="T3640">
        <v>8.9999999999999993E-3</v>
      </c>
      <c r="V3640">
        <v>2.1999999999999999E-2</v>
      </c>
      <c r="W3640" t="s">
        <v>66</v>
      </c>
      <c r="X3640" t="s">
        <v>67</v>
      </c>
      <c r="Y3640" t="s">
        <v>67</v>
      </c>
      <c r="Z3640" t="s">
        <v>68</v>
      </c>
      <c r="AB3640">
        <v>4</v>
      </c>
      <c r="AC3640" t="s">
        <v>61</v>
      </c>
      <c r="AJ3640" t="s">
        <v>69</v>
      </c>
      <c r="AY3640" t="s">
        <v>96</v>
      </c>
      <c r="AZ3640">
        <v>6797</v>
      </c>
      <c r="BA3640" t="s">
        <v>97</v>
      </c>
      <c r="BB3640" t="s">
        <v>98</v>
      </c>
      <c r="BC3640">
        <v>1986</v>
      </c>
      <c r="BD3640" t="s">
        <v>90</v>
      </c>
    </row>
    <row r="3641" spans="1:56" x14ac:dyDescent="0.35">
      <c r="A3641">
        <v>8001352</v>
      </c>
      <c r="B3641" t="s">
        <v>2440</v>
      </c>
      <c r="E3641">
        <v>100</v>
      </c>
      <c r="F3641" t="s">
        <v>58</v>
      </c>
      <c r="G3641" t="s">
        <v>59</v>
      </c>
      <c r="H3641" t="s">
        <v>60</v>
      </c>
      <c r="J3641" t="s">
        <v>86</v>
      </c>
      <c r="L3641" t="s">
        <v>62</v>
      </c>
      <c r="M3641" t="s">
        <v>63</v>
      </c>
      <c r="N3641" t="s">
        <v>64</v>
      </c>
      <c r="P3641" t="s">
        <v>65</v>
      </c>
      <c r="R3641">
        <v>1.6400000000000001E-2</v>
      </c>
      <c r="T3641">
        <v>1.0200000000000001E-2</v>
      </c>
      <c r="V3641">
        <v>2.18E-2</v>
      </c>
      <c r="W3641" t="s">
        <v>66</v>
      </c>
      <c r="X3641" t="s">
        <v>67</v>
      </c>
      <c r="Y3641" t="s">
        <v>67</v>
      </c>
      <c r="Z3641" t="s">
        <v>68</v>
      </c>
      <c r="AB3641">
        <v>4</v>
      </c>
      <c r="AC3641" t="s">
        <v>61</v>
      </c>
      <c r="AJ3641" t="s">
        <v>69</v>
      </c>
      <c r="AY3641" t="s">
        <v>96</v>
      </c>
      <c r="AZ3641">
        <v>6797</v>
      </c>
      <c r="BA3641" t="s">
        <v>97</v>
      </c>
      <c r="BB3641" t="s">
        <v>98</v>
      </c>
      <c r="BC3641">
        <v>1986</v>
      </c>
      <c r="BD3641" t="s">
        <v>90</v>
      </c>
    </row>
    <row r="3642" spans="1:56" x14ac:dyDescent="0.35">
      <c r="A3642">
        <v>8001352</v>
      </c>
      <c r="B3642" t="s">
        <v>2440</v>
      </c>
      <c r="E3642">
        <v>100</v>
      </c>
      <c r="F3642" t="s">
        <v>58</v>
      </c>
      <c r="G3642" t="s">
        <v>59</v>
      </c>
      <c r="H3642" t="s">
        <v>60</v>
      </c>
      <c r="J3642" t="s">
        <v>86</v>
      </c>
      <c r="L3642" t="s">
        <v>62</v>
      </c>
      <c r="M3642" t="s">
        <v>63</v>
      </c>
      <c r="N3642" t="s">
        <v>64</v>
      </c>
      <c r="P3642" t="s">
        <v>65</v>
      </c>
      <c r="R3642">
        <v>2.3E-2</v>
      </c>
      <c r="T3642">
        <v>1.7999999999999999E-2</v>
      </c>
      <c r="V3642">
        <v>2.9000000000000001E-2</v>
      </c>
      <c r="W3642" t="s">
        <v>66</v>
      </c>
      <c r="X3642" t="s">
        <v>67</v>
      </c>
      <c r="Y3642" t="s">
        <v>67</v>
      </c>
      <c r="Z3642" t="s">
        <v>68</v>
      </c>
      <c r="AB3642">
        <v>4</v>
      </c>
      <c r="AC3642" t="s">
        <v>61</v>
      </c>
      <c r="AJ3642" t="s">
        <v>69</v>
      </c>
      <c r="AY3642" t="s">
        <v>96</v>
      </c>
      <c r="AZ3642">
        <v>6797</v>
      </c>
      <c r="BA3642" t="s">
        <v>97</v>
      </c>
      <c r="BB3642" t="s">
        <v>98</v>
      </c>
      <c r="BC3642">
        <v>1986</v>
      </c>
      <c r="BD3642" t="s">
        <v>90</v>
      </c>
    </row>
    <row r="3643" spans="1:56" x14ac:dyDescent="0.35">
      <c r="A3643">
        <v>8001352</v>
      </c>
      <c r="B3643" t="s">
        <v>2440</v>
      </c>
      <c r="D3643" t="s">
        <v>57</v>
      </c>
      <c r="E3643" t="s">
        <v>86</v>
      </c>
      <c r="F3643" t="s">
        <v>58</v>
      </c>
      <c r="G3643" t="s">
        <v>59</v>
      </c>
      <c r="H3643" t="s">
        <v>60</v>
      </c>
      <c r="J3643">
        <v>30</v>
      </c>
      <c r="K3643" t="s">
        <v>61</v>
      </c>
      <c r="L3643" t="s">
        <v>74</v>
      </c>
      <c r="M3643" t="s">
        <v>63</v>
      </c>
      <c r="N3643" t="s">
        <v>64</v>
      </c>
      <c r="P3643" t="s">
        <v>65</v>
      </c>
      <c r="R3643">
        <v>7.1999999999999998E-3</v>
      </c>
      <c r="T3643">
        <v>6.1000000000000004E-3</v>
      </c>
      <c r="V3643">
        <v>8.5000000000000006E-3</v>
      </c>
      <c r="W3643" t="s">
        <v>66</v>
      </c>
      <c r="X3643" t="s">
        <v>67</v>
      </c>
      <c r="Y3643" t="s">
        <v>67</v>
      </c>
      <c r="Z3643" t="s">
        <v>68</v>
      </c>
      <c r="AB3643">
        <v>4</v>
      </c>
      <c r="AC3643" t="s">
        <v>61</v>
      </c>
      <c r="AJ3643" t="s">
        <v>69</v>
      </c>
      <c r="AY3643" t="s">
        <v>2444</v>
      </c>
      <c r="AZ3643">
        <v>648</v>
      </c>
      <c r="BA3643" t="s">
        <v>2445</v>
      </c>
      <c r="BB3643" t="s">
        <v>2446</v>
      </c>
      <c r="BC3643">
        <v>1977</v>
      </c>
      <c r="BD3643" t="s">
        <v>73</v>
      </c>
    </row>
    <row r="3644" spans="1:56" x14ac:dyDescent="0.35">
      <c r="A3644">
        <v>8001352</v>
      </c>
      <c r="B3644" t="s">
        <v>2440</v>
      </c>
      <c r="E3644">
        <v>100</v>
      </c>
      <c r="F3644" t="s">
        <v>58</v>
      </c>
      <c r="G3644" t="s">
        <v>59</v>
      </c>
      <c r="H3644" t="s">
        <v>60</v>
      </c>
      <c r="J3644" t="s">
        <v>86</v>
      </c>
      <c r="L3644" t="s">
        <v>74</v>
      </c>
      <c r="M3644" t="s">
        <v>63</v>
      </c>
      <c r="N3644" t="s">
        <v>64</v>
      </c>
      <c r="P3644" t="s">
        <v>65</v>
      </c>
      <c r="R3644">
        <v>7.0000000000000001E-3</v>
      </c>
      <c r="T3644">
        <v>6.3E-3</v>
      </c>
      <c r="V3644">
        <v>7.7000000000000002E-3</v>
      </c>
      <c r="W3644" t="s">
        <v>66</v>
      </c>
      <c r="X3644" t="s">
        <v>67</v>
      </c>
      <c r="Y3644" t="s">
        <v>67</v>
      </c>
      <c r="Z3644" t="s">
        <v>68</v>
      </c>
      <c r="AB3644">
        <v>4</v>
      </c>
      <c r="AC3644" t="s">
        <v>61</v>
      </c>
      <c r="AJ3644" t="s">
        <v>69</v>
      </c>
      <c r="AY3644" t="s">
        <v>96</v>
      </c>
      <c r="AZ3644">
        <v>6797</v>
      </c>
      <c r="BA3644" t="s">
        <v>97</v>
      </c>
      <c r="BB3644" t="s">
        <v>98</v>
      </c>
      <c r="BC3644">
        <v>1986</v>
      </c>
      <c r="BD3644" t="s">
        <v>90</v>
      </c>
    </row>
    <row r="3645" spans="1:56" x14ac:dyDescent="0.35">
      <c r="A3645">
        <v>8001352</v>
      </c>
      <c r="B3645" t="s">
        <v>2440</v>
      </c>
      <c r="E3645">
        <v>100</v>
      </c>
      <c r="F3645" t="s">
        <v>58</v>
      </c>
      <c r="G3645" t="s">
        <v>59</v>
      </c>
      <c r="H3645" t="s">
        <v>60</v>
      </c>
      <c r="J3645" t="s">
        <v>86</v>
      </c>
      <c r="L3645" t="s">
        <v>62</v>
      </c>
      <c r="M3645" t="s">
        <v>63</v>
      </c>
      <c r="N3645" t="s">
        <v>64</v>
      </c>
      <c r="P3645" t="s">
        <v>65</v>
      </c>
      <c r="R3645">
        <v>1.7999999999999999E-2</v>
      </c>
      <c r="T3645">
        <v>1.4E-2</v>
      </c>
      <c r="V3645">
        <v>2.4E-2</v>
      </c>
      <c r="W3645" t="s">
        <v>66</v>
      </c>
      <c r="X3645" t="s">
        <v>67</v>
      </c>
      <c r="Y3645" t="s">
        <v>67</v>
      </c>
      <c r="Z3645" t="s">
        <v>68</v>
      </c>
      <c r="AB3645">
        <v>4</v>
      </c>
      <c r="AC3645" t="s">
        <v>61</v>
      </c>
      <c r="AJ3645" t="s">
        <v>69</v>
      </c>
      <c r="AY3645" t="s">
        <v>96</v>
      </c>
      <c r="AZ3645">
        <v>6797</v>
      </c>
      <c r="BA3645" t="s">
        <v>97</v>
      </c>
      <c r="BB3645" t="s">
        <v>98</v>
      </c>
      <c r="BC3645">
        <v>1986</v>
      </c>
      <c r="BD3645" t="s">
        <v>90</v>
      </c>
    </row>
    <row r="3646" spans="1:56" x14ac:dyDescent="0.35">
      <c r="A3646">
        <v>8001352</v>
      </c>
      <c r="B3646" t="s">
        <v>2440</v>
      </c>
      <c r="E3646">
        <v>100</v>
      </c>
      <c r="F3646" t="s">
        <v>58</v>
      </c>
      <c r="G3646" t="s">
        <v>59</v>
      </c>
      <c r="H3646" t="s">
        <v>60</v>
      </c>
      <c r="J3646" t="s">
        <v>86</v>
      </c>
      <c r="L3646" t="s">
        <v>74</v>
      </c>
      <c r="M3646" t="s">
        <v>63</v>
      </c>
      <c r="N3646" t="s">
        <v>64</v>
      </c>
      <c r="P3646" t="s">
        <v>65</v>
      </c>
      <c r="R3646">
        <v>7.1999999999999998E-3</v>
      </c>
      <c r="T3646">
        <v>6.11E-3</v>
      </c>
      <c r="V3646">
        <v>8.4799999999999997E-3</v>
      </c>
      <c r="W3646" t="s">
        <v>66</v>
      </c>
      <c r="X3646" t="s">
        <v>67</v>
      </c>
      <c r="Y3646" t="s">
        <v>67</v>
      </c>
      <c r="Z3646" t="s">
        <v>68</v>
      </c>
      <c r="AB3646">
        <v>4</v>
      </c>
      <c r="AC3646" t="s">
        <v>61</v>
      </c>
      <c r="AJ3646" t="s">
        <v>69</v>
      </c>
      <c r="AY3646" t="s">
        <v>96</v>
      </c>
      <c r="AZ3646">
        <v>6797</v>
      </c>
      <c r="BA3646" t="s">
        <v>97</v>
      </c>
      <c r="BB3646" t="s">
        <v>98</v>
      </c>
      <c r="BC3646">
        <v>1986</v>
      </c>
      <c r="BD3646" t="s">
        <v>90</v>
      </c>
    </row>
    <row r="3647" spans="1:56" x14ac:dyDescent="0.35">
      <c r="A3647">
        <v>8001352</v>
      </c>
      <c r="B3647" t="s">
        <v>2440</v>
      </c>
      <c r="D3647" t="s">
        <v>85</v>
      </c>
      <c r="E3647" t="s">
        <v>86</v>
      </c>
      <c r="F3647" t="s">
        <v>58</v>
      </c>
      <c r="G3647" t="s">
        <v>59</v>
      </c>
      <c r="H3647" t="s">
        <v>60</v>
      </c>
      <c r="J3647" t="s">
        <v>86</v>
      </c>
      <c r="M3647" t="s">
        <v>63</v>
      </c>
      <c r="N3647" t="s">
        <v>64</v>
      </c>
      <c r="P3647" t="s">
        <v>100</v>
      </c>
      <c r="R3647">
        <v>1.4E-2</v>
      </c>
      <c r="W3647" t="s">
        <v>66</v>
      </c>
      <c r="X3647" t="s">
        <v>67</v>
      </c>
      <c r="Y3647" t="s">
        <v>67</v>
      </c>
      <c r="Z3647" t="s">
        <v>68</v>
      </c>
      <c r="AB3647">
        <v>4</v>
      </c>
      <c r="AC3647" t="s">
        <v>61</v>
      </c>
      <c r="AJ3647" t="s">
        <v>69</v>
      </c>
      <c r="AY3647" t="s">
        <v>101</v>
      </c>
      <c r="AZ3647">
        <v>70421</v>
      </c>
      <c r="BA3647" t="s">
        <v>102</v>
      </c>
      <c r="BB3647" t="s">
        <v>103</v>
      </c>
      <c r="BC3647">
        <v>1974</v>
      </c>
      <c r="BD3647" t="s">
        <v>90</v>
      </c>
    </row>
    <row r="3648" spans="1:56" x14ac:dyDescent="0.35">
      <c r="A3648">
        <v>8003347</v>
      </c>
      <c r="B3648" t="s">
        <v>2447</v>
      </c>
      <c r="E3648">
        <v>20</v>
      </c>
      <c r="F3648" t="s">
        <v>58</v>
      </c>
      <c r="G3648" t="s">
        <v>59</v>
      </c>
      <c r="H3648" t="s">
        <v>60</v>
      </c>
      <c r="I3648" t="s">
        <v>705</v>
      </c>
      <c r="J3648" t="s">
        <v>86</v>
      </c>
      <c r="L3648" t="s">
        <v>74</v>
      </c>
      <c r="M3648" t="s">
        <v>63</v>
      </c>
      <c r="N3648" t="s">
        <v>64</v>
      </c>
      <c r="P3648" t="s">
        <v>65</v>
      </c>
      <c r="R3648">
        <v>7.3999999999999996E-2</v>
      </c>
      <c r="T3648">
        <v>4.2500000000000003E-2</v>
      </c>
      <c r="V3648">
        <v>0.121</v>
      </c>
      <c r="W3648" t="s">
        <v>66</v>
      </c>
      <c r="X3648" t="s">
        <v>67</v>
      </c>
      <c r="Y3648" t="s">
        <v>67</v>
      </c>
      <c r="Z3648" t="s">
        <v>68</v>
      </c>
      <c r="AB3648">
        <v>4</v>
      </c>
      <c r="AC3648" t="s">
        <v>61</v>
      </c>
      <c r="AJ3648" t="s">
        <v>69</v>
      </c>
      <c r="AY3648" t="s">
        <v>96</v>
      </c>
      <c r="AZ3648">
        <v>6797</v>
      </c>
      <c r="BA3648" t="s">
        <v>97</v>
      </c>
      <c r="BB3648" t="s">
        <v>98</v>
      </c>
      <c r="BC3648">
        <v>1986</v>
      </c>
      <c r="BD3648" t="s">
        <v>90</v>
      </c>
    </row>
    <row r="3649" spans="1:56" x14ac:dyDescent="0.35">
      <c r="A3649">
        <v>8003347</v>
      </c>
      <c r="B3649" t="s">
        <v>2447</v>
      </c>
      <c r="E3649">
        <v>20</v>
      </c>
      <c r="F3649" t="s">
        <v>58</v>
      </c>
      <c r="G3649" t="s">
        <v>59</v>
      </c>
      <c r="H3649" t="s">
        <v>60</v>
      </c>
      <c r="J3649" t="s">
        <v>86</v>
      </c>
      <c r="L3649" t="s">
        <v>62</v>
      </c>
      <c r="M3649" t="s">
        <v>63</v>
      </c>
      <c r="N3649" t="s">
        <v>64</v>
      </c>
      <c r="P3649" t="s">
        <v>65</v>
      </c>
      <c r="R3649">
        <v>0.32</v>
      </c>
      <c r="T3649">
        <v>0.224</v>
      </c>
      <c r="V3649">
        <v>0.45800000000000002</v>
      </c>
      <c r="W3649" t="s">
        <v>66</v>
      </c>
      <c r="X3649" t="s">
        <v>67</v>
      </c>
      <c r="Y3649" t="s">
        <v>67</v>
      </c>
      <c r="Z3649" t="s">
        <v>68</v>
      </c>
      <c r="AB3649">
        <v>4</v>
      </c>
      <c r="AC3649" t="s">
        <v>61</v>
      </c>
      <c r="AJ3649" t="s">
        <v>69</v>
      </c>
      <c r="AY3649" t="s">
        <v>96</v>
      </c>
      <c r="AZ3649">
        <v>6797</v>
      </c>
      <c r="BA3649" t="s">
        <v>97</v>
      </c>
      <c r="BB3649" t="s">
        <v>98</v>
      </c>
      <c r="BC3649">
        <v>1986</v>
      </c>
      <c r="BD3649" t="s">
        <v>90</v>
      </c>
    </row>
    <row r="3650" spans="1:56" x14ac:dyDescent="0.35">
      <c r="A3650">
        <v>8003427</v>
      </c>
      <c r="B3650" t="s">
        <v>2448</v>
      </c>
      <c r="D3650" t="s">
        <v>85</v>
      </c>
      <c r="E3650" t="s">
        <v>86</v>
      </c>
      <c r="F3650" t="s">
        <v>58</v>
      </c>
      <c r="G3650" t="s">
        <v>59</v>
      </c>
      <c r="H3650" t="s">
        <v>60</v>
      </c>
      <c r="J3650" t="s">
        <v>86</v>
      </c>
      <c r="L3650" t="s">
        <v>62</v>
      </c>
      <c r="M3650" t="s">
        <v>63</v>
      </c>
      <c r="N3650" t="s">
        <v>64</v>
      </c>
      <c r="P3650" t="s">
        <v>100</v>
      </c>
      <c r="R3650">
        <v>0.35</v>
      </c>
      <c r="T3650">
        <v>0.24</v>
      </c>
      <c r="V3650">
        <v>0.45</v>
      </c>
      <c r="W3650" t="s">
        <v>66</v>
      </c>
      <c r="X3650" t="s">
        <v>67</v>
      </c>
      <c r="Y3650" t="s">
        <v>67</v>
      </c>
      <c r="Z3650" t="s">
        <v>68</v>
      </c>
      <c r="AB3650">
        <v>4</v>
      </c>
      <c r="AC3650" t="s">
        <v>61</v>
      </c>
      <c r="AJ3650" t="s">
        <v>69</v>
      </c>
      <c r="AY3650" t="s">
        <v>168</v>
      </c>
      <c r="AZ3650">
        <v>8096</v>
      </c>
      <c r="BA3650" t="s">
        <v>169</v>
      </c>
      <c r="BB3650" t="s">
        <v>170</v>
      </c>
      <c r="BC3650">
        <v>1966</v>
      </c>
      <c r="BD3650" t="s">
        <v>90</v>
      </c>
    </row>
    <row r="3651" spans="1:56" x14ac:dyDescent="0.35">
      <c r="A3651">
        <v>8003698</v>
      </c>
      <c r="B3651" t="s">
        <v>2449</v>
      </c>
      <c r="D3651" t="s">
        <v>85</v>
      </c>
      <c r="E3651" t="s">
        <v>86</v>
      </c>
      <c r="F3651" t="s">
        <v>58</v>
      </c>
      <c r="G3651" t="s">
        <v>59</v>
      </c>
      <c r="H3651" t="s">
        <v>60</v>
      </c>
      <c r="J3651" t="s">
        <v>86</v>
      </c>
      <c r="L3651" t="s">
        <v>62</v>
      </c>
      <c r="M3651" t="s">
        <v>63</v>
      </c>
      <c r="N3651" t="s">
        <v>64</v>
      </c>
      <c r="P3651" t="s">
        <v>100</v>
      </c>
      <c r="Q3651" t="s">
        <v>153</v>
      </c>
      <c r="R3651">
        <v>180</v>
      </c>
      <c r="W3651" t="s">
        <v>66</v>
      </c>
      <c r="X3651" t="s">
        <v>67</v>
      </c>
      <c r="Y3651" t="s">
        <v>67</v>
      </c>
      <c r="Z3651" t="s">
        <v>68</v>
      </c>
      <c r="AB3651">
        <v>4</v>
      </c>
      <c r="AC3651" t="s">
        <v>61</v>
      </c>
      <c r="AJ3651" t="s">
        <v>69</v>
      </c>
      <c r="AY3651" t="s">
        <v>1243</v>
      </c>
      <c r="AZ3651">
        <v>5789</v>
      </c>
      <c r="BA3651" t="s">
        <v>1244</v>
      </c>
      <c r="BB3651" t="s">
        <v>1245</v>
      </c>
      <c r="BC3651">
        <v>1974</v>
      </c>
      <c r="BD3651" t="s">
        <v>90</v>
      </c>
    </row>
    <row r="3652" spans="1:56" x14ac:dyDescent="0.35">
      <c r="A3652">
        <v>8003698</v>
      </c>
      <c r="B3652" t="s">
        <v>2449</v>
      </c>
      <c r="D3652" t="s">
        <v>85</v>
      </c>
      <c r="E3652">
        <v>15</v>
      </c>
      <c r="F3652" t="s">
        <v>58</v>
      </c>
      <c r="G3652" t="s">
        <v>59</v>
      </c>
      <c r="H3652" t="s">
        <v>60</v>
      </c>
      <c r="J3652" t="s">
        <v>86</v>
      </c>
      <c r="L3652" t="s">
        <v>62</v>
      </c>
      <c r="M3652" t="s">
        <v>63</v>
      </c>
      <c r="N3652" t="s">
        <v>64</v>
      </c>
      <c r="P3652" t="s">
        <v>100</v>
      </c>
      <c r="Q3652" t="s">
        <v>153</v>
      </c>
      <c r="R3652">
        <v>180</v>
      </c>
      <c r="W3652" t="s">
        <v>66</v>
      </c>
      <c r="X3652" t="s">
        <v>67</v>
      </c>
      <c r="Y3652" t="s">
        <v>67</v>
      </c>
      <c r="Z3652" t="s">
        <v>68</v>
      </c>
      <c r="AB3652">
        <v>4</v>
      </c>
      <c r="AC3652" t="s">
        <v>61</v>
      </c>
      <c r="AJ3652" t="s">
        <v>69</v>
      </c>
      <c r="AY3652" t="s">
        <v>1246</v>
      </c>
      <c r="AZ3652">
        <v>6969</v>
      </c>
      <c r="BA3652" t="s">
        <v>1247</v>
      </c>
      <c r="BB3652" t="s">
        <v>1248</v>
      </c>
      <c r="BC3652">
        <v>1973</v>
      </c>
      <c r="BD3652" t="s">
        <v>90</v>
      </c>
    </row>
    <row r="3653" spans="1:56" x14ac:dyDescent="0.35">
      <c r="A3653">
        <v>8004873</v>
      </c>
      <c r="B3653" t="s">
        <v>2450</v>
      </c>
      <c r="D3653" t="s">
        <v>85</v>
      </c>
      <c r="E3653" t="s">
        <v>86</v>
      </c>
      <c r="F3653" t="s">
        <v>58</v>
      </c>
      <c r="G3653" t="s">
        <v>59</v>
      </c>
      <c r="H3653" t="s">
        <v>60</v>
      </c>
      <c r="J3653" t="s">
        <v>86</v>
      </c>
      <c r="L3653" t="s">
        <v>62</v>
      </c>
      <c r="M3653" t="s">
        <v>63</v>
      </c>
      <c r="N3653" t="s">
        <v>64</v>
      </c>
      <c r="P3653" t="s">
        <v>100</v>
      </c>
      <c r="R3653">
        <v>4.7E-2</v>
      </c>
      <c r="W3653" t="s">
        <v>66</v>
      </c>
      <c r="X3653" t="s">
        <v>67</v>
      </c>
      <c r="Y3653" t="s">
        <v>67</v>
      </c>
      <c r="Z3653" t="s">
        <v>68</v>
      </c>
      <c r="AB3653">
        <v>4</v>
      </c>
      <c r="AC3653" t="s">
        <v>61</v>
      </c>
      <c r="AJ3653" t="s">
        <v>69</v>
      </c>
      <c r="AY3653" t="s">
        <v>1243</v>
      </c>
      <c r="AZ3653">
        <v>5789</v>
      </c>
      <c r="BA3653" t="s">
        <v>1244</v>
      </c>
      <c r="BB3653" t="s">
        <v>1245</v>
      </c>
      <c r="BC3653">
        <v>1974</v>
      </c>
      <c r="BD3653" t="s">
        <v>90</v>
      </c>
    </row>
    <row r="3654" spans="1:56" x14ac:dyDescent="0.35">
      <c r="A3654">
        <v>8004873</v>
      </c>
      <c r="B3654" t="s">
        <v>2450</v>
      </c>
      <c r="D3654" t="s">
        <v>85</v>
      </c>
      <c r="E3654">
        <v>15</v>
      </c>
      <c r="F3654" t="s">
        <v>58</v>
      </c>
      <c r="G3654" t="s">
        <v>59</v>
      </c>
      <c r="H3654" t="s">
        <v>60</v>
      </c>
      <c r="J3654" t="s">
        <v>86</v>
      </c>
      <c r="L3654" t="s">
        <v>62</v>
      </c>
      <c r="M3654" t="s">
        <v>63</v>
      </c>
      <c r="N3654" t="s">
        <v>64</v>
      </c>
      <c r="P3654" t="s">
        <v>100</v>
      </c>
      <c r="R3654">
        <v>4.7E-2</v>
      </c>
      <c r="W3654" t="s">
        <v>66</v>
      </c>
      <c r="X3654" t="s">
        <v>67</v>
      </c>
      <c r="Y3654" t="s">
        <v>67</v>
      </c>
      <c r="Z3654" t="s">
        <v>68</v>
      </c>
      <c r="AB3654">
        <v>4</v>
      </c>
      <c r="AC3654" t="s">
        <v>61</v>
      </c>
      <c r="AJ3654" t="s">
        <v>69</v>
      </c>
      <c r="AY3654" t="s">
        <v>1246</v>
      </c>
      <c r="AZ3654">
        <v>6969</v>
      </c>
      <c r="BA3654" t="s">
        <v>1247</v>
      </c>
      <c r="BB3654" t="s">
        <v>1248</v>
      </c>
      <c r="BC3654">
        <v>1973</v>
      </c>
      <c r="BD3654" t="s">
        <v>90</v>
      </c>
    </row>
    <row r="3655" spans="1:56" x14ac:dyDescent="0.35">
      <c r="A3655">
        <v>8005729</v>
      </c>
      <c r="B3655" t="s">
        <v>2451</v>
      </c>
      <c r="D3655" t="s">
        <v>85</v>
      </c>
      <c r="E3655" t="s">
        <v>86</v>
      </c>
      <c r="F3655" t="s">
        <v>58</v>
      </c>
      <c r="G3655" t="s">
        <v>59</v>
      </c>
      <c r="H3655" t="s">
        <v>60</v>
      </c>
      <c r="J3655" t="s">
        <v>86</v>
      </c>
      <c r="L3655" t="s">
        <v>62</v>
      </c>
      <c r="M3655" t="s">
        <v>63</v>
      </c>
      <c r="N3655" t="s">
        <v>64</v>
      </c>
      <c r="P3655" t="s">
        <v>100</v>
      </c>
      <c r="Q3655" t="s">
        <v>153</v>
      </c>
      <c r="R3655">
        <v>180</v>
      </c>
      <c r="W3655" t="s">
        <v>66</v>
      </c>
      <c r="X3655" t="s">
        <v>67</v>
      </c>
      <c r="Y3655" t="s">
        <v>67</v>
      </c>
      <c r="Z3655" t="s">
        <v>68</v>
      </c>
      <c r="AB3655">
        <v>4</v>
      </c>
      <c r="AC3655" t="s">
        <v>61</v>
      </c>
      <c r="AJ3655" t="s">
        <v>69</v>
      </c>
      <c r="AY3655" t="s">
        <v>1243</v>
      </c>
      <c r="AZ3655">
        <v>5789</v>
      </c>
      <c r="BA3655" t="s">
        <v>1244</v>
      </c>
      <c r="BB3655" t="s">
        <v>1245</v>
      </c>
      <c r="BC3655">
        <v>1974</v>
      </c>
      <c r="BD3655" t="s">
        <v>90</v>
      </c>
    </row>
    <row r="3656" spans="1:56" x14ac:dyDescent="0.35">
      <c r="A3656">
        <v>8005729</v>
      </c>
      <c r="B3656" t="s">
        <v>2451</v>
      </c>
      <c r="D3656" t="s">
        <v>85</v>
      </c>
      <c r="E3656">
        <v>15</v>
      </c>
      <c r="F3656" t="s">
        <v>58</v>
      </c>
      <c r="G3656" t="s">
        <v>59</v>
      </c>
      <c r="H3656" t="s">
        <v>60</v>
      </c>
      <c r="J3656" t="s">
        <v>86</v>
      </c>
      <c r="L3656" t="s">
        <v>62</v>
      </c>
      <c r="M3656" t="s">
        <v>63</v>
      </c>
      <c r="N3656" t="s">
        <v>64</v>
      </c>
      <c r="P3656" t="s">
        <v>100</v>
      </c>
      <c r="Q3656" t="s">
        <v>153</v>
      </c>
      <c r="R3656">
        <v>180</v>
      </c>
      <c r="W3656" t="s">
        <v>66</v>
      </c>
      <c r="X3656" t="s">
        <v>67</v>
      </c>
      <c r="Y3656" t="s">
        <v>67</v>
      </c>
      <c r="Z3656" t="s">
        <v>68</v>
      </c>
      <c r="AB3656">
        <v>4</v>
      </c>
      <c r="AC3656" t="s">
        <v>61</v>
      </c>
      <c r="AJ3656" t="s">
        <v>69</v>
      </c>
      <c r="AY3656" t="s">
        <v>1246</v>
      </c>
      <c r="AZ3656">
        <v>6969</v>
      </c>
      <c r="BA3656" t="s">
        <v>1247</v>
      </c>
      <c r="BB3656" t="s">
        <v>1248</v>
      </c>
      <c r="BC3656">
        <v>1973</v>
      </c>
      <c r="BD3656" t="s">
        <v>90</v>
      </c>
    </row>
    <row r="3657" spans="1:56" x14ac:dyDescent="0.35">
      <c r="A3657">
        <v>8005785</v>
      </c>
      <c r="B3657" t="s">
        <v>2452</v>
      </c>
      <c r="D3657" t="s">
        <v>85</v>
      </c>
      <c r="E3657">
        <v>15</v>
      </c>
      <c r="F3657" t="s">
        <v>58</v>
      </c>
      <c r="G3657" t="s">
        <v>59</v>
      </c>
      <c r="H3657" t="s">
        <v>60</v>
      </c>
      <c r="J3657" t="s">
        <v>86</v>
      </c>
      <c r="L3657" t="s">
        <v>62</v>
      </c>
      <c r="M3657" t="s">
        <v>63</v>
      </c>
      <c r="N3657" t="s">
        <v>64</v>
      </c>
      <c r="P3657" t="s">
        <v>100</v>
      </c>
      <c r="R3657">
        <v>5.6</v>
      </c>
      <c r="W3657" t="s">
        <v>66</v>
      </c>
      <c r="X3657" t="s">
        <v>67</v>
      </c>
      <c r="Y3657" t="s">
        <v>67</v>
      </c>
      <c r="Z3657" t="s">
        <v>68</v>
      </c>
      <c r="AB3657">
        <v>4</v>
      </c>
      <c r="AC3657" t="s">
        <v>61</v>
      </c>
      <c r="AJ3657" t="s">
        <v>69</v>
      </c>
      <c r="AY3657" t="s">
        <v>1246</v>
      </c>
      <c r="AZ3657">
        <v>6969</v>
      </c>
      <c r="BA3657" t="s">
        <v>1247</v>
      </c>
      <c r="BB3657" t="s">
        <v>1248</v>
      </c>
      <c r="BC3657">
        <v>1973</v>
      </c>
      <c r="BD3657" t="s">
        <v>90</v>
      </c>
    </row>
    <row r="3658" spans="1:56" x14ac:dyDescent="0.35">
      <c r="A3658">
        <v>8005785</v>
      </c>
      <c r="B3658" t="s">
        <v>2452</v>
      </c>
      <c r="D3658" t="s">
        <v>85</v>
      </c>
      <c r="E3658" t="s">
        <v>86</v>
      </c>
      <c r="F3658" t="s">
        <v>58</v>
      </c>
      <c r="G3658" t="s">
        <v>59</v>
      </c>
      <c r="H3658" t="s">
        <v>60</v>
      </c>
      <c r="J3658" t="s">
        <v>86</v>
      </c>
      <c r="L3658" t="s">
        <v>62</v>
      </c>
      <c r="M3658" t="s">
        <v>63</v>
      </c>
      <c r="N3658" t="s">
        <v>64</v>
      </c>
      <c r="P3658" t="s">
        <v>100</v>
      </c>
      <c r="Q3658" t="s">
        <v>153</v>
      </c>
      <c r="R3658">
        <v>5.6</v>
      </c>
      <c r="W3658" t="s">
        <v>66</v>
      </c>
      <c r="X3658" t="s">
        <v>67</v>
      </c>
      <c r="Y3658" t="s">
        <v>67</v>
      </c>
      <c r="Z3658" t="s">
        <v>68</v>
      </c>
      <c r="AB3658">
        <v>4</v>
      </c>
      <c r="AC3658" t="s">
        <v>61</v>
      </c>
      <c r="AJ3658" t="s">
        <v>69</v>
      </c>
      <c r="AY3658" t="s">
        <v>1243</v>
      </c>
      <c r="AZ3658">
        <v>5789</v>
      </c>
      <c r="BA3658" t="s">
        <v>1244</v>
      </c>
      <c r="BB3658" t="s">
        <v>1245</v>
      </c>
      <c r="BC3658">
        <v>1974</v>
      </c>
      <c r="BD3658" t="s">
        <v>90</v>
      </c>
    </row>
    <row r="3659" spans="1:56" x14ac:dyDescent="0.35">
      <c r="A3659">
        <v>8027858</v>
      </c>
      <c r="B3659" t="s">
        <v>2453</v>
      </c>
      <c r="E3659">
        <v>98</v>
      </c>
      <c r="F3659" t="s">
        <v>58</v>
      </c>
      <c r="G3659" t="s">
        <v>59</v>
      </c>
      <c r="H3659" t="s">
        <v>60</v>
      </c>
      <c r="J3659" t="s">
        <v>86</v>
      </c>
      <c r="L3659" t="s">
        <v>62</v>
      </c>
      <c r="M3659" t="s">
        <v>63</v>
      </c>
      <c r="N3659" t="s">
        <v>64</v>
      </c>
      <c r="P3659" t="s">
        <v>65</v>
      </c>
      <c r="Q3659" t="s">
        <v>153</v>
      </c>
      <c r="R3659">
        <v>100</v>
      </c>
      <c r="W3659" t="s">
        <v>66</v>
      </c>
      <c r="X3659" t="s">
        <v>67</v>
      </c>
      <c r="Y3659" t="s">
        <v>67</v>
      </c>
      <c r="Z3659" t="s">
        <v>68</v>
      </c>
      <c r="AB3659">
        <v>4</v>
      </c>
      <c r="AC3659" t="s">
        <v>61</v>
      </c>
      <c r="AJ3659" t="s">
        <v>69</v>
      </c>
      <c r="AY3659" t="s">
        <v>96</v>
      </c>
      <c r="AZ3659">
        <v>6797</v>
      </c>
      <c r="BA3659" t="s">
        <v>97</v>
      </c>
      <c r="BB3659" t="s">
        <v>98</v>
      </c>
      <c r="BC3659">
        <v>1986</v>
      </c>
      <c r="BD3659" t="s">
        <v>90</v>
      </c>
    </row>
    <row r="3660" spans="1:56" x14ac:dyDescent="0.35">
      <c r="A3660">
        <v>8030782</v>
      </c>
      <c r="B3660" t="s">
        <v>2454</v>
      </c>
      <c r="D3660" t="s">
        <v>85</v>
      </c>
      <c r="E3660">
        <v>95</v>
      </c>
      <c r="F3660" t="s">
        <v>58</v>
      </c>
      <c r="G3660" t="s">
        <v>59</v>
      </c>
      <c r="H3660" t="s">
        <v>60</v>
      </c>
      <c r="I3660" t="s">
        <v>129</v>
      </c>
      <c r="J3660" t="s">
        <v>86</v>
      </c>
      <c r="K3660" t="s">
        <v>196</v>
      </c>
      <c r="L3660" t="s">
        <v>190</v>
      </c>
      <c r="M3660" t="s">
        <v>63</v>
      </c>
      <c r="N3660" t="s">
        <v>64</v>
      </c>
      <c r="P3660" t="s">
        <v>100</v>
      </c>
      <c r="R3660">
        <v>0.15</v>
      </c>
      <c r="T3660">
        <v>6.9000000000000006E-2</v>
      </c>
      <c r="V3660">
        <v>0.26600000000000001</v>
      </c>
      <c r="W3660" t="s">
        <v>66</v>
      </c>
      <c r="X3660" t="s">
        <v>67</v>
      </c>
      <c r="Y3660" t="s">
        <v>67</v>
      </c>
      <c r="Z3660" t="s">
        <v>68</v>
      </c>
      <c r="AB3660">
        <v>4</v>
      </c>
      <c r="AC3660" t="s">
        <v>61</v>
      </c>
      <c r="AJ3660" t="s">
        <v>69</v>
      </c>
      <c r="AY3660" t="s">
        <v>1007</v>
      </c>
      <c r="AZ3660">
        <v>5893</v>
      </c>
      <c r="BA3660" t="s">
        <v>1008</v>
      </c>
      <c r="BB3660" t="s">
        <v>1009</v>
      </c>
      <c r="BC3660">
        <v>1992</v>
      </c>
      <c r="BD3660" t="s">
        <v>1010</v>
      </c>
    </row>
    <row r="3661" spans="1:56" x14ac:dyDescent="0.35">
      <c r="A3661">
        <v>8030782</v>
      </c>
      <c r="B3661" t="s">
        <v>2454</v>
      </c>
      <c r="D3661" t="s">
        <v>85</v>
      </c>
      <c r="E3661">
        <v>95</v>
      </c>
      <c r="F3661" t="s">
        <v>58</v>
      </c>
      <c r="G3661" t="s">
        <v>59</v>
      </c>
      <c r="H3661" t="s">
        <v>60</v>
      </c>
      <c r="I3661" t="s">
        <v>129</v>
      </c>
      <c r="J3661" t="s">
        <v>86</v>
      </c>
      <c r="K3661" t="s">
        <v>196</v>
      </c>
      <c r="L3661" t="s">
        <v>190</v>
      </c>
      <c r="M3661" t="s">
        <v>63</v>
      </c>
      <c r="N3661" t="s">
        <v>64</v>
      </c>
      <c r="P3661" t="s">
        <v>100</v>
      </c>
      <c r="R3661">
        <v>0.12</v>
      </c>
      <c r="T3661">
        <v>9.2999999999999999E-2</v>
      </c>
      <c r="V3661">
        <v>0.14299999999999999</v>
      </c>
      <c r="W3661" t="s">
        <v>66</v>
      </c>
      <c r="X3661" t="s">
        <v>67</v>
      </c>
      <c r="Y3661" t="s">
        <v>67</v>
      </c>
      <c r="Z3661" t="s">
        <v>68</v>
      </c>
      <c r="AB3661">
        <v>4</v>
      </c>
      <c r="AC3661" t="s">
        <v>61</v>
      </c>
      <c r="AJ3661" t="s">
        <v>69</v>
      </c>
      <c r="AY3661" t="s">
        <v>1007</v>
      </c>
      <c r="AZ3661">
        <v>5893</v>
      </c>
      <c r="BA3661" t="s">
        <v>1008</v>
      </c>
      <c r="BB3661" t="s">
        <v>1009</v>
      </c>
      <c r="BC3661">
        <v>1992</v>
      </c>
      <c r="BD3661" t="s">
        <v>1010</v>
      </c>
    </row>
    <row r="3662" spans="1:56" x14ac:dyDescent="0.35">
      <c r="A3662">
        <v>8030782</v>
      </c>
      <c r="B3662" t="s">
        <v>2454</v>
      </c>
      <c r="D3662" t="s">
        <v>85</v>
      </c>
      <c r="E3662">
        <v>95</v>
      </c>
      <c r="F3662" t="s">
        <v>58</v>
      </c>
      <c r="G3662" t="s">
        <v>59</v>
      </c>
      <c r="H3662" t="s">
        <v>60</v>
      </c>
      <c r="I3662" t="s">
        <v>129</v>
      </c>
      <c r="J3662" t="s">
        <v>86</v>
      </c>
      <c r="K3662" t="s">
        <v>196</v>
      </c>
      <c r="L3662" t="s">
        <v>190</v>
      </c>
      <c r="M3662" t="s">
        <v>63</v>
      </c>
      <c r="N3662" t="s">
        <v>64</v>
      </c>
      <c r="P3662" t="s">
        <v>100</v>
      </c>
      <c r="R3662">
        <v>0.18</v>
      </c>
      <c r="T3662">
        <v>0.128</v>
      </c>
      <c r="V3662">
        <v>0.25600000000000001</v>
      </c>
      <c r="W3662" t="s">
        <v>66</v>
      </c>
      <c r="X3662" t="s">
        <v>67</v>
      </c>
      <c r="Y3662" t="s">
        <v>67</v>
      </c>
      <c r="Z3662" t="s">
        <v>68</v>
      </c>
      <c r="AB3662">
        <v>4</v>
      </c>
      <c r="AC3662" t="s">
        <v>61</v>
      </c>
      <c r="AJ3662" t="s">
        <v>69</v>
      </c>
      <c r="AY3662" t="s">
        <v>1007</v>
      </c>
      <c r="AZ3662">
        <v>5893</v>
      </c>
      <c r="BA3662" t="s">
        <v>1008</v>
      </c>
      <c r="BB3662" t="s">
        <v>1009</v>
      </c>
      <c r="BC3662">
        <v>1992</v>
      </c>
      <c r="BD3662" t="s">
        <v>1010</v>
      </c>
    </row>
    <row r="3663" spans="1:56" x14ac:dyDescent="0.35">
      <c r="A3663">
        <v>8030782</v>
      </c>
      <c r="B3663" t="s">
        <v>2454</v>
      </c>
      <c r="D3663" t="s">
        <v>85</v>
      </c>
      <c r="E3663">
        <v>95</v>
      </c>
      <c r="F3663" t="s">
        <v>58</v>
      </c>
      <c r="G3663" t="s">
        <v>59</v>
      </c>
      <c r="H3663" t="s">
        <v>60</v>
      </c>
      <c r="I3663" t="s">
        <v>129</v>
      </c>
      <c r="J3663" t="s">
        <v>86</v>
      </c>
      <c r="K3663" t="s">
        <v>196</v>
      </c>
      <c r="L3663" t="s">
        <v>190</v>
      </c>
      <c r="M3663" t="s">
        <v>63</v>
      </c>
      <c r="N3663" t="s">
        <v>64</v>
      </c>
      <c r="P3663" t="s">
        <v>100</v>
      </c>
      <c r="R3663">
        <v>0.26</v>
      </c>
      <c r="T3663">
        <v>0.19800000000000001</v>
      </c>
      <c r="V3663">
        <v>0.315</v>
      </c>
      <c r="W3663" t="s">
        <v>66</v>
      </c>
      <c r="X3663" t="s">
        <v>67</v>
      </c>
      <c r="Y3663" t="s">
        <v>67</v>
      </c>
      <c r="Z3663" t="s">
        <v>68</v>
      </c>
      <c r="AB3663">
        <v>4</v>
      </c>
      <c r="AC3663" t="s">
        <v>61</v>
      </c>
      <c r="AJ3663" t="s">
        <v>69</v>
      </c>
      <c r="AY3663" t="s">
        <v>1007</v>
      </c>
      <c r="AZ3663">
        <v>5893</v>
      </c>
      <c r="BA3663" t="s">
        <v>1008</v>
      </c>
      <c r="BB3663" t="s">
        <v>1009</v>
      </c>
      <c r="BC3663">
        <v>1992</v>
      </c>
      <c r="BD3663" t="s">
        <v>1010</v>
      </c>
    </row>
    <row r="3664" spans="1:56" x14ac:dyDescent="0.35">
      <c r="A3664">
        <v>8030782</v>
      </c>
      <c r="B3664" t="s">
        <v>2454</v>
      </c>
      <c r="D3664" t="s">
        <v>85</v>
      </c>
      <c r="E3664">
        <v>95</v>
      </c>
      <c r="F3664" t="s">
        <v>58</v>
      </c>
      <c r="G3664" t="s">
        <v>59</v>
      </c>
      <c r="H3664" t="s">
        <v>60</v>
      </c>
      <c r="I3664" t="s">
        <v>129</v>
      </c>
      <c r="J3664" t="s">
        <v>86</v>
      </c>
      <c r="K3664" t="s">
        <v>196</v>
      </c>
      <c r="L3664" t="s">
        <v>190</v>
      </c>
      <c r="M3664" t="s">
        <v>63</v>
      </c>
      <c r="N3664" t="s">
        <v>64</v>
      </c>
      <c r="P3664" t="s">
        <v>100</v>
      </c>
      <c r="R3664">
        <v>0.08</v>
      </c>
      <c r="T3664">
        <v>7.8E-2</v>
      </c>
      <c r="V3664">
        <v>0.154</v>
      </c>
      <c r="W3664" t="s">
        <v>66</v>
      </c>
      <c r="X3664" t="s">
        <v>67</v>
      </c>
      <c r="Y3664" t="s">
        <v>67</v>
      </c>
      <c r="Z3664" t="s">
        <v>68</v>
      </c>
      <c r="AB3664">
        <v>4</v>
      </c>
      <c r="AC3664" t="s">
        <v>61</v>
      </c>
      <c r="AJ3664" t="s">
        <v>69</v>
      </c>
      <c r="AY3664" t="s">
        <v>1007</v>
      </c>
      <c r="AZ3664">
        <v>5893</v>
      </c>
      <c r="BA3664" t="s">
        <v>1008</v>
      </c>
      <c r="BB3664" t="s">
        <v>1009</v>
      </c>
      <c r="BC3664">
        <v>1992</v>
      </c>
      <c r="BD3664" t="s">
        <v>1010</v>
      </c>
    </row>
    <row r="3665" spans="1:56" x14ac:dyDescent="0.35">
      <c r="A3665">
        <v>8030782</v>
      </c>
      <c r="B3665" t="s">
        <v>2454</v>
      </c>
      <c r="D3665" t="s">
        <v>85</v>
      </c>
      <c r="E3665">
        <v>95</v>
      </c>
      <c r="F3665" t="s">
        <v>58</v>
      </c>
      <c r="G3665" t="s">
        <v>59</v>
      </c>
      <c r="H3665" t="s">
        <v>60</v>
      </c>
      <c r="I3665" t="s">
        <v>129</v>
      </c>
      <c r="J3665" t="s">
        <v>86</v>
      </c>
      <c r="K3665" t="s">
        <v>196</v>
      </c>
      <c r="L3665" t="s">
        <v>190</v>
      </c>
      <c r="M3665" t="s">
        <v>63</v>
      </c>
      <c r="N3665" t="s">
        <v>64</v>
      </c>
      <c r="P3665" t="s">
        <v>100</v>
      </c>
      <c r="R3665">
        <v>0.1</v>
      </c>
      <c r="T3665">
        <v>8.2000000000000003E-2</v>
      </c>
      <c r="V3665">
        <v>0.11700000000000001</v>
      </c>
      <c r="W3665" t="s">
        <v>66</v>
      </c>
      <c r="X3665" t="s">
        <v>67</v>
      </c>
      <c r="Y3665" t="s">
        <v>67</v>
      </c>
      <c r="Z3665" t="s">
        <v>68</v>
      </c>
      <c r="AB3665">
        <v>4</v>
      </c>
      <c r="AC3665" t="s">
        <v>61</v>
      </c>
      <c r="AJ3665" t="s">
        <v>69</v>
      </c>
      <c r="AY3665" t="s">
        <v>1007</v>
      </c>
      <c r="AZ3665">
        <v>5893</v>
      </c>
      <c r="BA3665" t="s">
        <v>1008</v>
      </c>
      <c r="BB3665" t="s">
        <v>1009</v>
      </c>
      <c r="BC3665">
        <v>1992</v>
      </c>
      <c r="BD3665" t="s">
        <v>1010</v>
      </c>
    </row>
    <row r="3666" spans="1:56" x14ac:dyDescent="0.35">
      <c r="A3666">
        <v>8030782</v>
      </c>
      <c r="B3666" t="s">
        <v>2454</v>
      </c>
      <c r="D3666" t="s">
        <v>85</v>
      </c>
      <c r="E3666">
        <v>95</v>
      </c>
      <c r="F3666" t="s">
        <v>58</v>
      </c>
      <c r="G3666" t="s">
        <v>59</v>
      </c>
      <c r="H3666" t="s">
        <v>60</v>
      </c>
      <c r="I3666" t="s">
        <v>129</v>
      </c>
      <c r="J3666" t="s">
        <v>86</v>
      </c>
      <c r="K3666" t="s">
        <v>196</v>
      </c>
      <c r="L3666" t="s">
        <v>190</v>
      </c>
      <c r="M3666" t="s">
        <v>63</v>
      </c>
      <c r="N3666" t="s">
        <v>64</v>
      </c>
      <c r="P3666" t="s">
        <v>100</v>
      </c>
      <c r="R3666">
        <v>0.12</v>
      </c>
      <c r="T3666">
        <v>8.6999999999999994E-2</v>
      </c>
      <c r="V3666">
        <v>0.153</v>
      </c>
      <c r="W3666" t="s">
        <v>66</v>
      </c>
      <c r="X3666" t="s">
        <v>67</v>
      </c>
      <c r="Y3666" t="s">
        <v>67</v>
      </c>
      <c r="Z3666" t="s">
        <v>68</v>
      </c>
      <c r="AB3666">
        <v>4</v>
      </c>
      <c r="AC3666" t="s">
        <v>61</v>
      </c>
      <c r="AJ3666" t="s">
        <v>69</v>
      </c>
      <c r="AY3666" t="s">
        <v>1007</v>
      </c>
      <c r="AZ3666">
        <v>5893</v>
      </c>
      <c r="BA3666" t="s">
        <v>1008</v>
      </c>
      <c r="BB3666" t="s">
        <v>1009</v>
      </c>
      <c r="BC3666">
        <v>1992</v>
      </c>
      <c r="BD3666" t="s">
        <v>1010</v>
      </c>
    </row>
    <row r="3667" spans="1:56" x14ac:dyDescent="0.35">
      <c r="A3667">
        <v>8065483</v>
      </c>
      <c r="B3667" t="s">
        <v>2455</v>
      </c>
      <c r="C3667" t="s">
        <v>91</v>
      </c>
      <c r="D3667" t="s">
        <v>85</v>
      </c>
      <c r="E3667">
        <v>92</v>
      </c>
      <c r="F3667" t="s">
        <v>58</v>
      </c>
      <c r="G3667" t="s">
        <v>59</v>
      </c>
      <c r="H3667" t="s">
        <v>60</v>
      </c>
      <c r="J3667" t="s">
        <v>86</v>
      </c>
      <c r="L3667" t="s">
        <v>62</v>
      </c>
      <c r="M3667" t="s">
        <v>63</v>
      </c>
      <c r="N3667" t="s">
        <v>64</v>
      </c>
      <c r="P3667" t="s">
        <v>65</v>
      </c>
      <c r="R3667">
        <v>2.9</v>
      </c>
      <c r="W3667" t="s">
        <v>66</v>
      </c>
      <c r="X3667" t="s">
        <v>67</v>
      </c>
      <c r="Y3667" t="s">
        <v>67</v>
      </c>
      <c r="Z3667" t="s">
        <v>68</v>
      </c>
      <c r="AB3667">
        <v>4</v>
      </c>
      <c r="AC3667" t="s">
        <v>61</v>
      </c>
      <c r="AJ3667" t="s">
        <v>69</v>
      </c>
      <c r="AY3667" t="s">
        <v>157</v>
      </c>
      <c r="AZ3667">
        <v>2893</v>
      </c>
      <c r="BA3667" t="s">
        <v>158</v>
      </c>
      <c r="BB3667" t="s">
        <v>159</v>
      </c>
      <c r="BC3667">
        <v>1962</v>
      </c>
      <c r="BD3667" t="s">
        <v>90</v>
      </c>
    </row>
    <row r="3668" spans="1:56" x14ac:dyDescent="0.35">
      <c r="A3668">
        <v>8065483</v>
      </c>
      <c r="B3668" t="s">
        <v>2455</v>
      </c>
      <c r="D3668" t="s">
        <v>57</v>
      </c>
      <c r="E3668">
        <v>95</v>
      </c>
      <c r="F3668" t="s">
        <v>58</v>
      </c>
      <c r="G3668" t="s">
        <v>59</v>
      </c>
      <c r="H3668" t="s">
        <v>60</v>
      </c>
      <c r="J3668" t="s">
        <v>86</v>
      </c>
      <c r="K3668" t="s">
        <v>61</v>
      </c>
      <c r="L3668" t="s">
        <v>74</v>
      </c>
      <c r="M3668" t="s">
        <v>63</v>
      </c>
      <c r="N3668" t="s">
        <v>64</v>
      </c>
      <c r="P3668" t="s">
        <v>65</v>
      </c>
      <c r="R3668">
        <v>16</v>
      </c>
      <c r="T3668">
        <v>14.6</v>
      </c>
      <c r="V3668">
        <v>17.600000000000001</v>
      </c>
      <c r="W3668" t="s">
        <v>66</v>
      </c>
      <c r="X3668" t="s">
        <v>67</v>
      </c>
      <c r="Y3668" t="s">
        <v>67</v>
      </c>
      <c r="Z3668" t="s">
        <v>68</v>
      </c>
      <c r="AB3668">
        <v>4</v>
      </c>
      <c r="AC3668" t="s">
        <v>61</v>
      </c>
      <c r="AJ3668" t="s">
        <v>69</v>
      </c>
      <c r="AY3668" t="s">
        <v>75</v>
      </c>
      <c r="AZ3668">
        <v>3217</v>
      </c>
      <c r="BA3668" t="s">
        <v>76</v>
      </c>
      <c r="BB3668" t="s">
        <v>77</v>
      </c>
      <c r="BC3668">
        <v>1990</v>
      </c>
      <c r="BD3668" t="s">
        <v>2456</v>
      </c>
    </row>
    <row r="3669" spans="1:56" x14ac:dyDescent="0.35">
      <c r="A3669">
        <v>8065483</v>
      </c>
      <c r="B3669" t="s">
        <v>2455</v>
      </c>
      <c r="E3669">
        <v>92</v>
      </c>
      <c r="F3669" t="s">
        <v>58</v>
      </c>
      <c r="G3669" t="s">
        <v>59</v>
      </c>
      <c r="H3669" t="s">
        <v>60</v>
      </c>
      <c r="J3669" t="s">
        <v>86</v>
      </c>
      <c r="L3669" t="s">
        <v>62</v>
      </c>
      <c r="M3669" t="s">
        <v>63</v>
      </c>
      <c r="N3669" t="s">
        <v>64</v>
      </c>
      <c r="P3669" t="s">
        <v>65</v>
      </c>
      <c r="R3669">
        <v>2.9</v>
      </c>
      <c r="W3669" t="s">
        <v>66</v>
      </c>
      <c r="X3669" t="s">
        <v>67</v>
      </c>
      <c r="Y3669" t="s">
        <v>67</v>
      </c>
      <c r="Z3669" t="s">
        <v>68</v>
      </c>
      <c r="AB3669">
        <v>4</v>
      </c>
      <c r="AC3669" t="s">
        <v>61</v>
      </c>
      <c r="AJ3669" t="s">
        <v>69</v>
      </c>
      <c r="AY3669" t="s">
        <v>116</v>
      </c>
      <c r="AZ3669">
        <v>344</v>
      </c>
      <c r="BA3669" t="s">
        <v>117</v>
      </c>
      <c r="BB3669" t="s">
        <v>118</v>
      </c>
      <c r="BC3669">
        <v>1992</v>
      </c>
      <c r="BD3669" t="s">
        <v>90</v>
      </c>
    </row>
    <row r="3670" spans="1:56" x14ac:dyDescent="0.35">
      <c r="A3670">
        <v>8065483</v>
      </c>
      <c r="B3670" t="s">
        <v>2455</v>
      </c>
      <c r="C3670" t="s">
        <v>91</v>
      </c>
      <c r="D3670" t="s">
        <v>85</v>
      </c>
      <c r="E3670">
        <v>92</v>
      </c>
      <c r="F3670" t="s">
        <v>58</v>
      </c>
      <c r="G3670" t="s">
        <v>59</v>
      </c>
      <c r="H3670" t="s">
        <v>60</v>
      </c>
      <c r="J3670" t="s">
        <v>86</v>
      </c>
      <c r="L3670" t="s">
        <v>62</v>
      </c>
      <c r="M3670" t="s">
        <v>63</v>
      </c>
      <c r="N3670" t="s">
        <v>64</v>
      </c>
      <c r="P3670" t="s">
        <v>65</v>
      </c>
      <c r="R3670">
        <v>3.6</v>
      </c>
      <c r="W3670" t="s">
        <v>66</v>
      </c>
      <c r="X3670" t="s">
        <v>67</v>
      </c>
      <c r="Y3670" t="s">
        <v>67</v>
      </c>
      <c r="Z3670" t="s">
        <v>68</v>
      </c>
      <c r="AB3670">
        <v>4</v>
      </c>
      <c r="AC3670" t="s">
        <v>61</v>
      </c>
      <c r="AJ3670" t="s">
        <v>69</v>
      </c>
      <c r="AY3670" t="s">
        <v>150</v>
      </c>
      <c r="AZ3670">
        <v>2155</v>
      </c>
      <c r="BA3670" t="s">
        <v>151</v>
      </c>
      <c r="BB3670" t="s">
        <v>152</v>
      </c>
      <c r="BC3670">
        <v>1958</v>
      </c>
      <c r="BD3670" t="s">
        <v>90</v>
      </c>
    </row>
    <row r="3671" spans="1:56" x14ac:dyDescent="0.35">
      <c r="A3671">
        <v>8065483</v>
      </c>
      <c r="B3671" t="s">
        <v>2455</v>
      </c>
      <c r="D3671" t="s">
        <v>57</v>
      </c>
      <c r="E3671" t="s">
        <v>86</v>
      </c>
      <c r="F3671" t="s">
        <v>58</v>
      </c>
      <c r="G3671" t="s">
        <v>59</v>
      </c>
      <c r="H3671" t="s">
        <v>60</v>
      </c>
      <c r="J3671" t="s">
        <v>86</v>
      </c>
      <c r="L3671" t="s">
        <v>74</v>
      </c>
      <c r="M3671" t="s">
        <v>63</v>
      </c>
      <c r="N3671" t="s">
        <v>64</v>
      </c>
      <c r="P3671" t="s">
        <v>65</v>
      </c>
      <c r="R3671">
        <v>15.9</v>
      </c>
      <c r="T3671">
        <v>14.4</v>
      </c>
      <c r="V3671">
        <v>17.5</v>
      </c>
      <c r="W3671" t="s">
        <v>66</v>
      </c>
      <c r="X3671" t="s">
        <v>67</v>
      </c>
      <c r="Y3671" t="s">
        <v>67</v>
      </c>
      <c r="Z3671" t="s">
        <v>68</v>
      </c>
      <c r="AB3671">
        <v>4</v>
      </c>
      <c r="AC3671" t="s">
        <v>61</v>
      </c>
      <c r="AJ3671" t="s">
        <v>69</v>
      </c>
      <c r="AY3671" t="s">
        <v>144</v>
      </c>
      <c r="AZ3671">
        <v>12665</v>
      </c>
      <c r="BA3671" t="s">
        <v>145</v>
      </c>
      <c r="BB3671" t="s">
        <v>146</v>
      </c>
      <c r="BC3671">
        <v>1987</v>
      </c>
      <c r="BD3671" t="s">
        <v>90</v>
      </c>
    </row>
    <row r="3672" spans="1:56" x14ac:dyDescent="0.35">
      <c r="A3672">
        <v>8065483</v>
      </c>
      <c r="B3672" t="s">
        <v>2455</v>
      </c>
      <c r="C3672" t="s">
        <v>91</v>
      </c>
      <c r="D3672" t="s">
        <v>85</v>
      </c>
      <c r="E3672">
        <v>92</v>
      </c>
      <c r="F3672" t="s">
        <v>58</v>
      </c>
      <c r="G3672" t="s">
        <v>59</v>
      </c>
      <c r="H3672" t="s">
        <v>60</v>
      </c>
      <c r="J3672" t="s">
        <v>86</v>
      </c>
      <c r="L3672" t="s">
        <v>62</v>
      </c>
      <c r="M3672" t="s">
        <v>63</v>
      </c>
      <c r="N3672" t="s">
        <v>64</v>
      </c>
      <c r="P3672" t="s">
        <v>65</v>
      </c>
      <c r="R3672">
        <v>4.2</v>
      </c>
      <c r="W3672" t="s">
        <v>66</v>
      </c>
      <c r="X3672" t="s">
        <v>67</v>
      </c>
      <c r="Y3672" t="s">
        <v>67</v>
      </c>
      <c r="Z3672" t="s">
        <v>68</v>
      </c>
      <c r="AB3672">
        <v>4</v>
      </c>
      <c r="AC3672" t="s">
        <v>61</v>
      </c>
      <c r="AJ3672" t="s">
        <v>69</v>
      </c>
      <c r="AY3672" t="s">
        <v>150</v>
      </c>
      <c r="AZ3672">
        <v>2155</v>
      </c>
      <c r="BA3672" t="s">
        <v>151</v>
      </c>
      <c r="BB3672" t="s">
        <v>152</v>
      </c>
      <c r="BC3672">
        <v>1958</v>
      </c>
      <c r="BD3672" t="s">
        <v>90</v>
      </c>
    </row>
    <row r="3673" spans="1:56" x14ac:dyDescent="0.35">
      <c r="A3673">
        <v>9002931</v>
      </c>
      <c r="B3673" t="s">
        <v>2457</v>
      </c>
      <c r="D3673" t="s">
        <v>85</v>
      </c>
      <c r="E3673" t="s">
        <v>86</v>
      </c>
      <c r="F3673" t="s">
        <v>58</v>
      </c>
      <c r="G3673" t="s">
        <v>59</v>
      </c>
      <c r="H3673" t="s">
        <v>60</v>
      </c>
      <c r="J3673" t="s">
        <v>86</v>
      </c>
      <c r="L3673" t="s">
        <v>74</v>
      </c>
      <c r="M3673" t="s">
        <v>63</v>
      </c>
      <c r="N3673" t="s">
        <v>64</v>
      </c>
      <c r="P3673" t="s">
        <v>100</v>
      </c>
      <c r="R3673">
        <v>6</v>
      </c>
      <c r="W3673" t="s">
        <v>66</v>
      </c>
      <c r="X3673" t="s">
        <v>67</v>
      </c>
      <c r="Y3673" t="s">
        <v>67</v>
      </c>
      <c r="Z3673" t="s">
        <v>68</v>
      </c>
      <c r="AB3673">
        <v>4</v>
      </c>
      <c r="AC3673" t="s">
        <v>61</v>
      </c>
      <c r="AJ3673" t="s">
        <v>69</v>
      </c>
      <c r="AY3673" t="s">
        <v>373</v>
      </c>
      <c r="AZ3673">
        <v>4059</v>
      </c>
      <c r="BA3673" t="s">
        <v>374</v>
      </c>
      <c r="BB3673" t="s">
        <v>375</v>
      </c>
      <c r="BC3673">
        <v>1982</v>
      </c>
      <c r="BD3673" t="s">
        <v>90</v>
      </c>
    </row>
    <row r="3674" spans="1:56" x14ac:dyDescent="0.35">
      <c r="A3674">
        <v>9002931</v>
      </c>
      <c r="B3674" t="s">
        <v>2457</v>
      </c>
      <c r="D3674" t="s">
        <v>85</v>
      </c>
      <c r="E3674" t="s">
        <v>86</v>
      </c>
      <c r="F3674" t="s">
        <v>58</v>
      </c>
      <c r="G3674" t="s">
        <v>59</v>
      </c>
      <c r="H3674" t="s">
        <v>60</v>
      </c>
      <c r="J3674" t="s">
        <v>86</v>
      </c>
      <c r="K3674" t="s">
        <v>320</v>
      </c>
      <c r="L3674" t="s">
        <v>62</v>
      </c>
      <c r="M3674" t="s">
        <v>63</v>
      </c>
      <c r="N3674" t="s">
        <v>64</v>
      </c>
      <c r="P3674" t="s">
        <v>100</v>
      </c>
      <c r="R3674">
        <v>5.38</v>
      </c>
      <c r="T3674">
        <v>4.9400000000000004</v>
      </c>
      <c r="V3674">
        <v>5.86</v>
      </c>
      <c r="W3674" t="s">
        <v>66</v>
      </c>
      <c r="X3674" t="s">
        <v>67</v>
      </c>
      <c r="Y3674" t="s">
        <v>67</v>
      </c>
      <c r="Z3674" t="s">
        <v>68</v>
      </c>
      <c r="AB3674">
        <v>4</v>
      </c>
      <c r="AC3674" t="s">
        <v>61</v>
      </c>
      <c r="AJ3674" t="s">
        <v>69</v>
      </c>
      <c r="AY3674" t="s">
        <v>376</v>
      </c>
      <c r="AZ3674">
        <v>2470</v>
      </c>
      <c r="BA3674" t="s">
        <v>377</v>
      </c>
      <c r="BB3674" t="s">
        <v>378</v>
      </c>
      <c r="BC3674">
        <v>1978</v>
      </c>
      <c r="BD3674" t="s">
        <v>379</v>
      </c>
    </row>
    <row r="3675" spans="1:56" x14ac:dyDescent="0.35">
      <c r="A3675">
        <v>9002931</v>
      </c>
      <c r="B3675" t="s">
        <v>2457</v>
      </c>
      <c r="D3675" t="s">
        <v>85</v>
      </c>
      <c r="E3675" t="s">
        <v>86</v>
      </c>
      <c r="F3675" t="s">
        <v>58</v>
      </c>
      <c r="G3675" t="s">
        <v>59</v>
      </c>
      <c r="H3675" t="s">
        <v>60</v>
      </c>
      <c r="J3675" t="s">
        <v>86</v>
      </c>
      <c r="K3675" t="s">
        <v>320</v>
      </c>
      <c r="L3675" t="s">
        <v>62</v>
      </c>
      <c r="M3675" t="s">
        <v>63</v>
      </c>
      <c r="N3675" t="s">
        <v>64</v>
      </c>
      <c r="P3675" t="s">
        <v>100</v>
      </c>
      <c r="R3675">
        <v>4.5</v>
      </c>
      <c r="T3675">
        <v>4.3</v>
      </c>
      <c r="V3675">
        <v>4.8</v>
      </c>
      <c r="W3675" t="s">
        <v>66</v>
      </c>
      <c r="X3675" t="s">
        <v>67</v>
      </c>
      <c r="Y3675" t="s">
        <v>67</v>
      </c>
      <c r="Z3675" t="s">
        <v>68</v>
      </c>
      <c r="AB3675">
        <v>4</v>
      </c>
      <c r="AC3675" t="s">
        <v>61</v>
      </c>
      <c r="AJ3675" t="s">
        <v>69</v>
      </c>
      <c r="AY3675" t="s">
        <v>376</v>
      </c>
      <c r="AZ3675">
        <v>2470</v>
      </c>
      <c r="BA3675" t="s">
        <v>377</v>
      </c>
      <c r="BB3675" t="s">
        <v>378</v>
      </c>
      <c r="BC3675">
        <v>1978</v>
      </c>
      <c r="BD3675" t="s">
        <v>379</v>
      </c>
    </row>
    <row r="3676" spans="1:56" x14ac:dyDescent="0.35">
      <c r="A3676">
        <v>9003138</v>
      </c>
      <c r="B3676" t="s">
        <v>2458</v>
      </c>
      <c r="E3676">
        <v>99.9</v>
      </c>
      <c r="F3676" t="s">
        <v>58</v>
      </c>
      <c r="G3676" t="s">
        <v>59</v>
      </c>
      <c r="H3676" t="s">
        <v>60</v>
      </c>
      <c r="J3676" t="s">
        <v>86</v>
      </c>
      <c r="L3676" t="s">
        <v>62</v>
      </c>
      <c r="M3676" t="s">
        <v>63</v>
      </c>
      <c r="N3676" t="s">
        <v>64</v>
      </c>
      <c r="P3676" t="s">
        <v>65</v>
      </c>
      <c r="R3676">
        <v>50</v>
      </c>
      <c r="T3676">
        <v>48</v>
      </c>
      <c r="V3676">
        <v>52</v>
      </c>
      <c r="W3676" t="s">
        <v>66</v>
      </c>
      <c r="X3676" t="s">
        <v>67</v>
      </c>
      <c r="Y3676" t="s">
        <v>67</v>
      </c>
      <c r="Z3676" t="s">
        <v>68</v>
      </c>
      <c r="AB3676">
        <v>4</v>
      </c>
      <c r="AC3676" t="s">
        <v>61</v>
      </c>
      <c r="AJ3676" t="s">
        <v>69</v>
      </c>
      <c r="AY3676" t="s">
        <v>116</v>
      </c>
      <c r="AZ3676">
        <v>344</v>
      </c>
      <c r="BA3676" t="s">
        <v>117</v>
      </c>
      <c r="BB3676" t="s">
        <v>118</v>
      </c>
      <c r="BC3676">
        <v>1992</v>
      </c>
      <c r="BD3676" t="s">
        <v>90</v>
      </c>
    </row>
    <row r="3677" spans="1:56" x14ac:dyDescent="0.35">
      <c r="A3677">
        <v>9006422</v>
      </c>
      <c r="B3677" t="s">
        <v>2459</v>
      </c>
      <c r="E3677">
        <v>91.6</v>
      </c>
      <c r="F3677" t="s">
        <v>58</v>
      </c>
      <c r="G3677" t="s">
        <v>59</v>
      </c>
      <c r="H3677" t="s">
        <v>60</v>
      </c>
      <c r="J3677" t="s">
        <v>86</v>
      </c>
      <c r="L3677" t="s">
        <v>74</v>
      </c>
      <c r="M3677" t="s">
        <v>63</v>
      </c>
      <c r="N3677" t="s">
        <v>64</v>
      </c>
      <c r="P3677" t="s">
        <v>65</v>
      </c>
      <c r="Q3677" t="s">
        <v>153</v>
      </c>
      <c r="R3677">
        <v>0.60699999999999998</v>
      </c>
      <c r="W3677" t="s">
        <v>66</v>
      </c>
      <c r="X3677" t="s">
        <v>67</v>
      </c>
      <c r="Y3677" t="s">
        <v>67</v>
      </c>
      <c r="Z3677" t="s">
        <v>68</v>
      </c>
      <c r="AB3677">
        <v>4</v>
      </c>
      <c r="AC3677" t="s">
        <v>61</v>
      </c>
      <c r="AJ3677" t="s">
        <v>69</v>
      </c>
      <c r="AY3677" t="s">
        <v>116</v>
      </c>
      <c r="AZ3677">
        <v>344</v>
      </c>
      <c r="BA3677" t="s">
        <v>117</v>
      </c>
      <c r="BB3677" t="s">
        <v>118</v>
      </c>
      <c r="BC3677">
        <v>1992</v>
      </c>
      <c r="BD3677" t="s">
        <v>90</v>
      </c>
    </row>
    <row r="3678" spans="1:56" x14ac:dyDescent="0.35">
      <c r="A3678">
        <v>10025919</v>
      </c>
      <c r="B3678" t="s">
        <v>2460</v>
      </c>
      <c r="C3678" t="s">
        <v>195</v>
      </c>
      <c r="D3678" t="s">
        <v>85</v>
      </c>
      <c r="E3678" t="s">
        <v>86</v>
      </c>
      <c r="F3678" t="s">
        <v>58</v>
      </c>
      <c r="G3678" t="s">
        <v>59</v>
      </c>
      <c r="H3678" t="s">
        <v>60</v>
      </c>
      <c r="I3678" t="s">
        <v>129</v>
      </c>
      <c r="J3678">
        <v>8</v>
      </c>
      <c r="K3678" t="s">
        <v>196</v>
      </c>
      <c r="L3678" t="s">
        <v>74</v>
      </c>
      <c r="M3678" t="s">
        <v>63</v>
      </c>
      <c r="N3678" t="s">
        <v>64</v>
      </c>
      <c r="P3678" t="s">
        <v>201</v>
      </c>
      <c r="R3678">
        <v>21</v>
      </c>
      <c r="T3678">
        <v>17.899999999999999</v>
      </c>
      <c r="V3678">
        <v>25.7</v>
      </c>
      <c r="W3678" t="s">
        <v>66</v>
      </c>
      <c r="X3678" t="s">
        <v>67</v>
      </c>
      <c r="Y3678" t="s">
        <v>67</v>
      </c>
      <c r="Z3678" t="s">
        <v>68</v>
      </c>
      <c r="AB3678">
        <v>4</v>
      </c>
      <c r="AC3678" t="s">
        <v>61</v>
      </c>
      <c r="AJ3678" t="s">
        <v>69</v>
      </c>
      <c r="AY3678" t="s">
        <v>197</v>
      </c>
      <c r="AZ3678">
        <v>3783</v>
      </c>
      <c r="BA3678" t="s">
        <v>198</v>
      </c>
      <c r="BB3678" t="s">
        <v>199</v>
      </c>
      <c r="BC3678">
        <v>1978</v>
      </c>
      <c r="BD3678" t="s">
        <v>200</v>
      </c>
    </row>
    <row r="3679" spans="1:56" x14ac:dyDescent="0.35">
      <c r="A3679">
        <v>10025919</v>
      </c>
      <c r="B3679" t="s">
        <v>2460</v>
      </c>
      <c r="D3679" t="s">
        <v>85</v>
      </c>
      <c r="E3679" t="s">
        <v>86</v>
      </c>
      <c r="F3679" t="s">
        <v>58</v>
      </c>
      <c r="G3679" t="s">
        <v>59</v>
      </c>
      <c r="H3679" t="s">
        <v>60</v>
      </c>
      <c r="J3679" t="s">
        <v>86</v>
      </c>
      <c r="L3679" t="s">
        <v>62</v>
      </c>
      <c r="M3679" t="s">
        <v>63</v>
      </c>
      <c r="N3679" t="s">
        <v>64</v>
      </c>
      <c r="P3679" t="s">
        <v>201</v>
      </c>
      <c r="R3679">
        <v>9</v>
      </c>
      <c r="W3679" t="s">
        <v>66</v>
      </c>
      <c r="X3679" t="s">
        <v>67</v>
      </c>
      <c r="Y3679" t="s">
        <v>67</v>
      </c>
      <c r="Z3679" t="s">
        <v>68</v>
      </c>
      <c r="AB3679">
        <v>4</v>
      </c>
      <c r="AC3679" t="s">
        <v>61</v>
      </c>
      <c r="AJ3679" t="s">
        <v>69</v>
      </c>
      <c r="AY3679" t="s">
        <v>275</v>
      </c>
      <c r="AZ3679">
        <v>2042</v>
      </c>
      <c r="BA3679" t="s">
        <v>1490</v>
      </c>
      <c r="BB3679" t="s">
        <v>1491</v>
      </c>
      <c r="BC3679">
        <v>1960</v>
      </c>
      <c r="BD3679" t="s">
        <v>90</v>
      </c>
    </row>
    <row r="3680" spans="1:56" x14ac:dyDescent="0.35">
      <c r="A3680">
        <v>10025919</v>
      </c>
      <c r="B3680" t="s">
        <v>2460</v>
      </c>
      <c r="C3680" t="s">
        <v>195</v>
      </c>
      <c r="D3680" t="s">
        <v>85</v>
      </c>
      <c r="E3680" t="s">
        <v>86</v>
      </c>
      <c r="F3680" t="s">
        <v>58</v>
      </c>
      <c r="G3680" t="s">
        <v>59</v>
      </c>
      <c r="H3680" t="s">
        <v>60</v>
      </c>
      <c r="I3680" t="s">
        <v>129</v>
      </c>
      <c r="J3680">
        <v>8</v>
      </c>
      <c r="K3680" t="s">
        <v>196</v>
      </c>
      <c r="L3680" t="s">
        <v>74</v>
      </c>
      <c r="M3680" t="s">
        <v>63</v>
      </c>
      <c r="N3680" t="s">
        <v>64</v>
      </c>
      <c r="P3680" t="s">
        <v>201</v>
      </c>
      <c r="R3680">
        <v>22.7</v>
      </c>
      <c r="T3680">
        <v>19</v>
      </c>
      <c r="V3680">
        <v>30</v>
      </c>
      <c r="W3680" t="s">
        <v>66</v>
      </c>
      <c r="X3680" t="s">
        <v>67</v>
      </c>
      <c r="Y3680" t="s">
        <v>67</v>
      </c>
      <c r="Z3680" t="s">
        <v>68</v>
      </c>
      <c r="AB3680">
        <v>4</v>
      </c>
      <c r="AC3680" t="s">
        <v>61</v>
      </c>
      <c r="AJ3680" t="s">
        <v>69</v>
      </c>
      <c r="AY3680" t="s">
        <v>197</v>
      </c>
      <c r="AZ3680">
        <v>3783</v>
      </c>
      <c r="BA3680" t="s">
        <v>198</v>
      </c>
      <c r="BB3680" t="s">
        <v>199</v>
      </c>
      <c r="BC3680">
        <v>1978</v>
      </c>
      <c r="BD3680" t="s">
        <v>200</v>
      </c>
    </row>
    <row r="3681" spans="1:56" x14ac:dyDescent="0.35">
      <c r="A3681">
        <v>10025919</v>
      </c>
      <c r="B3681" t="s">
        <v>2460</v>
      </c>
      <c r="D3681" t="s">
        <v>57</v>
      </c>
      <c r="E3681" t="s">
        <v>86</v>
      </c>
      <c r="F3681" t="s">
        <v>58</v>
      </c>
      <c r="G3681" t="s">
        <v>59</v>
      </c>
      <c r="H3681" t="s">
        <v>60</v>
      </c>
      <c r="J3681">
        <v>30</v>
      </c>
      <c r="K3681" t="s">
        <v>61</v>
      </c>
      <c r="L3681" t="s">
        <v>62</v>
      </c>
      <c r="M3681" t="s">
        <v>63</v>
      </c>
      <c r="N3681" t="s">
        <v>64</v>
      </c>
      <c r="O3681">
        <v>4</v>
      </c>
      <c r="P3681" t="s">
        <v>201</v>
      </c>
      <c r="R3681">
        <v>14.4</v>
      </c>
      <c r="T3681">
        <v>11.7</v>
      </c>
      <c r="V3681">
        <v>17.8</v>
      </c>
      <c r="W3681" t="s">
        <v>66</v>
      </c>
      <c r="X3681" t="s">
        <v>67</v>
      </c>
      <c r="Y3681" t="s">
        <v>67</v>
      </c>
      <c r="Z3681" t="s">
        <v>68</v>
      </c>
      <c r="AB3681">
        <v>4</v>
      </c>
      <c r="AC3681" t="s">
        <v>61</v>
      </c>
      <c r="AJ3681" t="s">
        <v>69</v>
      </c>
      <c r="AY3681" t="s">
        <v>2461</v>
      </c>
      <c r="AZ3681">
        <v>61178</v>
      </c>
      <c r="BA3681" t="s">
        <v>2462</v>
      </c>
      <c r="BB3681" t="s">
        <v>2463</v>
      </c>
      <c r="BC3681">
        <v>1986</v>
      </c>
      <c r="BD3681" t="s">
        <v>73</v>
      </c>
    </row>
    <row r="3682" spans="1:56" x14ac:dyDescent="0.35">
      <c r="A3682">
        <v>10025919</v>
      </c>
      <c r="B3682" t="s">
        <v>2460</v>
      </c>
      <c r="D3682" t="s">
        <v>85</v>
      </c>
      <c r="E3682" t="s">
        <v>86</v>
      </c>
      <c r="F3682" t="s">
        <v>58</v>
      </c>
      <c r="G3682" t="s">
        <v>59</v>
      </c>
      <c r="H3682" t="s">
        <v>60</v>
      </c>
      <c r="J3682" t="s">
        <v>86</v>
      </c>
      <c r="L3682" t="s">
        <v>62</v>
      </c>
      <c r="M3682" t="s">
        <v>63</v>
      </c>
      <c r="N3682" t="s">
        <v>64</v>
      </c>
      <c r="P3682" t="s">
        <v>201</v>
      </c>
      <c r="R3682">
        <v>17</v>
      </c>
      <c r="W3682" t="s">
        <v>66</v>
      </c>
      <c r="X3682" t="s">
        <v>67</v>
      </c>
      <c r="Y3682" t="s">
        <v>67</v>
      </c>
      <c r="Z3682" t="s">
        <v>68</v>
      </c>
      <c r="AB3682">
        <v>4</v>
      </c>
      <c r="AC3682" t="s">
        <v>61</v>
      </c>
      <c r="AJ3682" t="s">
        <v>69</v>
      </c>
      <c r="AY3682" t="s">
        <v>275</v>
      </c>
      <c r="AZ3682">
        <v>2042</v>
      </c>
      <c r="BA3682" t="s">
        <v>1490</v>
      </c>
      <c r="BB3682" t="s">
        <v>1491</v>
      </c>
      <c r="BC3682">
        <v>1960</v>
      </c>
      <c r="BD3682" t="s">
        <v>90</v>
      </c>
    </row>
    <row r="3683" spans="1:56" x14ac:dyDescent="0.35">
      <c r="A3683">
        <v>10031820</v>
      </c>
      <c r="B3683" t="s">
        <v>2464</v>
      </c>
      <c r="D3683" t="s">
        <v>57</v>
      </c>
      <c r="E3683" t="s">
        <v>86</v>
      </c>
      <c r="F3683" t="s">
        <v>58</v>
      </c>
      <c r="G3683" t="s">
        <v>59</v>
      </c>
      <c r="H3683" t="s">
        <v>60</v>
      </c>
      <c r="J3683">
        <v>30</v>
      </c>
      <c r="K3683" t="s">
        <v>61</v>
      </c>
      <c r="L3683" t="s">
        <v>74</v>
      </c>
      <c r="M3683" t="s">
        <v>63</v>
      </c>
      <c r="N3683" t="s">
        <v>64</v>
      </c>
      <c r="P3683" t="s">
        <v>65</v>
      </c>
      <c r="R3683">
        <v>27.6</v>
      </c>
      <c r="W3683" t="s">
        <v>66</v>
      </c>
      <c r="X3683" t="s">
        <v>67</v>
      </c>
      <c r="Y3683" t="s">
        <v>67</v>
      </c>
      <c r="Z3683" t="s">
        <v>68</v>
      </c>
      <c r="AB3683">
        <v>4</v>
      </c>
      <c r="AC3683" t="s">
        <v>61</v>
      </c>
      <c r="AJ3683" t="s">
        <v>69</v>
      </c>
      <c r="AY3683" t="s">
        <v>138</v>
      </c>
      <c r="AZ3683">
        <v>4154</v>
      </c>
      <c r="BA3683" t="s">
        <v>356</v>
      </c>
      <c r="BB3683" t="s">
        <v>357</v>
      </c>
      <c r="BC3683">
        <v>1981</v>
      </c>
      <c r="BD3683" t="s">
        <v>73</v>
      </c>
    </row>
    <row r="3684" spans="1:56" x14ac:dyDescent="0.35">
      <c r="A3684">
        <v>10031820</v>
      </c>
      <c r="B3684" t="s">
        <v>2464</v>
      </c>
      <c r="D3684" t="s">
        <v>57</v>
      </c>
      <c r="E3684">
        <v>99</v>
      </c>
      <c r="F3684" t="s">
        <v>58</v>
      </c>
      <c r="G3684" t="s">
        <v>59</v>
      </c>
      <c r="H3684" t="s">
        <v>60</v>
      </c>
      <c r="J3684">
        <v>30</v>
      </c>
      <c r="K3684" t="s">
        <v>61</v>
      </c>
      <c r="L3684" t="s">
        <v>74</v>
      </c>
      <c r="M3684" t="s">
        <v>63</v>
      </c>
      <c r="N3684" t="s">
        <v>64</v>
      </c>
      <c r="O3684">
        <v>6</v>
      </c>
      <c r="P3684" t="s">
        <v>65</v>
      </c>
      <c r="R3684">
        <v>28.1</v>
      </c>
      <c r="T3684">
        <v>23.7</v>
      </c>
      <c r="V3684">
        <v>33.299999999999997</v>
      </c>
      <c r="W3684" t="s">
        <v>66</v>
      </c>
      <c r="X3684" t="s">
        <v>67</v>
      </c>
      <c r="Y3684" t="s">
        <v>67</v>
      </c>
      <c r="Z3684" t="s">
        <v>68</v>
      </c>
      <c r="AB3684">
        <v>4</v>
      </c>
      <c r="AC3684" t="s">
        <v>61</v>
      </c>
      <c r="AJ3684" t="s">
        <v>69</v>
      </c>
      <c r="AY3684" t="s">
        <v>286</v>
      </c>
      <c r="AZ3684">
        <v>12448</v>
      </c>
      <c r="BA3684" t="s">
        <v>287</v>
      </c>
      <c r="BB3684" t="s">
        <v>288</v>
      </c>
      <c r="BC3684">
        <v>1984</v>
      </c>
      <c r="BD3684" t="s">
        <v>73</v>
      </c>
    </row>
    <row r="3685" spans="1:56" x14ac:dyDescent="0.35">
      <c r="A3685">
        <v>10039540</v>
      </c>
      <c r="B3685" t="s">
        <v>2465</v>
      </c>
      <c r="D3685" t="s">
        <v>85</v>
      </c>
      <c r="E3685" t="s">
        <v>86</v>
      </c>
      <c r="F3685" t="s">
        <v>58</v>
      </c>
      <c r="G3685" t="s">
        <v>59</v>
      </c>
      <c r="H3685" t="s">
        <v>60</v>
      </c>
      <c r="J3685" t="s">
        <v>86</v>
      </c>
      <c r="L3685" t="s">
        <v>62</v>
      </c>
      <c r="M3685" t="s">
        <v>63</v>
      </c>
      <c r="N3685" t="s">
        <v>64</v>
      </c>
      <c r="O3685">
        <v>4</v>
      </c>
      <c r="P3685" t="s">
        <v>100</v>
      </c>
      <c r="T3685">
        <v>1</v>
      </c>
      <c r="V3685">
        <v>10</v>
      </c>
      <c r="W3685" t="s">
        <v>66</v>
      </c>
      <c r="X3685" t="s">
        <v>67</v>
      </c>
      <c r="Y3685" t="s">
        <v>67</v>
      </c>
      <c r="Z3685" t="s">
        <v>68</v>
      </c>
      <c r="AB3685">
        <v>4</v>
      </c>
      <c r="AC3685" t="s">
        <v>61</v>
      </c>
      <c r="AJ3685" t="s">
        <v>69</v>
      </c>
      <c r="AY3685" t="s">
        <v>173</v>
      </c>
      <c r="AZ3685">
        <v>167113</v>
      </c>
      <c r="BA3685" t="s">
        <v>174</v>
      </c>
      <c r="BB3685" t="s">
        <v>175</v>
      </c>
      <c r="BC3685">
        <v>1974</v>
      </c>
      <c r="BD3685" t="s">
        <v>90</v>
      </c>
    </row>
    <row r="3686" spans="1:56" x14ac:dyDescent="0.35">
      <c r="A3686">
        <v>10039540</v>
      </c>
      <c r="B3686" t="s">
        <v>2465</v>
      </c>
      <c r="D3686" t="s">
        <v>85</v>
      </c>
      <c r="E3686" t="s">
        <v>86</v>
      </c>
      <c r="F3686" t="s">
        <v>58</v>
      </c>
      <c r="G3686" t="s">
        <v>59</v>
      </c>
      <c r="H3686" t="s">
        <v>60</v>
      </c>
      <c r="J3686" t="s">
        <v>86</v>
      </c>
      <c r="L3686" t="s">
        <v>62</v>
      </c>
      <c r="M3686" t="s">
        <v>63</v>
      </c>
      <c r="N3686" t="s">
        <v>64</v>
      </c>
      <c r="O3686">
        <v>6</v>
      </c>
      <c r="P3686" t="s">
        <v>100</v>
      </c>
      <c r="R3686">
        <v>7.2</v>
      </c>
      <c r="W3686" t="s">
        <v>66</v>
      </c>
      <c r="X3686" t="s">
        <v>67</v>
      </c>
      <c r="Y3686" t="s">
        <v>67</v>
      </c>
      <c r="Z3686" t="s">
        <v>68</v>
      </c>
      <c r="AB3686">
        <v>4</v>
      </c>
      <c r="AC3686" t="s">
        <v>61</v>
      </c>
      <c r="AJ3686" t="s">
        <v>69</v>
      </c>
      <c r="AY3686" t="s">
        <v>173</v>
      </c>
      <c r="AZ3686">
        <v>167113</v>
      </c>
      <c r="BA3686" t="s">
        <v>174</v>
      </c>
      <c r="BB3686" t="s">
        <v>175</v>
      </c>
      <c r="BC3686">
        <v>1974</v>
      </c>
      <c r="BD3686" t="s">
        <v>90</v>
      </c>
    </row>
    <row r="3687" spans="1:56" x14ac:dyDescent="0.35">
      <c r="A3687">
        <v>10039540</v>
      </c>
      <c r="B3687" t="s">
        <v>2465</v>
      </c>
      <c r="D3687" t="s">
        <v>85</v>
      </c>
      <c r="E3687" t="s">
        <v>86</v>
      </c>
      <c r="F3687" t="s">
        <v>58</v>
      </c>
      <c r="G3687" t="s">
        <v>59</v>
      </c>
      <c r="H3687" t="s">
        <v>60</v>
      </c>
      <c r="J3687" t="s">
        <v>86</v>
      </c>
      <c r="L3687" t="s">
        <v>62</v>
      </c>
      <c r="M3687" t="s">
        <v>63</v>
      </c>
      <c r="N3687" t="s">
        <v>64</v>
      </c>
      <c r="O3687">
        <v>6</v>
      </c>
      <c r="P3687" t="s">
        <v>100</v>
      </c>
      <c r="T3687">
        <v>1.8</v>
      </c>
      <c r="V3687">
        <v>10</v>
      </c>
      <c r="W3687" t="s">
        <v>66</v>
      </c>
      <c r="X3687" t="s">
        <v>67</v>
      </c>
      <c r="Y3687" t="s">
        <v>67</v>
      </c>
      <c r="Z3687" t="s">
        <v>68</v>
      </c>
      <c r="AB3687">
        <v>4</v>
      </c>
      <c r="AC3687" t="s">
        <v>61</v>
      </c>
      <c r="AJ3687" t="s">
        <v>69</v>
      </c>
      <c r="AY3687" t="s">
        <v>173</v>
      </c>
      <c r="AZ3687">
        <v>167113</v>
      </c>
      <c r="BA3687" t="s">
        <v>174</v>
      </c>
      <c r="BB3687" t="s">
        <v>175</v>
      </c>
      <c r="BC3687">
        <v>1974</v>
      </c>
      <c r="BD3687" t="s">
        <v>90</v>
      </c>
    </row>
    <row r="3688" spans="1:56" x14ac:dyDescent="0.35">
      <c r="A3688">
        <v>10042849</v>
      </c>
      <c r="B3688" t="s">
        <v>2466</v>
      </c>
      <c r="D3688" t="s">
        <v>85</v>
      </c>
      <c r="E3688" t="s">
        <v>86</v>
      </c>
      <c r="F3688" t="s">
        <v>58</v>
      </c>
      <c r="G3688" t="s">
        <v>59</v>
      </c>
      <c r="H3688" t="s">
        <v>60</v>
      </c>
      <c r="J3688" t="s">
        <v>86</v>
      </c>
      <c r="K3688" t="s">
        <v>61</v>
      </c>
      <c r="L3688" t="s">
        <v>62</v>
      </c>
      <c r="M3688" t="s">
        <v>63</v>
      </c>
      <c r="N3688" t="s">
        <v>64</v>
      </c>
      <c r="P3688" t="s">
        <v>100</v>
      </c>
      <c r="R3688">
        <v>470</v>
      </c>
      <c r="W3688" t="s">
        <v>66</v>
      </c>
      <c r="X3688" t="s">
        <v>67</v>
      </c>
      <c r="Y3688" t="s">
        <v>67</v>
      </c>
      <c r="Z3688" t="s">
        <v>68</v>
      </c>
      <c r="AB3688">
        <v>4</v>
      </c>
      <c r="AC3688" t="s">
        <v>61</v>
      </c>
      <c r="AJ3688" t="s">
        <v>69</v>
      </c>
      <c r="AY3688" t="s">
        <v>2467</v>
      </c>
      <c r="AZ3688">
        <v>506</v>
      </c>
      <c r="BA3688" t="s">
        <v>2468</v>
      </c>
      <c r="BB3688" t="s">
        <v>2469</v>
      </c>
      <c r="BC3688">
        <v>1974</v>
      </c>
      <c r="BD3688" t="s">
        <v>1333</v>
      </c>
    </row>
    <row r="3689" spans="1:56" x14ac:dyDescent="0.35">
      <c r="A3689">
        <v>10042849</v>
      </c>
      <c r="B3689" t="s">
        <v>2466</v>
      </c>
      <c r="D3689" t="s">
        <v>85</v>
      </c>
      <c r="E3689">
        <v>99</v>
      </c>
      <c r="F3689" t="s">
        <v>58</v>
      </c>
      <c r="G3689" t="s">
        <v>59</v>
      </c>
      <c r="H3689" t="s">
        <v>60</v>
      </c>
      <c r="J3689" t="s">
        <v>86</v>
      </c>
      <c r="L3689" t="s">
        <v>74</v>
      </c>
      <c r="M3689" t="s">
        <v>63</v>
      </c>
      <c r="N3689" t="s">
        <v>64</v>
      </c>
      <c r="P3689" t="s">
        <v>65</v>
      </c>
      <c r="R3689">
        <v>114</v>
      </c>
      <c r="W3689" t="s">
        <v>66</v>
      </c>
      <c r="X3689" t="s">
        <v>67</v>
      </c>
      <c r="Y3689" t="s">
        <v>67</v>
      </c>
      <c r="Z3689" t="s">
        <v>68</v>
      </c>
      <c r="AB3689">
        <v>4</v>
      </c>
      <c r="AC3689" t="s">
        <v>61</v>
      </c>
      <c r="AJ3689" t="s">
        <v>69</v>
      </c>
      <c r="AY3689" t="s">
        <v>2467</v>
      </c>
      <c r="AZ3689">
        <v>506</v>
      </c>
      <c r="BA3689" t="s">
        <v>2468</v>
      </c>
      <c r="BB3689" t="s">
        <v>2469</v>
      </c>
      <c r="BC3689">
        <v>1974</v>
      </c>
      <c r="BD3689" t="s">
        <v>90</v>
      </c>
    </row>
    <row r="3690" spans="1:56" x14ac:dyDescent="0.35">
      <c r="A3690">
        <v>10042849</v>
      </c>
      <c r="B3690" t="s">
        <v>2466</v>
      </c>
      <c r="D3690" t="s">
        <v>57</v>
      </c>
      <c r="E3690" t="s">
        <v>86</v>
      </c>
      <c r="F3690" t="s">
        <v>58</v>
      </c>
      <c r="G3690" t="s">
        <v>59</v>
      </c>
      <c r="H3690" t="s">
        <v>60</v>
      </c>
      <c r="J3690" t="s">
        <v>86</v>
      </c>
      <c r="L3690" t="s">
        <v>74</v>
      </c>
      <c r="M3690" t="s">
        <v>63</v>
      </c>
      <c r="N3690" t="s">
        <v>64</v>
      </c>
      <c r="P3690" t="s">
        <v>65</v>
      </c>
      <c r="R3690">
        <v>127</v>
      </c>
      <c r="T3690">
        <v>93</v>
      </c>
      <c r="V3690">
        <v>170</v>
      </c>
      <c r="W3690" t="s">
        <v>66</v>
      </c>
      <c r="X3690" t="s">
        <v>67</v>
      </c>
      <c r="Y3690" t="s">
        <v>67</v>
      </c>
      <c r="Z3690" t="s">
        <v>68</v>
      </c>
      <c r="AB3690">
        <v>4</v>
      </c>
      <c r="AC3690" t="s">
        <v>61</v>
      </c>
      <c r="AJ3690" t="s">
        <v>69</v>
      </c>
      <c r="AY3690" t="s">
        <v>2470</v>
      </c>
      <c r="AZ3690">
        <v>505</v>
      </c>
      <c r="BA3690" t="s">
        <v>2471</v>
      </c>
      <c r="BB3690" t="s">
        <v>2472</v>
      </c>
      <c r="BC3690">
        <v>1973</v>
      </c>
      <c r="BD3690" t="s">
        <v>90</v>
      </c>
    </row>
    <row r="3691" spans="1:56" x14ac:dyDescent="0.35">
      <c r="A3691">
        <v>10042849</v>
      </c>
      <c r="B3691" t="s">
        <v>2466</v>
      </c>
      <c r="D3691" t="s">
        <v>85</v>
      </c>
      <c r="E3691" t="s">
        <v>86</v>
      </c>
      <c r="F3691" t="s">
        <v>58</v>
      </c>
      <c r="G3691" t="s">
        <v>59</v>
      </c>
      <c r="H3691" t="s">
        <v>60</v>
      </c>
      <c r="J3691" t="s">
        <v>86</v>
      </c>
      <c r="K3691" t="s">
        <v>61</v>
      </c>
      <c r="L3691" t="s">
        <v>62</v>
      </c>
      <c r="M3691" t="s">
        <v>63</v>
      </c>
      <c r="N3691" t="s">
        <v>64</v>
      </c>
      <c r="P3691" t="s">
        <v>100</v>
      </c>
      <c r="R3691">
        <v>225</v>
      </c>
      <c r="W3691" t="s">
        <v>66</v>
      </c>
      <c r="X3691" t="s">
        <v>67</v>
      </c>
      <c r="Y3691" t="s">
        <v>67</v>
      </c>
      <c r="Z3691" t="s">
        <v>68</v>
      </c>
      <c r="AB3691">
        <v>4</v>
      </c>
      <c r="AC3691" t="s">
        <v>61</v>
      </c>
      <c r="AJ3691" t="s">
        <v>69</v>
      </c>
      <c r="AY3691" t="s">
        <v>2467</v>
      </c>
      <c r="AZ3691">
        <v>506</v>
      </c>
      <c r="BA3691" t="s">
        <v>2468</v>
      </c>
      <c r="BB3691" t="s">
        <v>2469</v>
      </c>
      <c r="BC3691">
        <v>1974</v>
      </c>
      <c r="BD3691" t="s">
        <v>1333</v>
      </c>
    </row>
    <row r="3692" spans="1:56" x14ac:dyDescent="0.35">
      <c r="A3692">
        <v>10043013</v>
      </c>
      <c r="B3692" t="s">
        <v>2473</v>
      </c>
      <c r="E3692">
        <v>8.1</v>
      </c>
      <c r="F3692" t="s">
        <v>58</v>
      </c>
      <c r="G3692" t="s">
        <v>59</v>
      </c>
      <c r="H3692" t="s">
        <v>60</v>
      </c>
      <c r="J3692" t="s">
        <v>86</v>
      </c>
      <c r="L3692" t="s">
        <v>62</v>
      </c>
      <c r="M3692" t="s">
        <v>63</v>
      </c>
      <c r="N3692" t="s">
        <v>64</v>
      </c>
      <c r="P3692" t="s">
        <v>201</v>
      </c>
      <c r="R3692">
        <v>4.4000000000000004</v>
      </c>
      <c r="T3692">
        <v>3.4</v>
      </c>
      <c r="V3692">
        <v>5.6</v>
      </c>
      <c r="W3692" t="s">
        <v>66</v>
      </c>
      <c r="X3692" t="s">
        <v>67</v>
      </c>
      <c r="Y3692" t="s">
        <v>67</v>
      </c>
      <c r="Z3692" t="s">
        <v>68</v>
      </c>
      <c r="AB3692">
        <v>4</v>
      </c>
      <c r="AC3692" t="s">
        <v>61</v>
      </c>
      <c r="AJ3692" t="s">
        <v>69</v>
      </c>
      <c r="AY3692" t="s">
        <v>96</v>
      </c>
      <c r="AZ3692">
        <v>6797</v>
      </c>
      <c r="BA3692" t="s">
        <v>97</v>
      </c>
      <c r="BB3692" t="s">
        <v>98</v>
      </c>
      <c r="BC3692">
        <v>1986</v>
      </c>
      <c r="BD3692" t="s">
        <v>90</v>
      </c>
    </row>
    <row r="3693" spans="1:56" x14ac:dyDescent="0.35">
      <c r="A3693">
        <v>10043013</v>
      </c>
      <c r="B3693" t="s">
        <v>2473</v>
      </c>
      <c r="C3693" t="s">
        <v>195</v>
      </c>
      <c r="D3693" t="s">
        <v>85</v>
      </c>
      <c r="E3693" t="s">
        <v>86</v>
      </c>
      <c r="F3693" t="s">
        <v>58</v>
      </c>
      <c r="G3693" t="s">
        <v>59</v>
      </c>
      <c r="H3693" t="s">
        <v>60</v>
      </c>
      <c r="I3693" t="s">
        <v>129</v>
      </c>
      <c r="J3693">
        <v>8</v>
      </c>
      <c r="K3693" t="s">
        <v>196</v>
      </c>
      <c r="L3693" t="s">
        <v>74</v>
      </c>
      <c r="M3693" t="s">
        <v>63</v>
      </c>
      <c r="N3693" t="s">
        <v>64</v>
      </c>
      <c r="P3693" t="s">
        <v>201</v>
      </c>
      <c r="R3693">
        <v>36.1</v>
      </c>
      <c r="W3693" t="s">
        <v>66</v>
      </c>
      <c r="X3693" t="s">
        <v>67</v>
      </c>
      <c r="Y3693" t="s">
        <v>67</v>
      </c>
      <c r="Z3693" t="s">
        <v>68</v>
      </c>
      <c r="AB3693">
        <v>4</v>
      </c>
      <c r="AC3693" t="s">
        <v>61</v>
      </c>
      <c r="AJ3693" t="s">
        <v>69</v>
      </c>
      <c r="AY3693" t="s">
        <v>197</v>
      </c>
      <c r="AZ3693">
        <v>3783</v>
      </c>
      <c r="BA3693" t="s">
        <v>198</v>
      </c>
      <c r="BB3693" t="s">
        <v>199</v>
      </c>
      <c r="BC3693">
        <v>1978</v>
      </c>
      <c r="BD3693" t="s">
        <v>200</v>
      </c>
    </row>
    <row r="3694" spans="1:56" x14ac:dyDescent="0.35">
      <c r="A3694">
        <v>10043013</v>
      </c>
      <c r="B3694" t="s">
        <v>2473</v>
      </c>
      <c r="C3694" t="s">
        <v>195</v>
      </c>
      <c r="D3694" t="s">
        <v>85</v>
      </c>
      <c r="E3694" t="s">
        <v>86</v>
      </c>
      <c r="F3694" t="s">
        <v>58</v>
      </c>
      <c r="G3694" t="s">
        <v>59</v>
      </c>
      <c r="H3694" t="s">
        <v>60</v>
      </c>
      <c r="I3694" t="s">
        <v>129</v>
      </c>
      <c r="J3694">
        <v>8</v>
      </c>
      <c r="K3694" t="s">
        <v>196</v>
      </c>
      <c r="L3694" t="s">
        <v>74</v>
      </c>
      <c r="M3694" t="s">
        <v>63</v>
      </c>
      <c r="N3694" t="s">
        <v>64</v>
      </c>
      <c r="P3694" t="s">
        <v>201</v>
      </c>
      <c r="R3694">
        <v>33.9</v>
      </c>
      <c r="T3694">
        <v>26.7</v>
      </c>
      <c r="V3694">
        <v>49.4</v>
      </c>
      <c r="W3694" t="s">
        <v>66</v>
      </c>
      <c r="X3694" t="s">
        <v>67</v>
      </c>
      <c r="Y3694" t="s">
        <v>67</v>
      </c>
      <c r="Z3694" t="s">
        <v>68</v>
      </c>
      <c r="AB3694">
        <v>4</v>
      </c>
      <c r="AC3694" t="s">
        <v>61</v>
      </c>
      <c r="AJ3694" t="s">
        <v>69</v>
      </c>
      <c r="AY3694" t="s">
        <v>197</v>
      </c>
      <c r="AZ3694">
        <v>3783</v>
      </c>
      <c r="BA3694" t="s">
        <v>198</v>
      </c>
      <c r="BB3694" t="s">
        <v>199</v>
      </c>
      <c r="BC3694">
        <v>1978</v>
      </c>
      <c r="BD3694" t="s">
        <v>200</v>
      </c>
    </row>
    <row r="3695" spans="1:56" x14ac:dyDescent="0.35">
      <c r="A3695">
        <v>10043524</v>
      </c>
      <c r="B3695" t="s">
        <v>2474</v>
      </c>
      <c r="C3695" t="s">
        <v>195</v>
      </c>
      <c r="D3695" t="s">
        <v>85</v>
      </c>
      <c r="E3695" t="s">
        <v>86</v>
      </c>
      <c r="F3695" t="s">
        <v>58</v>
      </c>
      <c r="G3695" t="s">
        <v>59</v>
      </c>
      <c r="H3695" t="s">
        <v>60</v>
      </c>
      <c r="J3695" t="s">
        <v>86</v>
      </c>
      <c r="K3695" t="s">
        <v>61</v>
      </c>
      <c r="L3695" t="s">
        <v>62</v>
      </c>
      <c r="M3695" t="s">
        <v>63</v>
      </c>
      <c r="N3695" t="s">
        <v>64</v>
      </c>
      <c r="P3695" t="s">
        <v>201</v>
      </c>
      <c r="R3695">
        <v>4630</v>
      </c>
      <c r="T3695">
        <v>3930</v>
      </c>
      <c r="V3695">
        <v>5360</v>
      </c>
      <c r="W3695" t="s">
        <v>66</v>
      </c>
      <c r="X3695" t="s">
        <v>67</v>
      </c>
      <c r="Y3695" t="s">
        <v>67</v>
      </c>
      <c r="Z3695" t="s">
        <v>68</v>
      </c>
      <c r="AB3695">
        <v>4</v>
      </c>
      <c r="AC3695" t="s">
        <v>61</v>
      </c>
      <c r="AJ3695" t="s">
        <v>69</v>
      </c>
      <c r="AY3695" t="s">
        <v>1456</v>
      </c>
      <c r="AZ3695">
        <v>18272</v>
      </c>
      <c r="BA3695" t="s">
        <v>1457</v>
      </c>
      <c r="BB3695" t="s">
        <v>1458</v>
      </c>
      <c r="BC3695">
        <v>1997</v>
      </c>
      <c r="BD3695" t="s">
        <v>1459</v>
      </c>
    </row>
    <row r="3696" spans="1:56" x14ac:dyDescent="0.35">
      <c r="A3696">
        <v>10043524</v>
      </c>
      <c r="B3696" t="s">
        <v>2474</v>
      </c>
      <c r="D3696" t="s">
        <v>85</v>
      </c>
      <c r="E3696" t="s">
        <v>86</v>
      </c>
      <c r="F3696" t="s">
        <v>58</v>
      </c>
      <c r="G3696" t="s">
        <v>59</v>
      </c>
      <c r="H3696" t="s">
        <v>60</v>
      </c>
      <c r="J3696" t="s">
        <v>86</v>
      </c>
      <c r="L3696" t="s">
        <v>62</v>
      </c>
      <c r="M3696" t="s">
        <v>63</v>
      </c>
      <c r="N3696" t="s">
        <v>64</v>
      </c>
      <c r="O3696">
        <v>6</v>
      </c>
      <c r="P3696" t="s">
        <v>201</v>
      </c>
      <c r="R3696">
        <v>2110</v>
      </c>
      <c r="T3696">
        <v>1980</v>
      </c>
      <c r="V3696">
        <v>2220</v>
      </c>
      <c r="W3696" t="s">
        <v>66</v>
      </c>
      <c r="X3696" t="s">
        <v>67</v>
      </c>
      <c r="Y3696" t="s">
        <v>67</v>
      </c>
      <c r="Z3696" t="s">
        <v>68</v>
      </c>
      <c r="AB3696">
        <v>4</v>
      </c>
      <c r="AC3696" t="s">
        <v>61</v>
      </c>
      <c r="AJ3696" t="s">
        <v>69</v>
      </c>
      <c r="AY3696" t="s">
        <v>2475</v>
      </c>
      <c r="AZ3696">
        <v>19549</v>
      </c>
      <c r="BA3696" t="s">
        <v>2476</v>
      </c>
      <c r="BB3696" t="s">
        <v>2477</v>
      </c>
      <c r="BC3696">
        <v>1989</v>
      </c>
      <c r="BD3696" t="s">
        <v>90</v>
      </c>
    </row>
    <row r="3697" spans="1:56" x14ac:dyDescent="0.35">
      <c r="A3697">
        <v>10045940</v>
      </c>
      <c r="B3697" t="s">
        <v>2478</v>
      </c>
      <c r="C3697" t="s">
        <v>195</v>
      </c>
      <c r="D3697" t="s">
        <v>57</v>
      </c>
      <c r="E3697" t="s">
        <v>86</v>
      </c>
      <c r="F3697" t="s">
        <v>58</v>
      </c>
      <c r="G3697" t="s">
        <v>59</v>
      </c>
      <c r="H3697" t="s">
        <v>60</v>
      </c>
      <c r="J3697" t="s">
        <v>1854</v>
      </c>
      <c r="K3697" t="s">
        <v>61</v>
      </c>
      <c r="L3697" t="s">
        <v>74</v>
      </c>
      <c r="M3697" t="s">
        <v>63</v>
      </c>
      <c r="N3697" t="s">
        <v>64</v>
      </c>
      <c r="P3697" t="s">
        <v>201</v>
      </c>
      <c r="R3697">
        <v>0.17199999999999999</v>
      </c>
      <c r="T3697">
        <v>8.5999999999999993E-2</v>
      </c>
      <c r="V3697">
        <v>0.34699999999999998</v>
      </c>
      <c r="W3697" t="s">
        <v>66</v>
      </c>
      <c r="X3697" t="s">
        <v>67</v>
      </c>
      <c r="Y3697" t="s">
        <v>67</v>
      </c>
      <c r="Z3697" t="s">
        <v>68</v>
      </c>
      <c r="AB3697">
        <v>4</v>
      </c>
      <c r="AC3697" t="s">
        <v>61</v>
      </c>
      <c r="AJ3697" t="s">
        <v>69</v>
      </c>
      <c r="AY3697" t="s">
        <v>1855</v>
      </c>
      <c r="AZ3697">
        <v>12093</v>
      </c>
      <c r="BA3697" t="s">
        <v>1856</v>
      </c>
      <c r="BB3697" t="s">
        <v>1857</v>
      </c>
      <c r="BC3697">
        <v>1986</v>
      </c>
      <c r="BD3697" t="s">
        <v>73</v>
      </c>
    </row>
    <row r="3698" spans="1:56" x14ac:dyDescent="0.35">
      <c r="A3698">
        <v>10099748</v>
      </c>
      <c r="B3698" t="s">
        <v>2479</v>
      </c>
      <c r="D3698" t="s">
        <v>57</v>
      </c>
      <c r="E3698">
        <v>99.927999999999997</v>
      </c>
      <c r="F3698" t="s">
        <v>58</v>
      </c>
      <c r="G3698" t="s">
        <v>59</v>
      </c>
      <c r="H3698" t="s">
        <v>60</v>
      </c>
      <c r="I3698" t="s">
        <v>177</v>
      </c>
      <c r="J3698">
        <v>4</v>
      </c>
      <c r="K3698" t="s">
        <v>61</v>
      </c>
      <c r="L3698" t="s">
        <v>62</v>
      </c>
      <c r="M3698" t="s">
        <v>63</v>
      </c>
      <c r="N3698" t="s">
        <v>64</v>
      </c>
      <c r="O3698">
        <v>7</v>
      </c>
      <c r="P3698" t="s">
        <v>1296</v>
      </c>
      <c r="R3698">
        <v>2.7</v>
      </c>
      <c r="T3698">
        <v>1.9</v>
      </c>
      <c r="V3698">
        <v>3.8</v>
      </c>
      <c r="W3698" t="s">
        <v>66</v>
      </c>
      <c r="X3698" t="s">
        <v>67</v>
      </c>
      <c r="Y3698" t="s">
        <v>67</v>
      </c>
      <c r="Z3698" t="s">
        <v>68</v>
      </c>
      <c r="AB3698">
        <v>4</v>
      </c>
      <c r="AC3698" t="s">
        <v>61</v>
      </c>
      <c r="AJ3698" t="s">
        <v>69</v>
      </c>
      <c r="AY3698" t="s">
        <v>2082</v>
      </c>
      <c r="AZ3698">
        <v>121067</v>
      </c>
      <c r="BA3698" t="s">
        <v>2083</v>
      </c>
      <c r="BB3698" t="s">
        <v>2084</v>
      </c>
      <c r="BC3698">
        <v>1982</v>
      </c>
      <c r="BD3698" t="s">
        <v>73</v>
      </c>
    </row>
    <row r="3699" spans="1:56" x14ac:dyDescent="0.35">
      <c r="A3699">
        <v>10099748</v>
      </c>
      <c r="B3699" t="s">
        <v>2479</v>
      </c>
      <c r="C3699" t="s">
        <v>195</v>
      </c>
      <c r="D3699" t="s">
        <v>57</v>
      </c>
      <c r="E3699" t="s">
        <v>86</v>
      </c>
      <c r="F3699" t="s">
        <v>58</v>
      </c>
      <c r="G3699" t="s">
        <v>59</v>
      </c>
      <c r="H3699" t="s">
        <v>60</v>
      </c>
      <c r="J3699" t="s">
        <v>1854</v>
      </c>
      <c r="K3699" t="s">
        <v>61</v>
      </c>
      <c r="L3699" t="s">
        <v>74</v>
      </c>
      <c r="M3699" t="s">
        <v>63</v>
      </c>
      <c r="N3699" t="s">
        <v>64</v>
      </c>
      <c r="P3699" t="s">
        <v>1296</v>
      </c>
      <c r="R3699">
        <v>2.1</v>
      </c>
      <c r="T3699">
        <v>1.1000000000000001</v>
      </c>
      <c r="V3699">
        <v>4</v>
      </c>
      <c r="W3699" t="s">
        <v>66</v>
      </c>
      <c r="X3699" t="s">
        <v>67</v>
      </c>
      <c r="Y3699" t="s">
        <v>67</v>
      </c>
      <c r="Z3699" t="s">
        <v>68</v>
      </c>
      <c r="AB3699">
        <v>4</v>
      </c>
      <c r="AC3699" t="s">
        <v>61</v>
      </c>
      <c r="AJ3699" t="s">
        <v>69</v>
      </c>
      <c r="AY3699" t="s">
        <v>1855</v>
      </c>
      <c r="AZ3699">
        <v>12093</v>
      </c>
      <c r="BA3699" t="s">
        <v>1856</v>
      </c>
      <c r="BB3699" t="s">
        <v>1857</v>
      </c>
      <c r="BC3699">
        <v>1986</v>
      </c>
      <c r="BD3699" t="s">
        <v>73</v>
      </c>
    </row>
    <row r="3700" spans="1:56" x14ac:dyDescent="0.35">
      <c r="A3700">
        <v>10099748</v>
      </c>
      <c r="B3700" t="s">
        <v>2479</v>
      </c>
      <c r="D3700" t="s">
        <v>57</v>
      </c>
      <c r="E3700">
        <v>99.927999999999997</v>
      </c>
      <c r="F3700" t="s">
        <v>58</v>
      </c>
      <c r="G3700" t="s">
        <v>59</v>
      </c>
      <c r="H3700" t="s">
        <v>60</v>
      </c>
      <c r="I3700" t="s">
        <v>177</v>
      </c>
      <c r="J3700">
        <v>4</v>
      </c>
      <c r="K3700" t="s">
        <v>61</v>
      </c>
      <c r="L3700" t="s">
        <v>62</v>
      </c>
      <c r="M3700" t="s">
        <v>63</v>
      </c>
      <c r="N3700" t="s">
        <v>64</v>
      </c>
      <c r="O3700">
        <v>7</v>
      </c>
      <c r="P3700" t="s">
        <v>1296</v>
      </c>
      <c r="R3700">
        <v>5.2</v>
      </c>
      <c r="T3700">
        <v>4.2</v>
      </c>
      <c r="V3700">
        <v>6.4</v>
      </c>
      <c r="W3700" t="s">
        <v>66</v>
      </c>
      <c r="X3700" t="s">
        <v>67</v>
      </c>
      <c r="Y3700" t="s">
        <v>67</v>
      </c>
      <c r="Z3700" t="s">
        <v>68</v>
      </c>
      <c r="AB3700">
        <v>4</v>
      </c>
      <c r="AC3700" t="s">
        <v>61</v>
      </c>
      <c r="AJ3700" t="s">
        <v>69</v>
      </c>
      <c r="AY3700" t="s">
        <v>2082</v>
      </c>
      <c r="AZ3700">
        <v>121067</v>
      </c>
      <c r="BA3700" t="s">
        <v>2083</v>
      </c>
      <c r="BB3700" t="s">
        <v>2084</v>
      </c>
      <c r="BC3700">
        <v>1982</v>
      </c>
      <c r="BD3700" t="s">
        <v>73</v>
      </c>
    </row>
    <row r="3701" spans="1:56" x14ac:dyDescent="0.35">
      <c r="A3701">
        <v>10102064</v>
      </c>
      <c r="B3701" t="s">
        <v>2480</v>
      </c>
      <c r="C3701" t="s">
        <v>386</v>
      </c>
      <c r="D3701" t="s">
        <v>971</v>
      </c>
      <c r="E3701" t="s">
        <v>86</v>
      </c>
      <c r="F3701" t="s">
        <v>58</v>
      </c>
      <c r="G3701" t="s">
        <v>59</v>
      </c>
      <c r="H3701" t="s">
        <v>60</v>
      </c>
      <c r="I3701" t="s">
        <v>188</v>
      </c>
      <c r="J3701" t="s">
        <v>289</v>
      </c>
      <c r="K3701" t="s">
        <v>184</v>
      </c>
      <c r="L3701" t="s">
        <v>190</v>
      </c>
      <c r="M3701" t="s">
        <v>63</v>
      </c>
      <c r="N3701" t="s">
        <v>64</v>
      </c>
      <c r="O3701">
        <v>6</v>
      </c>
      <c r="P3701" t="s">
        <v>201</v>
      </c>
      <c r="R3701">
        <v>2</v>
      </c>
      <c r="T3701">
        <v>1.8</v>
      </c>
      <c r="V3701">
        <v>2.2000000000000002</v>
      </c>
      <c r="W3701" t="s">
        <v>66</v>
      </c>
      <c r="X3701" t="s">
        <v>67</v>
      </c>
      <c r="Y3701" t="s">
        <v>67</v>
      </c>
      <c r="Z3701" t="s">
        <v>68</v>
      </c>
      <c r="AB3701">
        <v>4</v>
      </c>
      <c r="AC3701" t="s">
        <v>61</v>
      </c>
      <c r="AJ3701" t="s">
        <v>69</v>
      </c>
      <c r="AY3701" t="s">
        <v>2481</v>
      </c>
      <c r="AZ3701">
        <v>175095</v>
      </c>
      <c r="BA3701" t="s">
        <v>2482</v>
      </c>
      <c r="BB3701" t="s">
        <v>2483</v>
      </c>
      <c r="BC3701">
        <v>2015</v>
      </c>
      <c r="BD3701" t="s">
        <v>185</v>
      </c>
    </row>
    <row r="3702" spans="1:56" x14ac:dyDescent="0.35">
      <c r="A3702">
        <v>10102064</v>
      </c>
      <c r="B3702" t="s">
        <v>2480</v>
      </c>
      <c r="C3702" t="s">
        <v>386</v>
      </c>
      <c r="D3702" t="s">
        <v>971</v>
      </c>
      <c r="E3702" t="s">
        <v>86</v>
      </c>
      <c r="F3702" t="s">
        <v>58</v>
      </c>
      <c r="G3702" t="s">
        <v>59</v>
      </c>
      <c r="H3702" t="s">
        <v>60</v>
      </c>
      <c r="I3702" t="s">
        <v>188</v>
      </c>
      <c r="J3702" t="s">
        <v>289</v>
      </c>
      <c r="K3702" t="s">
        <v>184</v>
      </c>
      <c r="L3702" t="s">
        <v>190</v>
      </c>
      <c r="M3702" t="s">
        <v>63</v>
      </c>
      <c r="N3702" t="s">
        <v>64</v>
      </c>
      <c r="O3702">
        <v>6</v>
      </c>
      <c r="P3702" t="s">
        <v>201</v>
      </c>
      <c r="R3702">
        <v>2</v>
      </c>
      <c r="T3702">
        <v>2</v>
      </c>
      <c r="V3702">
        <v>2.1</v>
      </c>
      <c r="W3702" t="s">
        <v>66</v>
      </c>
      <c r="X3702" t="s">
        <v>67</v>
      </c>
      <c r="Y3702" t="s">
        <v>67</v>
      </c>
      <c r="Z3702" t="s">
        <v>68</v>
      </c>
      <c r="AB3702">
        <v>4</v>
      </c>
      <c r="AC3702" t="s">
        <v>61</v>
      </c>
      <c r="AJ3702" t="s">
        <v>69</v>
      </c>
      <c r="AY3702" t="s">
        <v>2481</v>
      </c>
      <c r="AZ3702">
        <v>175095</v>
      </c>
      <c r="BA3702" t="s">
        <v>2482</v>
      </c>
      <c r="BB3702" t="s">
        <v>2483</v>
      </c>
      <c r="BC3702">
        <v>2015</v>
      </c>
      <c r="BD3702" t="s">
        <v>185</v>
      </c>
    </row>
    <row r="3703" spans="1:56" x14ac:dyDescent="0.35">
      <c r="A3703">
        <v>10102064</v>
      </c>
      <c r="B3703" t="s">
        <v>2480</v>
      </c>
      <c r="C3703" t="s">
        <v>386</v>
      </c>
      <c r="D3703" t="s">
        <v>971</v>
      </c>
      <c r="E3703" t="s">
        <v>86</v>
      </c>
      <c r="F3703" t="s">
        <v>58</v>
      </c>
      <c r="G3703" t="s">
        <v>59</v>
      </c>
      <c r="H3703" t="s">
        <v>60</v>
      </c>
      <c r="I3703" t="s">
        <v>188</v>
      </c>
      <c r="J3703" t="s">
        <v>289</v>
      </c>
      <c r="K3703" t="s">
        <v>184</v>
      </c>
      <c r="L3703" t="s">
        <v>190</v>
      </c>
      <c r="M3703" t="s">
        <v>63</v>
      </c>
      <c r="N3703" t="s">
        <v>64</v>
      </c>
      <c r="O3703">
        <v>6</v>
      </c>
      <c r="P3703" t="s">
        <v>201</v>
      </c>
      <c r="R3703">
        <v>2.1</v>
      </c>
      <c r="T3703">
        <v>2</v>
      </c>
      <c r="V3703">
        <v>2.2999999999999998</v>
      </c>
      <c r="W3703" t="s">
        <v>66</v>
      </c>
      <c r="X3703" t="s">
        <v>67</v>
      </c>
      <c r="Y3703" t="s">
        <v>67</v>
      </c>
      <c r="Z3703" t="s">
        <v>68</v>
      </c>
      <c r="AB3703">
        <v>4</v>
      </c>
      <c r="AC3703" t="s">
        <v>61</v>
      </c>
      <c r="AJ3703" t="s">
        <v>69</v>
      </c>
      <c r="AY3703" t="s">
        <v>2481</v>
      </c>
      <c r="AZ3703">
        <v>175095</v>
      </c>
      <c r="BA3703" t="s">
        <v>2482</v>
      </c>
      <c r="BB3703" t="s">
        <v>2483</v>
      </c>
      <c r="BC3703">
        <v>2015</v>
      </c>
      <c r="BD3703" t="s">
        <v>185</v>
      </c>
    </row>
    <row r="3704" spans="1:56" x14ac:dyDescent="0.35">
      <c r="A3704">
        <v>10102064</v>
      </c>
      <c r="B3704" t="s">
        <v>2480</v>
      </c>
      <c r="C3704" t="s">
        <v>386</v>
      </c>
      <c r="D3704" t="s">
        <v>971</v>
      </c>
      <c r="E3704" t="s">
        <v>86</v>
      </c>
      <c r="F3704" t="s">
        <v>58</v>
      </c>
      <c r="G3704" t="s">
        <v>59</v>
      </c>
      <c r="H3704" t="s">
        <v>60</v>
      </c>
      <c r="I3704" t="s">
        <v>188</v>
      </c>
      <c r="J3704" t="s">
        <v>289</v>
      </c>
      <c r="K3704" t="s">
        <v>184</v>
      </c>
      <c r="L3704" t="s">
        <v>190</v>
      </c>
      <c r="M3704" t="s">
        <v>63</v>
      </c>
      <c r="N3704" t="s">
        <v>64</v>
      </c>
      <c r="O3704">
        <v>6</v>
      </c>
      <c r="P3704" t="s">
        <v>201</v>
      </c>
      <c r="R3704">
        <v>1.8</v>
      </c>
      <c r="T3704">
        <v>1.5</v>
      </c>
      <c r="V3704">
        <v>2</v>
      </c>
      <c r="W3704" t="s">
        <v>66</v>
      </c>
      <c r="X3704" t="s">
        <v>67</v>
      </c>
      <c r="Y3704" t="s">
        <v>67</v>
      </c>
      <c r="Z3704" t="s">
        <v>68</v>
      </c>
      <c r="AB3704">
        <v>4</v>
      </c>
      <c r="AC3704" t="s">
        <v>61</v>
      </c>
      <c r="AJ3704" t="s">
        <v>69</v>
      </c>
      <c r="AY3704" t="s">
        <v>2481</v>
      </c>
      <c r="AZ3704">
        <v>175095</v>
      </c>
      <c r="BA3704" t="s">
        <v>2482</v>
      </c>
      <c r="BB3704" t="s">
        <v>2483</v>
      </c>
      <c r="BC3704">
        <v>2015</v>
      </c>
      <c r="BD3704" t="s">
        <v>185</v>
      </c>
    </row>
    <row r="3705" spans="1:56" x14ac:dyDescent="0.35">
      <c r="A3705">
        <v>10102064</v>
      </c>
      <c r="B3705" t="s">
        <v>2480</v>
      </c>
      <c r="D3705" t="s">
        <v>85</v>
      </c>
      <c r="E3705" t="s">
        <v>86</v>
      </c>
      <c r="F3705" t="s">
        <v>58</v>
      </c>
      <c r="G3705" t="s">
        <v>59</v>
      </c>
      <c r="H3705" t="s">
        <v>60</v>
      </c>
      <c r="J3705" t="s">
        <v>86</v>
      </c>
      <c r="L3705" t="s">
        <v>62</v>
      </c>
      <c r="M3705" t="s">
        <v>63</v>
      </c>
      <c r="N3705" t="s">
        <v>64</v>
      </c>
      <c r="P3705" t="s">
        <v>201</v>
      </c>
      <c r="R3705">
        <v>3.1</v>
      </c>
      <c r="W3705" t="s">
        <v>66</v>
      </c>
      <c r="X3705" t="s">
        <v>67</v>
      </c>
      <c r="Y3705" t="s">
        <v>67</v>
      </c>
      <c r="Z3705" t="s">
        <v>68</v>
      </c>
      <c r="AB3705">
        <v>4</v>
      </c>
      <c r="AC3705" t="s">
        <v>61</v>
      </c>
      <c r="AJ3705" t="s">
        <v>69</v>
      </c>
      <c r="AY3705" t="s">
        <v>275</v>
      </c>
      <c r="AZ3705">
        <v>2042</v>
      </c>
      <c r="BA3705" t="s">
        <v>1490</v>
      </c>
      <c r="BB3705" t="s">
        <v>1491</v>
      </c>
      <c r="BC3705">
        <v>1960</v>
      </c>
      <c r="BD3705" t="s">
        <v>90</v>
      </c>
    </row>
    <row r="3706" spans="1:56" x14ac:dyDescent="0.35">
      <c r="A3706">
        <v>10102188</v>
      </c>
      <c r="B3706" t="s">
        <v>2484</v>
      </c>
      <c r="D3706" t="s">
        <v>57</v>
      </c>
      <c r="E3706" t="s">
        <v>86</v>
      </c>
      <c r="F3706" t="s">
        <v>58</v>
      </c>
      <c r="G3706" t="s">
        <v>59</v>
      </c>
      <c r="H3706" t="s">
        <v>60</v>
      </c>
      <c r="J3706" t="s">
        <v>86</v>
      </c>
      <c r="L3706" t="s">
        <v>74</v>
      </c>
      <c r="M3706" t="s">
        <v>63</v>
      </c>
      <c r="N3706" t="s">
        <v>64</v>
      </c>
      <c r="O3706">
        <v>6</v>
      </c>
      <c r="P3706" t="s">
        <v>201</v>
      </c>
      <c r="R3706">
        <v>3.67</v>
      </c>
      <c r="T3706">
        <v>3.23</v>
      </c>
      <c r="V3706">
        <v>4.18</v>
      </c>
      <c r="W3706" t="s">
        <v>66</v>
      </c>
      <c r="X3706" t="s">
        <v>67</v>
      </c>
      <c r="Y3706" t="s">
        <v>67</v>
      </c>
      <c r="Z3706" t="s">
        <v>68</v>
      </c>
      <c r="AB3706">
        <v>4</v>
      </c>
      <c r="AC3706" t="s">
        <v>61</v>
      </c>
      <c r="AJ3706" t="s">
        <v>69</v>
      </c>
      <c r="AY3706" t="s">
        <v>2485</v>
      </c>
      <c r="AZ3706">
        <v>87256</v>
      </c>
      <c r="BA3706" t="s">
        <v>2486</v>
      </c>
      <c r="BB3706" t="s">
        <v>2487</v>
      </c>
      <c r="BC3706">
        <v>1998</v>
      </c>
      <c r="BD3706" t="s">
        <v>90</v>
      </c>
    </row>
    <row r="3707" spans="1:56" x14ac:dyDescent="0.35">
      <c r="A3707">
        <v>10102188</v>
      </c>
      <c r="B3707" t="s">
        <v>2484</v>
      </c>
      <c r="C3707" t="s">
        <v>195</v>
      </c>
      <c r="E3707" t="s">
        <v>86</v>
      </c>
      <c r="F3707" t="s">
        <v>58</v>
      </c>
      <c r="G3707" t="s">
        <v>59</v>
      </c>
      <c r="H3707" t="s">
        <v>60</v>
      </c>
      <c r="J3707" t="s">
        <v>86</v>
      </c>
      <c r="L3707" t="s">
        <v>62</v>
      </c>
      <c r="M3707" t="s">
        <v>63</v>
      </c>
      <c r="N3707" t="s">
        <v>64</v>
      </c>
      <c r="P3707" t="s">
        <v>201</v>
      </c>
      <c r="R3707">
        <v>3.4</v>
      </c>
      <c r="T3707">
        <v>2.88</v>
      </c>
      <c r="V3707">
        <v>4.01</v>
      </c>
      <c r="W3707" t="s">
        <v>66</v>
      </c>
      <c r="X3707" t="s">
        <v>67</v>
      </c>
      <c r="Y3707" t="s">
        <v>67</v>
      </c>
      <c r="Z3707" t="s">
        <v>68</v>
      </c>
      <c r="AB3707">
        <v>4</v>
      </c>
      <c r="AC3707" t="s">
        <v>61</v>
      </c>
      <c r="AJ3707" t="s">
        <v>69</v>
      </c>
      <c r="AY3707" t="s">
        <v>2488</v>
      </c>
      <c r="AZ3707">
        <v>19753</v>
      </c>
      <c r="BA3707" t="s">
        <v>2489</v>
      </c>
      <c r="BB3707" t="s">
        <v>2490</v>
      </c>
      <c r="BC3707">
        <v>1976</v>
      </c>
      <c r="BD3707" t="s">
        <v>90</v>
      </c>
    </row>
    <row r="3708" spans="1:56" x14ac:dyDescent="0.35">
      <c r="A3708">
        <v>10102188</v>
      </c>
      <c r="B3708" t="s">
        <v>2484</v>
      </c>
      <c r="C3708" t="s">
        <v>195</v>
      </c>
      <c r="E3708" t="s">
        <v>86</v>
      </c>
      <c r="F3708" t="s">
        <v>58</v>
      </c>
      <c r="G3708" t="s">
        <v>59</v>
      </c>
      <c r="H3708" t="s">
        <v>60</v>
      </c>
      <c r="J3708" t="s">
        <v>86</v>
      </c>
      <c r="L3708" t="s">
        <v>62</v>
      </c>
      <c r="M3708" t="s">
        <v>63</v>
      </c>
      <c r="N3708" t="s">
        <v>64</v>
      </c>
      <c r="P3708" t="s">
        <v>201</v>
      </c>
      <c r="R3708">
        <v>6</v>
      </c>
      <c r="T3708">
        <v>5.17</v>
      </c>
      <c r="V3708">
        <v>6.96</v>
      </c>
      <c r="W3708" t="s">
        <v>66</v>
      </c>
      <c r="X3708" t="s">
        <v>67</v>
      </c>
      <c r="Y3708" t="s">
        <v>67</v>
      </c>
      <c r="Z3708" t="s">
        <v>68</v>
      </c>
      <c r="AB3708">
        <v>4</v>
      </c>
      <c r="AC3708" t="s">
        <v>61</v>
      </c>
      <c r="AJ3708" t="s">
        <v>69</v>
      </c>
      <c r="AY3708" t="s">
        <v>2488</v>
      </c>
      <c r="AZ3708">
        <v>19753</v>
      </c>
      <c r="BA3708" t="s">
        <v>2489</v>
      </c>
      <c r="BB3708" t="s">
        <v>2490</v>
      </c>
      <c r="BC3708">
        <v>1976</v>
      </c>
      <c r="BD3708" t="s">
        <v>90</v>
      </c>
    </row>
    <row r="3709" spans="1:56" x14ac:dyDescent="0.35">
      <c r="A3709">
        <v>10102188</v>
      </c>
      <c r="B3709" t="s">
        <v>2484</v>
      </c>
      <c r="C3709" t="s">
        <v>195</v>
      </c>
      <c r="E3709" t="s">
        <v>86</v>
      </c>
      <c r="F3709" t="s">
        <v>58</v>
      </c>
      <c r="G3709" t="s">
        <v>59</v>
      </c>
      <c r="H3709" t="s">
        <v>60</v>
      </c>
      <c r="J3709" t="s">
        <v>86</v>
      </c>
      <c r="L3709" t="s">
        <v>62</v>
      </c>
      <c r="M3709" t="s">
        <v>63</v>
      </c>
      <c r="N3709" t="s">
        <v>64</v>
      </c>
      <c r="P3709" t="s">
        <v>201</v>
      </c>
      <c r="R3709">
        <v>7.4</v>
      </c>
      <c r="T3709">
        <v>6.17</v>
      </c>
      <c r="V3709">
        <v>8.8800000000000008</v>
      </c>
      <c r="W3709" t="s">
        <v>66</v>
      </c>
      <c r="X3709" t="s">
        <v>67</v>
      </c>
      <c r="Y3709" t="s">
        <v>67</v>
      </c>
      <c r="Z3709" t="s">
        <v>68</v>
      </c>
      <c r="AB3709">
        <v>4</v>
      </c>
      <c r="AC3709" t="s">
        <v>61</v>
      </c>
      <c r="AJ3709" t="s">
        <v>69</v>
      </c>
      <c r="AY3709" t="s">
        <v>2488</v>
      </c>
      <c r="AZ3709">
        <v>19753</v>
      </c>
      <c r="BA3709" t="s">
        <v>2489</v>
      </c>
      <c r="BB3709" t="s">
        <v>2490</v>
      </c>
      <c r="BC3709">
        <v>1976</v>
      </c>
      <c r="BD3709" t="s">
        <v>90</v>
      </c>
    </row>
    <row r="3710" spans="1:56" x14ac:dyDescent="0.35">
      <c r="A3710">
        <v>10102188</v>
      </c>
      <c r="B3710" t="s">
        <v>2484</v>
      </c>
      <c r="D3710" t="s">
        <v>57</v>
      </c>
      <c r="E3710" t="s">
        <v>86</v>
      </c>
      <c r="F3710" t="s">
        <v>58</v>
      </c>
      <c r="G3710" t="s">
        <v>59</v>
      </c>
      <c r="H3710" t="s">
        <v>60</v>
      </c>
      <c r="J3710" t="s">
        <v>86</v>
      </c>
      <c r="L3710" t="s">
        <v>74</v>
      </c>
      <c r="M3710" t="s">
        <v>63</v>
      </c>
      <c r="N3710" t="s">
        <v>64</v>
      </c>
      <c r="O3710">
        <v>6</v>
      </c>
      <c r="P3710" t="s">
        <v>201</v>
      </c>
      <c r="R3710">
        <v>2.38</v>
      </c>
      <c r="T3710">
        <v>1.65</v>
      </c>
      <c r="V3710">
        <v>3.41</v>
      </c>
      <c r="W3710" t="s">
        <v>66</v>
      </c>
      <c r="X3710" t="s">
        <v>67</v>
      </c>
      <c r="Y3710" t="s">
        <v>67</v>
      </c>
      <c r="Z3710" t="s">
        <v>68</v>
      </c>
      <c r="AB3710">
        <v>4</v>
      </c>
      <c r="AC3710" t="s">
        <v>61</v>
      </c>
      <c r="AJ3710" t="s">
        <v>69</v>
      </c>
      <c r="AY3710" t="s">
        <v>2485</v>
      </c>
      <c r="AZ3710">
        <v>87256</v>
      </c>
      <c r="BA3710" t="s">
        <v>2486</v>
      </c>
      <c r="BB3710" t="s">
        <v>2487</v>
      </c>
      <c r="BC3710">
        <v>1998</v>
      </c>
      <c r="BD3710" t="s">
        <v>90</v>
      </c>
    </row>
    <row r="3711" spans="1:56" x14ac:dyDescent="0.35">
      <c r="A3711">
        <v>10102188</v>
      </c>
      <c r="B3711" t="s">
        <v>2484</v>
      </c>
      <c r="D3711" t="s">
        <v>57</v>
      </c>
      <c r="E3711" t="s">
        <v>86</v>
      </c>
      <c r="F3711" t="s">
        <v>58</v>
      </c>
      <c r="G3711" t="s">
        <v>59</v>
      </c>
      <c r="H3711" t="s">
        <v>60</v>
      </c>
      <c r="J3711" t="s">
        <v>86</v>
      </c>
      <c r="L3711" t="s">
        <v>74</v>
      </c>
      <c r="M3711" t="s">
        <v>63</v>
      </c>
      <c r="N3711" t="s">
        <v>64</v>
      </c>
      <c r="O3711">
        <v>6</v>
      </c>
      <c r="P3711" t="s">
        <v>201</v>
      </c>
      <c r="R3711">
        <v>3.39</v>
      </c>
      <c r="T3711">
        <v>2.91</v>
      </c>
      <c r="V3711">
        <v>3.95</v>
      </c>
      <c r="W3711" t="s">
        <v>66</v>
      </c>
      <c r="X3711" t="s">
        <v>67</v>
      </c>
      <c r="Y3711" t="s">
        <v>67</v>
      </c>
      <c r="Z3711" t="s">
        <v>68</v>
      </c>
      <c r="AB3711">
        <v>4</v>
      </c>
      <c r="AC3711" t="s">
        <v>61</v>
      </c>
      <c r="AJ3711" t="s">
        <v>69</v>
      </c>
      <c r="AY3711" t="s">
        <v>2485</v>
      </c>
      <c r="AZ3711">
        <v>87256</v>
      </c>
      <c r="BA3711" t="s">
        <v>2486</v>
      </c>
      <c r="BB3711" t="s">
        <v>2487</v>
      </c>
      <c r="BC3711">
        <v>1998</v>
      </c>
      <c r="BD3711" t="s">
        <v>90</v>
      </c>
    </row>
    <row r="3712" spans="1:56" x14ac:dyDescent="0.35">
      <c r="A3712">
        <v>10102188</v>
      </c>
      <c r="B3712" t="s">
        <v>2484</v>
      </c>
      <c r="D3712" t="s">
        <v>57</v>
      </c>
      <c r="E3712" t="s">
        <v>86</v>
      </c>
      <c r="F3712" t="s">
        <v>58</v>
      </c>
      <c r="G3712" t="s">
        <v>59</v>
      </c>
      <c r="H3712" t="s">
        <v>60</v>
      </c>
      <c r="J3712" t="s">
        <v>86</v>
      </c>
      <c r="L3712" t="s">
        <v>74</v>
      </c>
      <c r="M3712" t="s">
        <v>63</v>
      </c>
      <c r="N3712" t="s">
        <v>64</v>
      </c>
      <c r="O3712">
        <v>6</v>
      </c>
      <c r="P3712" t="s">
        <v>201</v>
      </c>
      <c r="R3712">
        <v>2.92</v>
      </c>
      <c r="T3712">
        <v>1.85</v>
      </c>
      <c r="V3712">
        <v>4.5999999999999996</v>
      </c>
      <c r="W3712" t="s">
        <v>66</v>
      </c>
      <c r="X3712" t="s">
        <v>67</v>
      </c>
      <c r="Y3712" t="s">
        <v>67</v>
      </c>
      <c r="Z3712" t="s">
        <v>68</v>
      </c>
      <c r="AB3712">
        <v>4</v>
      </c>
      <c r="AC3712" t="s">
        <v>61</v>
      </c>
      <c r="AJ3712" t="s">
        <v>69</v>
      </c>
      <c r="AY3712" t="s">
        <v>2485</v>
      </c>
      <c r="AZ3712">
        <v>87256</v>
      </c>
      <c r="BA3712" t="s">
        <v>2486</v>
      </c>
      <c r="BB3712" t="s">
        <v>2487</v>
      </c>
      <c r="BC3712">
        <v>1998</v>
      </c>
      <c r="BD3712" t="s">
        <v>90</v>
      </c>
    </row>
    <row r="3713" spans="1:56" x14ac:dyDescent="0.35">
      <c r="A3713">
        <v>10102188</v>
      </c>
      <c r="B3713" t="s">
        <v>2484</v>
      </c>
      <c r="C3713" t="s">
        <v>195</v>
      </c>
      <c r="E3713" t="s">
        <v>86</v>
      </c>
      <c r="F3713" t="s">
        <v>58</v>
      </c>
      <c r="G3713" t="s">
        <v>59</v>
      </c>
      <c r="H3713" t="s">
        <v>60</v>
      </c>
      <c r="J3713" t="s">
        <v>86</v>
      </c>
      <c r="L3713" t="s">
        <v>62</v>
      </c>
      <c r="M3713" t="s">
        <v>63</v>
      </c>
      <c r="N3713" t="s">
        <v>64</v>
      </c>
      <c r="P3713" t="s">
        <v>201</v>
      </c>
      <c r="R3713">
        <v>10.5</v>
      </c>
      <c r="T3713">
        <v>8.57</v>
      </c>
      <c r="V3713">
        <v>12.86</v>
      </c>
      <c r="W3713" t="s">
        <v>66</v>
      </c>
      <c r="X3713" t="s">
        <v>67</v>
      </c>
      <c r="Y3713" t="s">
        <v>67</v>
      </c>
      <c r="Z3713" t="s">
        <v>68</v>
      </c>
      <c r="AB3713">
        <v>4</v>
      </c>
      <c r="AC3713" t="s">
        <v>61</v>
      </c>
      <c r="AJ3713" t="s">
        <v>69</v>
      </c>
      <c r="AY3713" t="s">
        <v>2488</v>
      </c>
      <c r="AZ3713">
        <v>19753</v>
      </c>
      <c r="BA3713" t="s">
        <v>2489</v>
      </c>
      <c r="BB3713" t="s">
        <v>2490</v>
      </c>
      <c r="BC3713">
        <v>1976</v>
      </c>
      <c r="BD3713" t="s">
        <v>90</v>
      </c>
    </row>
    <row r="3714" spans="1:56" x14ac:dyDescent="0.35">
      <c r="A3714">
        <v>10102188</v>
      </c>
      <c r="B3714" t="s">
        <v>2484</v>
      </c>
      <c r="D3714" t="s">
        <v>57</v>
      </c>
      <c r="E3714" t="s">
        <v>86</v>
      </c>
      <c r="F3714" t="s">
        <v>58</v>
      </c>
      <c r="G3714" t="s">
        <v>59</v>
      </c>
      <c r="H3714" t="s">
        <v>60</v>
      </c>
      <c r="J3714" t="s">
        <v>86</v>
      </c>
      <c r="L3714" t="s">
        <v>62</v>
      </c>
      <c r="M3714" t="s">
        <v>63</v>
      </c>
      <c r="N3714" t="s">
        <v>64</v>
      </c>
      <c r="P3714" t="s">
        <v>201</v>
      </c>
      <c r="R3714">
        <v>10</v>
      </c>
      <c r="W3714" t="s">
        <v>66</v>
      </c>
      <c r="X3714" t="s">
        <v>67</v>
      </c>
      <c r="Y3714" t="s">
        <v>67</v>
      </c>
      <c r="Z3714" t="s">
        <v>68</v>
      </c>
      <c r="AB3714">
        <v>4</v>
      </c>
      <c r="AC3714" t="s">
        <v>61</v>
      </c>
      <c r="AJ3714" t="s">
        <v>69</v>
      </c>
      <c r="AY3714" t="s">
        <v>1664</v>
      </c>
      <c r="AZ3714">
        <v>11334</v>
      </c>
      <c r="BA3714" t="s">
        <v>1665</v>
      </c>
      <c r="BB3714" t="s">
        <v>1666</v>
      </c>
      <c r="BC3714">
        <v>1985</v>
      </c>
      <c r="BD3714" t="s">
        <v>90</v>
      </c>
    </row>
    <row r="3715" spans="1:56" x14ac:dyDescent="0.35">
      <c r="A3715">
        <v>10102188</v>
      </c>
      <c r="B3715" t="s">
        <v>2484</v>
      </c>
      <c r="C3715" t="s">
        <v>195</v>
      </c>
      <c r="E3715" t="s">
        <v>86</v>
      </c>
      <c r="F3715" t="s">
        <v>58</v>
      </c>
      <c r="G3715" t="s">
        <v>59</v>
      </c>
      <c r="H3715" t="s">
        <v>60</v>
      </c>
      <c r="J3715" t="s">
        <v>86</v>
      </c>
      <c r="L3715" t="s">
        <v>62</v>
      </c>
      <c r="M3715" t="s">
        <v>63</v>
      </c>
      <c r="N3715" t="s">
        <v>64</v>
      </c>
      <c r="P3715" t="s">
        <v>201</v>
      </c>
      <c r="R3715">
        <v>2.2000000000000002</v>
      </c>
      <c r="T3715">
        <v>1.47</v>
      </c>
      <c r="V3715">
        <v>3.3</v>
      </c>
      <c r="W3715" t="s">
        <v>66</v>
      </c>
      <c r="X3715" t="s">
        <v>67</v>
      </c>
      <c r="Y3715" t="s">
        <v>67</v>
      </c>
      <c r="Z3715" t="s">
        <v>68</v>
      </c>
      <c r="AB3715">
        <v>4</v>
      </c>
      <c r="AC3715" t="s">
        <v>61</v>
      </c>
      <c r="AJ3715" t="s">
        <v>69</v>
      </c>
      <c r="AY3715" t="s">
        <v>2488</v>
      </c>
      <c r="AZ3715">
        <v>19753</v>
      </c>
      <c r="BA3715" t="s">
        <v>2489</v>
      </c>
      <c r="BB3715" t="s">
        <v>2490</v>
      </c>
      <c r="BC3715">
        <v>1976</v>
      </c>
      <c r="BD3715" t="s">
        <v>90</v>
      </c>
    </row>
    <row r="3716" spans="1:56" x14ac:dyDescent="0.35">
      <c r="A3716">
        <v>10102188</v>
      </c>
      <c r="B3716" t="s">
        <v>2484</v>
      </c>
      <c r="D3716" t="s">
        <v>57</v>
      </c>
      <c r="E3716">
        <v>48</v>
      </c>
      <c r="F3716" t="s">
        <v>58</v>
      </c>
      <c r="G3716" t="s">
        <v>59</v>
      </c>
      <c r="H3716" t="s">
        <v>60</v>
      </c>
      <c r="J3716" t="s">
        <v>86</v>
      </c>
      <c r="M3716" t="s">
        <v>63</v>
      </c>
      <c r="N3716" t="s">
        <v>64</v>
      </c>
      <c r="P3716" t="s">
        <v>201</v>
      </c>
      <c r="R3716">
        <v>1.7</v>
      </c>
      <c r="T3716">
        <v>1.5</v>
      </c>
      <c r="V3716">
        <v>2</v>
      </c>
      <c r="W3716" t="s">
        <v>66</v>
      </c>
      <c r="X3716" t="s">
        <v>67</v>
      </c>
      <c r="Y3716" t="s">
        <v>67</v>
      </c>
      <c r="Z3716" t="s">
        <v>68</v>
      </c>
      <c r="AB3716">
        <v>4</v>
      </c>
      <c r="AC3716" t="s">
        <v>61</v>
      </c>
      <c r="AJ3716" t="s">
        <v>69</v>
      </c>
      <c r="AY3716" t="s">
        <v>2491</v>
      </c>
      <c r="AZ3716">
        <v>20295</v>
      </c>
      <c r="BA3716" t="s">
        <v>2492</v>
      </c>
      <c r="BB3716" t="s">
        <v>2493</v>
      </c>
      <c r="BC3716">
        <v>1985</v>
      </c>
      <c r="BD3716" t="s">
        <v>90</v>
      </c>
    </row>
    <row r="3717" spans="1:56" x14ac:dyDescent="0.35">
      <c r="A3717">
        <v>10102188</v>
      </c>
      <c r="B3717" t="s">
        <v>2484</v>
      </c>
      <c r="C3717" t="s">
        <v>195</v>
      </c>
      <c r="E3717" t="s">
        <v>86</v>
      </c>
      <c r="F3717" t="s">
        <v>58</v>
      </c>
      <c r="G3717" t="s">
        <v>59</v>
      </c>
      <c r="H3717" t="s">
        <v>60</v>
      </c>
      <c r="J3717" t="s">
        <v>86</v>
      </c>
      <c r="L3717" t="s">
        <v>62</v>
      </c>
      <c r="M3717" t="s">
        <v>63</v>
      </c>
      <c r="N3717" t="s">
        <v>64</v>
      </c>
      <c r="P3717" t="s">
        <v>201</v>
      </c>
      <c r="R3717">
        <v>11.3</v>
      </c>
      <c r="T3717">
        <v>9.42</v>
      </c>
      <c r="V3717">
        <v>13.56</v>
      </c>
      <c r="W3717" t="s">
        <v>66</v>
      </c>
      <c r="X3717" t="s">
        <v>67</v>
      </c>
      <c r="Y3717" t="s">
        <v>67</v>
      </c>
      <c r="Z3717" t="s">
        <v>68</v>
      </c>
      <c r="AB3717">
        <v>4</v>
      </c>
      <c r="AC3717" t="s">
        <v>61</v>
      </c>
      <c r="AJ3717" t="s">
        <v>69</v>
      </c>
      <c r="AY3717" t="s">
        <v>2488</v>
      </c>
      <c r="AZ3717">
        <v>19753</v>
      </c>
      <c r="BA3717" t="s">
        <v>2489</v>
      </c>
      <c r="BB3717" t="s">
        <v>2490</v>
      </c>
      <c r="BC3717">
        <v>1976</v>
      </c>
      <c r="BD3717" t="s">
        <v>90</v>
      </c>
    </row>
    <row r="3718" spans="1:56" x14ac:dyDescent="0.35">
      <c r="A3718">
        <v>10102188</v>
      </c>
      <c r="B3718" t="s">
        <v>2484</v>
      </c>
      <c r="E3718">
        <v>45.7</v>
      </c>
      <c r="F3718" t="s">
        <v>58</v>
      </c>
      <c r="G3718" t="s">
        <v>59</v>
      </c>
      <c r="H3718" t="s">
        <v>60</v>
      </c>
      <c r="J3718" t="s">
        <v>86</v>
      </c>
      <c r="L3718" t="s">
        <v>62</v>
      </c>
      <c r="M3718" t="s">
        <v>63</v>
      </c>
      <c r="N3718" t="s">
        <v>64</v>
      </c>
      <c r="P3718" t="s">
        <v>201</v>
      </c>
      <c r="R3718">
        <v>10</v>
      </c>
      <c r="T3718">
        <v>5.9</v>
      </c>
      <c r="V3718">
        <v>17</v>
      </c>
      <c r="W3718" t="s">
        <v>66</v>
      </c>
      <c r="X3718" t="s">
        <v>67</v>
      </c>
      <c r="Y3718" t="s">
        <v>67</v>
      </c>
      <c r="Z3718" t="s">
        <v>68</v>
      </c>
      <c r="AB3718">
        <v>4</v>
      </c>
      <c r="AC3718" t="s">
        <v>61</v>
      </c>
      <c r="AJ3718" t="s">
        <v>69</v>
      </c>
      <c r="AY3718" t="s">
        <v>96</v>
      </c>
      <c r="AZ3718">
        <v>6797</v>
      </c>
      <c r="BA3718" t="s">
        <v>97</v>
      </c>
      <c r="BB3718" t="s">
        <v>98</v>
      </c>
      <c r="BC3718">
        <v>1986</v>
      </c>
      <c r="BD3718" t="s">
        <v>90</v>
      </c>
    </row>
    <row r="3719" spans="1:56" x14ac:dyDescent="0.35">
      <c r="A3719">
        <v>10108642</v>
      </c>
      <c r="B3719" t="s">
        <v>2494</v>
      </c>
      <c r="D3719" t="s">
        <v>85</v>
      </c>
      <c r="E3719" t="s">
        <v>86</v>
      </c>
      <c r="F3719" t="s">
        <v>58</v>
      </c>
      <c r="G3719" t="s">
        <v>59</v>
      </c>
      <c r="H3719" t="s">
        <v>60</v>
      </c>
      <c r="I3719" t="s">
        <v>188</v>
      </c>
      <c r="J3719" t="s">
        <v>86</v>
      </c>
      <c r="K3719" t="s">
        <v>61</v>
      </c>
      <c r="L3719" t="s">
        <v>62</v>
      </c>
      <c r="M3719" t="s">
        <v>63</v>
      </c>
      <c r="N3719" t="s">
        <v>64</v>
      </c>
      <c r="P3719" t="s">
        <v>201</v>
      </c>
      <c r="R3719">
        <v>0.08</v>
      </c>
      <c r="W3719" t="s">
        <v>66</v>
      </c>
      <c r="X3719" t="s">
        <v>67</v>
      </c>
      <c r="Y3719" t="s">
        <v>67</v>
      </c>
      <c r="Z3719" t="s">
        <v>68</v>
      </c>
      <c r="AB3719">
        <v>4</v>
      </c>
      <c r="AC3719" t="s">
        <v>61</v>
      </c>
      <c r="AJ3719" t="s">
        <v>69</v>
      </c>
      <c r="AY3719" t="s">
        <v>1260</v>
      </c>
      <c r="AZ3719">
        <v>11956</v>
      </c>
      <c r="BA3719" t="s">
        <v>1261</v>
      </c>
      <c r="BB3719" t="s">
        <v>1262</v>
      </c>
      <c r="BC3719">
        <v>1986</v>
      </c>
      <c r="BD3719" t="s">
        <v>1263</v>
      </c>
    </row>
    <row r="3720" spans="1:56" x14ac:dyDescent="0.35">
      <c r="A3720">
        <v>10108642</v>
      </c>
      <c r="B3720" t="s">
        <v>2494</v>
      </c>
      <c r="D3720" t="s">
        <v>57</v>
      </c>
      <c r="E3720" t="s">
        <v>86</v>
      </c>
      <c r="F3720" t="s">
        <v>58</v>
      </c>
      <c r="G3720" t="s">
        <v>59</v>
      </c>
      <c r="H3720" t="s">
        <v>60</v>
      </c>
      <c r="I3720" t="s">
        <v>1469</v>
      </c>
      <c r="J3720" t="s">
        <v>289</v>
      </c>
      <c r="K3720" t="s">
        <v>184</v>
      </c>
      <c r="L3720" t="s">
        <v>62</v>
      </c>
      <c r="M3720" t="s">
        <v>63</v>
      </c>
      <c r="N3720" t="s">
        <v>64</v>
      </c>
      <c r="P3720" t="s">
        <v>201</v>
      </c>
      <c r="R3720">
        <v>0.23699999999999999</v>
      </c>
      <c r="W3720" t="s">
        <v>66</v>
      </c>
      <c r="X3720" t="s">
        <v>67</v>
      </c>
      <c r="Y3720" t="s">
        <v>67</v>
      </c>
      <c r="Z3720" t="s">
        <v>68</v>
      </c>
      <c r="AB3720">
        <v>4</v>
      </c>
      <c r="AC3720" t="s">
        <v>61</v>
      </c>
      <c r="AJ3720" t="s">
        <v>69</v>
      </c>
      <c r="AY3720" t="s">
        <v>1474</v>
      </c>
      <c r="AZ3720">
        <v>9180</v>
      </c>
      <c r="BA3720" t="s">
        <v>1475</v>
      </c>
      <c r="BB3720" t="s">
        <v>1476</v>
      </c>
      <c r="BC3720">
        <v>1992</v>
      </c>
      <c r="BD3720" t="s">
        <v>185</v>
      </c>
    </row>
    <row r="3721" spans="1:56" x14ac:dyDescent="0.35">
      <c r="A3721">
        <v>10108642</v>
      </c>
      <c r="B3721" t="s">
        <v>2494</v>
      </c>
      <c r="D3721" t="s">
        <v>85</v>
      </c>
      <c r="E3721" t="s">
        <v>86</v>
      </c>
      <c r="F3721" t="s">
        <v>58</v>
      </c>
      <c r="G3721" t="s">
        <v>59</v>
      </c>
      <c r="H3721" t="s">
        <v>60</v>
      </c>
      <c r="J3721" t="s">
        <v>86</v>
      </c>
      <c r="L3721" t="s">
        <v>62</v>
      </c>
      <c r="M3721" t="s">
        <v>63</v>
      </c>
      <c r="N3721" t="s">
        <v>64</v>
      </c>
      <c r="P3721" t="s">
        <v>201</v>
      </c>
      <c r="R3721">
        <v>0.9</v>
      </c>
      <c r="W3721" t="s">
        <v>66</v>
      </c>
      <c r="X3721" t="s">
        <v>67</v>
      </c>
      <c r="Y3721" t="s">
        <v>67</v>
      </c>
      <c r="Z3721" t="s">
        <v>68</v>
      </c>
      <c r="AB3721">
        <v>4</v>
      </c>
      <c r="AC3721" t="s">
        <v>61</v>
      </c>
      <c r="AJ3721" t="s">
        <v>69</v>
      </c>
      <c r="AY3721" t="s">
        <v>275</v>
      </c>
      <c r="AZ3721">
        <v>2042</v>
      </c>
      <c r="BA3721" t="s">
        <v>1490</v>
      </c>
      <c r="BB3721" t="s">
        <v>1491</v>
      </c>
      <c r="BC3721">
        <v>1960</v>
      </c>
      <c r="BD3721" t="s">
        <v>90</v>
      </c>
    </row>
    <row r="3722" spans="1:56" x14ac:dyDescent="0.35">
      <c r="A3722">
        <v>10108642</v>
      </c>
      <c r="B3722" t="s">
        <v>2494</v>
      </c>
      <c r="D3722" t="s">
        <v>57</v>
      </c>
      <c r="E3722" t="s">
        <v>86</v>
      </c>
      <c r="F3722" t="s">
        <v>58</v>
      </c>
      <c r="G3722" t="s">
        <v>59</v>
      </c>
      <c r="H3722" t="s">
        <v>60</v>
      </c>
      <c r="I3722" t="s">
        <v>211</v>
      </c>
      <c r="J3722" t="s">
        <v>86</v>
      </c>
      <c r="L3722" t="s">
        <v>62</v>
      </c>
      <c r="M3722" t="s">
        <v>63</v>
      </c>
      <c r="N3722" t="s">
        <v>64</v>
      </c>
      <c r="P3722" t="s">
        <v>201</v>
      </c>
      <c r="R3722">
        <v>1.52</v>
      </c>
      <c r="T3722">
        <v>1.1499999999999999</v>
      </c>
      <c r="V3722">
        <v>2.02</v>
      </c>
      <c r="W3722" t="s">
        <v>66</v>
      </c>
      <c r="X3722" t="s">
        <v>67</v>
      </c>
      <c r="Y3722" t="s">
        <v>67</v>
      </c>
      <c r="Z3722" t="s">
        <v>68</v>
      </c>
      <c r="AB3722">
        <v>4</v>
      </c>
      <c r="AC3722" t="s">
        <v>61</v>
      </c>
      <c r="AJ3722" t="s">
        <v>69</v>
      </c>
      <c r="AY3722" t="s">
        <v>2137</v>
      </c>
      <c r="AZ3722">
        <v>10551</v>
      </c>
      <c r="BA3722" t="s">
        <v>2138</v>
      </c>
      <c r="BB3722" t="s">
        <v>2139</v>
      </c>
      <c r="BC3722">
        <v>1983</v>
      </c>
      <c r="BD3722" t="s">
        <v>90</v>
      </c>
    </row>
    <row r="3723" spans="1:56" x14ac:dyDescent="0.35">
      <c r="A3723">
        <v>10108642</v>
      </c>
      <c r="B3723" t="s">
        <v>2494</v>
      </c>
      <c r="C3723" t="s">
        <v>195</v>
      </c>
      <c r="D3723" t="s">
        <v>57</v>
      </c>
      <c r="E3723" t="s">
        <v>86</v>
      </c>
      <c r="F3723" t="s">
        <v>58</v>
      </c>
      <c r="G3723" t="s">
        <v>59</v>
      </c>
      <c r="H3723" t="s">
        <v>60</v>
      </c>
      <c r="I3723" t="s">
        <v>129</v>
      </c>
      <c r="J3723" t="s">
        <v>86</v>
      </c>
      <c r="L3723" t="s">
        <v>62</v>
      </c>
      <c r="M3723" t="s">
        <v>63</v>
      </c>
      <c r="N3723" t="s">
        <v>64</v>
      </c>
      <c r="P3723" t="s">
        <v>201</v>
      </c>
      <c r="R3723">
        <v>2.78</v>
      </c>
      <c r="T3723">
        <v>2.37</v>
      </c>
      <c r="V3723">
        <v>3.34</v>
      </c>
      <c r="W3723" t="s">
        <v>66</v>
      </c>
      <c r="X3723" t="s">
        <v>67</v>
      </c>
      <c r="Y3723" t="s">
        <v>67</v>
      </c>
      <c r="Z3723" t="s">
        <v>68</v>
      </c>
      <c r="AB3723">
        <v>4</v>
      </c>
      <c r="AC3723" t="s">
        <v>61</v>
      </c>
      <c r="AJ3723" t="s">
        <v>69</v>
      </c>
      <c r="AY3723" t="s">
        <v>2495</v>
      </c>
      <c r="AZ3723">
        <v>12647</v>
      </c>
      <c r="BA3723" t="s">
        <v>2496</v>
      </c>
      <c r="BB3723" t="s">
        <v>2497</v>
      </c>
      <c r="BC3723">
        <v>1987</v>
      </c>
      <c r="BD3723" t="s">
        <v>90</v>
      </c>
    </row>
    <row r="3724" spans="1:56" x14ac:dyDescent="0.35">
      <c r="A3724">
        <v>10108642</v>
      </c>
      <c r="B3724" t="s">
        <v>2494</v>
      </c>
      <c r="C3724" t="s">
        <v>386</v>
      </c>
      <c r="D3724" t="s">
        <v>85</v>
      </c>
      <c r="E3724" t="s">
        <v>86</v>
      </c>
      <c r="F3724" t="s">
        <v>58</v>
      </c>
      <c r="G3724" t="s">
        <v>59</v>
      </c>
      <c r="H3724" t="s">
        <v>60</v>
      </c>
      <c r="J3724" t="s">
        <v>86</v>
      </c>
      <c r="L3724" t="s">
        <v>62</v>
      </c>
      <c r="M3724" t="s">
        <v>63</v>
      </c>
      <c r="N3724" t="s">
        <v>64</v>
      </c>
      <c r="P3724" t="s">
        <v>201</v>
      </c>
      <c r="R3724">
        <v>12.58</v>
      </c>
      <c r="T3724">
        <v>4.96</v>
      </c>
      <c r="V3724">
        <v>17.079999999999998</v>
      </c>
      <c r="W3724" t="s">
        <v>66</v>
      </c>
      <c r="X3724" t="s">
        <v>67</v>
      </c>
      <c r="Y3724" t="s">
        <v>67</v>
      </c>
      <c r="Z3724" t="s">
        <v>68</v>
      </c>
      <c r="AB3724">
        <v>4</v>
      </c>
      <c r="AC3724" t="s">
        <v>61</v>
      </c>
      <c r="AJ3724" t="s">
        <v>69</v>
      </c>
      <c r="AY3724" t="s">
        <v>2131</v>
      </c>
      <c r="AZ3724">
        <v>10237</v>
      </c>
      <c r="BA3724" t="s">
        <v>2132</v>
      </c>
      <c r="BB3724" t="s">
        <v>2133</v>
      </c>
      <c r="BC3724">
        <v>1983</v>
      </c>
      <c r="BD3724" t="s">
        <v>90</v>
      </c>
    </row>
    <row r="3725" spans="1:56" x14ac:dyDescent="0.35">
      <c r="A3725">
        <v>10108642</v>
      </c>
      <c r="B3725" t="s">
        <v>2494</v>
      </c>
      <c r="C3725" t="s">
        <v>386</v>
      </c>
      <c r="D3725" t="s">
        <v>85</v>
      </c>
      <c r="E3725" t="s">
        <v>86</v>
      </c>
      <c r="F3725" t="s">
        <v>58</v>
      </c>
      <c r="G3725" t="s">
        <v>59</v>
      </c>
      <c r="H3725" t="s">
        <v>60</v>
      </c>
      <c r="J3725" t="s">
        <v>86</v>
      </c>
      <c r="L3725" t="s">
        <v>62</v>
      </c>
      <c r="M3725" t="s">
        <v>63</v>
      </c>
      <c r="N3725" t="s">
        <v>64</v>
      </c>
      <c r="P3725" t="s">
        <v>201</v>
      </c>
      <c r="R3725">
        <v>3.89</v>
      </c>
      <c r="T3725">
        <v>3.23</v>
      </c>
      <c r="V3725">
        <v>4.47</v>
      </c>
      <c r="W3725" t="s">
        <v>66</v>
      </c>
      <c r="X3725" t="s">
        <v>67</v>
      </c>
      <c r="Y3725" t="s">
        <v>67</v>
      </c>
      <c r="Z3725" t="s">
        <v>68</v>
      </c>
      <c r="AB3725">
        <v>4</v>
      </c>
      <c r="AC3725" t="s">
        <v>61</v>
      </c>
      <c r="AJ3725" t="s">
        <v>69</v>
      </c>
      <c r="AY3725" t="s">
        <v>2131</v>
      </c>
      <c r="AZ3725">
        <v>10237</v>
      </c>
      <c r="BA3725" t="s">
        <v>2132</v>
      </c>
      <c r="BB3725" t="s">
        <v>2133</v>
      </c>
      <c r="BC3725">
        <v>1983</v>
      </c>
      <c r="BD3725" t="s">
        <v>90</v>
      </c>
    </row>
    <row r="3726" spans="1:56" x14ac:dyDescent="0.35">
      <c r="A3726">
        <v>10108642</v>
      </c>
      <c r="B3726" t="s">
        <v>2494</v>
      </c>
      <c r="D3726" t="s">
        <v>85</v>
      </c>
      <c r="E3726" t="s">
        <v>86</v>
      </c>
      <c r="F3726" t="s">
        <v>58</v>
      </c>
      <c r="G3726" t="s">
        <v>59</v>
      </c>
      <c r="H3726" t="s">
        <v>60</v>
      </c>
      <c r="J3726" t="s">
        <v>86</v>
      </c>
      <c r="L3726" t="s">
        <v>62</v>
      </c>
      <c r="M3726" t="s">
        <v>63</v>
      </c>
      <c r="N3726" t="s">
        <v>64</v>
      </c>
      <c r="P3726" t="s">
        <v>201</v>
      </c>
      <c r="R3726">
        <v>5</v>
      </c>
      <c r="W3726" t="s">
        <v>66</v>
      </c>
      <c r="X3726" t="s">
        <v>67</v>
      </c>
      <c r="Y3726" t="s">
        <v>67</v>
      </c>
      <c r="Z3726" t="s">
        <v>68</v>
      </c>
      <c r="AB3726">
        <v>4</v>
      </c>
      <c r="AC3726" t="s">
        <v>61</v>
      </c>
      <c r="AJ3726" t="s">
        <v>69</v>
      </c>
      <c r="AY3726" t="s">
        <v>275</v>
      </c>
      <c r="AZ3726">
        <v>2042</v>
      </c>
      <c r="BA3726" t="s">
        <v>1490</v>
      </c>
      <c r="BB3726" t="s">
        <v>1491</v>
      </c>
      <c r="BC3726">
        <v>1960</v>
      </c>
      <c r="BD3726" t="s">
        <v>90</v>
      </c>
    </row>
    <row r="3727" spans="1:56" x14ac:dyDescent="0.35">
      <c r="A3727">
        <v>10108642</v>
      </c>
      <c r="B3727" t="s">
        <v>2494</v>
      </c>
      <c r="C3727" t="s">
        <v>195</v>
      </c>
      <c r="D3727" t="s">
        <v>57</v>
      </c>
      <c r="E3727" t="s">
        <v>86</v>
      </c>
      <c r="F3727" t="s">
        <v>58</v>
      </c>
      <c r="G3727" t="s">
        <v>59</v>
      </c>
      <c r="H3727" t="s">
        <v>60</v>
      </c>
      <c r="I3727" t="s">
        <v>129</v>
      </c>
      <c r="J3727" t="s">
        <v>86</v>
      </c>
      <c r="L3727" t="s">
        <v>62</v>
      </c>
      <c r="M3727" t="s">
        <v>63</v>
      </c>
      <c r="N3727" t="s">
        <v>64</v>
      </c>
      <c r="P3727" t="s">
        <v>201</v>
      </c>
      <c r="R3727">
        <v>2.2000000000000002</v>
      </c>
      <c r="T3727">
        <v>1.86</v>
      </c>
      <c r="V3727">
        <v>2.67</v>
      </c>
      <c r="W3727" t="s">
        <v>66</v>
      </c>
      <c r="X3727" t="s">
        <v>67</v>
      </c>
      <c r="Y3727" t="s">
        <v>67</v>
      </c>
      <c r="Z3727" t="s">
        <v>68</v>
      </c>
      <c r="AB3727">
        <v>4</v>
      </c>
      <c r="AC3727" t="s">
        <v>61</v>
      </c>
      <c r="AJ3727" t="s">
        <v>69</v>
      </c>
      <c r="AY3727" t="s">
        <v>2495</v>
      </c>
      <c r="AZ3727">
        <v>12647</v>
      </c>
      <c r="BA3727" t="s">
        <v>2496</v>
      </c>
      <c r="BB3727" t="s">
        <v>2497</v>
      </c>
      <c r="BC3727">
        <v>1987</v>
      </c>
      <c r="BD3727" t="s">
        <v>90</v>
      </c>
    </row>
    <row r="3728" spans="1:56" x14ac:dyDescent="0.35">
      <c r="A3728">
        <v>10108642</v>
      </c>
      <c r="B3728" t="s">
        <v>2494</v>
      </c>
      <c r="C3728" t="s">
        <v>195</v>
      </c>
      <c r="D3728" t="s">
        <v>57</v>
      </c>
      <c r="E3728" t="s">
        <v>86</v>
      </c>
      <c r="F3728" t="s">
        <v>58</v>
      </c>
      <c r="G3728" t="s">
        <v>59</v>
      </c>
      <c r="H3728" t="s">
        <v>60</v>
      </c>
      <c r="I3728" t="s">
        <v>1469</v>
      </c>
      <c r="J3728" t="s">
        <v>289</v>
      </c>
      <c r="K3728" t="s">
        <v>184</v>
      </c>
      <c r="L3728" t="s">
        <v>62</v>
      </c>
      <c r="M3728" t="s">
        <v>63</v>
      </c>
      <c r="N3728" t="s">
        <v>64</v>
      </c>
      <c r="O3728" t="s">
        <v>1470</v>
      </c>
      <c r="P3728" t="s">
        <v>201</v>
      </c>
      <c r="R3728">
        <v>0.23699999999999999</v>
      </c>
      <c r="W3728" t="s">
        <v>66</v>
      </c>
      <c r="X3728" t="s">
        <v>67</v>
      </c>
      <c r="Y3728" t="s">
        <v>67</v>
      </c>
      <c r="Z3728" t="s">
        <v>68</v>
      </c>
      <c r="AB3728">
        <v>4</v>
      </c>
      <c r="AC3728" t="s">
        <v>61</v>
      </c>
      <c r="AJ3728" t="s">
        <v>69</v>
      </c>
      <c r="AY3728" t="s">
        <v>1471</v>
      </c>
      <c r="AZ3728">
        <v>76100</v>
      </c>
      <c r="BA3728" t="s">
        <v>1472</v>
      </c>
      <c r="BB3728" t="s">
        <v>1473</v>
      </c>
      <c r="BC3728">
        <v>1998</v>
      </c>
      <c r="BD3728" t="s">
        <v>185</v>
      </c>
    </row>
    <row r="3729" spans="1:56" x14ac:dyDescent="0.35">
      <c r="A3729">
        <v>10108642</v>
      </c>
      <c r="B3729" t="s">
        <v>2494</v>
      </c>
      <c r="D3729" t="s">
        <v>57</v>
      </c>
      <c r="E3729" t="s">
        <v>86</v>
      </c>
      <c r="F3729" t="s">
        <v>58</v>
      </c>
      <c r="G3729" t="s">
        <v>59</v>
      </c>
      <c r="H3729" t="s">
        <v>60</v>
      </c>
      <c r="I3729" t="s">
        <v>211</v>
      </c>
      <c r="J3729" t="s">
        <v>86</v>
      </c>
      <c r="L3729" t="s">
        <v>62</v>
      </c>
      <c r="M3729" t="s">
        <v>63</v>
      </c>
      <c r="N3729" t="s">
        <v>64</v>
      </c>
      <c r="P3729" t="s">
        <v>201</v>
      </c>
      <c r="R3729">
        <v>1.71</v>
      </c>
      <c r="T3729">
        <v>1.1499999999999999</v>
      </c>
      <c r="V3729">
        <v>2.19</v>
      </c>
      <c r="W3729" t="s">
        <v>66</v>
      </c>
      <c r="X3729" t="s">
        <v>67</v>
      </c>
      <c r="Y3729" t="s">
        <v>67</v>
      </c>
      <c r="Z3729" t="s">
        <v>68</v>
      </c>
      <c r="AB3729">
        <v>4</v>
      </c>
      <c r="AC3729" t="s">
        <v>61</v>
      </c>
      <c r="AJ3729" t="s">
        <v>69</v>
      </c>
      <c r="AY3729" t="s">
        <v>2137</v>
      </c>
      <c r="AZ3729">
        <v>10551</v>
      </c>
      <c r="BA3729" t="s">
        <v>2138</v>
      </c>
      <c r="BB3729" t="s">
        <v>2139</v>
      </c>
      <c r="BC3729">
        <v>1983</v>
      </c>
      <c r="BD3729" t="s">
        <v>90</v>
      </c>
    </row>
    <row r="3730" spans="1:56" x14ac:dyDescent="0.35">
      <c r="A3730">
        <v>10108642</v>
      </c>
      <c r="B3730" t="s">
        <v>2494</v>
      </c>
      <c r="C3730" t="s">
        <v>195</v>
      </c>
      <c r="D3730" t="s">
        <v>57</v>
      </c>
      <c r="E3730" t="s">
        <v>86</v>
      </c>
      <c r="F3730" t="s">
        <v>58</v>
      </c>
      <c r="G3730" t="s">
        <v>59</v>
      </c>
      <c r="H3730" t="s">
        <v>60</v>
      </c>
      <c r="I3730" t="s">
        <v>1469</v>
      </c>
      <c r="J3730" t="s">
        <v>289</v>
      </c>
      <c r="K3730" t="s">
        <v>184</v>
      </c>
      <c r="L3730" t="s">
        <v>62</v>
      </c>
      <c r="M3730" t="s">
        <v>63</v>
      </c>
      <c r="N3730" t="s">
        <v>64</v>
      </c>
      <c r="O3730" t="s">
        <v>1470</v>
      </c>
      <c r="P3730" t="s">
        <v>1296</v>
      </c>
      <c r="R3730">
        <v>6.7000000000000004E-2</v>
      </c>
      <c r="W3730" t="s">
        <v>66</v>
      </c>
      <c r="X3730" t="s">
        <v>67</v>
      </c>
      <c r="Y3730" t="s">
        <v>67</v>
      </c>
      <c r="Z3730" t="s">
        <v>68</v>
      </c>
      <c r="AB3730">
        <v>4</v>
      </c>
      <c r="AC3730" t="s">
        <v>61</v>
      </c>
      <c r="AJ3730" t="s">
        <v>69</v>
      </c>
      <c r="AY3730" t="s">
        <v>1471</v>
      </c>
      <c r="AZ3730">
        <v>76100</v>
      </c>
      <c r="BA3730" t="s">
        <v>1472</v>
      </c>
      <c r="BB3730" t="s">
        <v>1473</v>
      </c>
      <c r="BC3730">
        <v>1998</v>
      </c>
      <c r="BD3730" t="s">
        <v>185</v>
      </c>
    </row>
    <row r="3731" spans="1:56" x14ac:dyDescent="0.35">
      <c r="A3731">
        <v>10108642</v>
      </c>
      <c r="B3731" t="s">
        <v>2494</v>
      </c>
      <c r="C3731" t="s">
        <v>386</v>
      </c>
      <c r="D3731" t="s">
        <v>85</v>
      </c>
      <c r="E3731" t="s">
        <v>86</v>
      </c>
      <c r="F3731" t="s">
        <v>58</v>
      </c>
      <c r="G3731" t="s">
        <v>59</v>
      </c>
      <c r="H3731" t="s">
        <v>60</v>
      </c>
      <c r="J3731" t="s">
        <v>86</v>
      </c>
      <c r="L3731" t="s">
        <v>62</v>
      </c>
      <c r="M3731" t="s">
        <v>63</v>
      </c>
      <c r="N3731" t="s">
        <v>64</v>
      </c>
      <c r="P3731" t="s">
        <v>201</v>
      </c>
      <c r="R3731">
        <v>9.5500000000000007</v>
      </c>
      <c r="T3731">
        <v>5.72</v>
      </c>
      <c r="V3731">
        <v>12.1</v>
      </c>
      <c r="W3731" t="s">
        <v>66</v>
      </c>
      <c r="X3731" t="s">
        <v>67</v>
      </c>
      <c r="Y3731" t="s">
        <v>67</v>
      </c>
      <c r="Z3731" t="s">
        <v>68</v>
      </c>
      <c r="AB3731">
        <v>4</v>
      </c>
      <c r="AC3731" t="s">
        <v>61</v>
      </c>
      <c r="AJ3731" t="s">
        <v>69</v>
      </c>
      <c r="AY3731" t="s">
        <v>2131</v>
      </c>
      <c r="AZ3731">
        <v>10237</v>
      </c>
      <c r="BA3731" t="s">
        <v>2132</v>
      </c>
      <c r="BB3731" t="s">
        <v>2133</v>
      </c>
      <c r="BC3731">
        <v>1983</v>
      </c>
      <c r="BD3731" t="s">
        <v>90</v>
      </c>
    </row>
    <row r="3732" spans="1:56" x14ac:dyDescent="0.35">
      <c r="A3732">
        <v>10108642</v>
      </c>
      <c r="B3732" t="s">
        <v>2494</v>
      </c>
      <c r="D3732" t="s">
        <v>57</v>
      </c>
      <c r="E3732" t="s">
        <v>86</v>
      </c>
      <c r="F3732" t="s">
        <v>58</v>
      </c>
      <c r="G3732" t="s">
        <v>59</v>
      </c>
      <c r="H3732" t="s">
        <v>60</v>
      </c>
      <c r="I3732" t="s">
        <v>211</v>
      </c>
      <c r="J3732" t="s">
        <v>86</v>
      </c>
      <c r="L3732" t="s">
        <v>62</v>
      </c>
      <c r="M3732" t="s">
        <v>63</v>
      </c>
      <c r="N3732" t="s">
        <v>64</v>
      </c>
      <c r="P3732" t="s">
        <v>201</v>
      </c>
      <c r="R3732">
        <v>7.16</v>
      </c>
      <c r="T3732">
        <v>5.92</v>
      </c>
      <c r="V3732">
        <v>8.81</v>
      </c>
      <c r="W3732" t="s">
        <v>66</v>
      </c>
      <c r="X3732" t="s">
        <v>67</v>
      </c>
      <c r="Y3732" t="s">
        <v>67</v>
      </c>
      <c r="Z3732" t="s">
        <v>68</v>
      </c>
      <c r="AB3732">
        <v>4</v>
      </c>
      <c r="AC3732" t="s">
        <v>61</v>
      </c>
      <c r="AJ3732" t="s">
        <v>69</v>
      </c>
      <c r="AY3732" t="s">
        <v>2137</v>
      </c>
      <c r="AZ3732">
        <v>10551</v>
      </c>
      <c r="BA3732" t="s">
        <v>2138</v>
      </c>
      <c r="BB3732" t="s">
        <v>2139</v>
      </c>
      <c r="BC3732">
        <v>1983</v>
      </c>
      <c r="BD3732" t="s">
        <v>90</v>
      </c>
    </row>
    <row r="3733" spans="1:56" x14ac:dyDescent="0.35">
      <c r="A3733">
        <v>10108642</v>
      </c>
      <c r="B3733" t="s">
        <v>2494</v>
      </c>
      <c r="D3733" t="s">
        <v>57</v>
      </c>
      <c r="E3733" t="s">
        <v>86</v>
      </c>
      <c r="F3733" t="s">
        <v>58</v>
      </c>
      <c r="G3733" t="s">
        <v>59</v>
      </c>
      <c r="H3733" t="s">
        <v>60</v>
      </c>
      <c r="I3733" t="s">
        <v>211</v>
      </c>
      <c r="J3733" t="s">
        <v>86</v>
      </c>
      <c r="L3733" t="s">
        <v>62</v>
      </c>
      <c r="M3733" t="s">
        <v>63</v>
      </c>
      <c r="N3733" t="s">
        <v>64</v>
      </c>
      <c r="P3733" t="s">
        <v>201</v>
      </c>
      <c r="R3733">
        <v>1.39</v>
      </c>
      <c r="T3733">
        <v>0.89</v>
      </c>
      <c r="V3733">
        <v>2.42</v>
      </c>
      <c r="W3733" t="s">
        <v>66</v>
      </c>
      <c r="X3733" t="s">
        <v>67</v>
      </c>
      <c r="Y3733" t="s">
        <v>67</v>
      </c>
      <c r="Z3733" t="s">
        <v>68</v>
      </c>
      <c r="AB3733">
        <v>4</v>
      </c>
      <c r="AC3733" t="s">
        <v>61</v>
      </c>
      <c r="AJ3733" t="s">
        <v>69</v>
      </c>
      <c r="AY3733" t="s">
        <v>2137</v>
      </c>
      <c r="AZ3733">
        <v>10551</v>
      </c>
      <c r="BA3733" t="s">
        <v>2138</v>
      </c>
      <c r="BB3733" t="s">
        <v>2139</v>
      </c>
      <c r="BC3733">
        <v>1983</v>
      </c>
      <c r="BD3733" t="s">
        <v>90</v>
      </c>
    </row>
    <row r="3734" spans="1:56" x14ac:dyDescent="0.35">
      <c r="A3734">
        <v>10108642</v>
      </c>
      <c r="B3734" t="s">
        <v>2494</v>
      </c>
      <c r="D3734" t="s">
        <v>57</v>
      </c>
      <c r="E3734" t="s">
        <v>86</v>
      </c>
      <c r="F3734" t="s">
        <v>58</v>
      </c>
      <c r="G3734" t="s">
        <v>59</v>
      </c>
      <c r="H3734" t="s">
        <v>60</v>
      </c>
      <c r="I3734" t="s">
        <v>1469</v>
      </c>
      <c r="J3734" t="s">
        <v>289</v>
      </c>
      <c r="K3734" t="s">
        <v>184</v>
      </c>
      <c r="L3734" t="s">
        <v>62</v>
      </c>
      <c r="M3734" t="s">
        <v>63</v>
      </c>
      <c r="N3734" t="s">
        <v>64</v>
      </c>
      <c r="P3734" t="s">
        <v>201</v>
      </c>
      <c r="R3734">
        <v>0.13800000000000001</v>
      </c>
      <c r="W3734" t="s">
        <v>66</v>
      </c>
      <c r="X3734" t="s">
        <v>67</v>
      </c>
      <c r="Y3734" t="s">
        <v>67</v>
      </c>
      <c r="Z3734" t="s">
        <v>68</v>
      </c>
      <c r="AB3734">
        <v>4</v>
      </c>
      <c r="AC3734" t="s">
        <v>61</v>
      </c>
      <c r="AJ3734" t="s">
        <v>69</v>
      </c>
      <c r="AY3734" t="s">
        <v>1474</v>
      </c>
      <c r="AZ3734">
        <v>9180</v>
      </c>
      <c r="BA3734" t="s">
        <v>1475</v>
      </c>
      <c r="BB3734" t="s">
        <v>1476</v>
      </c>
      <c r="BC3734">
        <v>1992</v>
      </c>
      <c r="BD3734" t="s">
        <v>185</v>
      </c>
    </row>
    <row r="3735" spans="1:56" x14ac:dyDescent="0.35">
      <c r="A3735">
        <v>10108642</v>
      </c>
      <c r="B3735" t="s">
        <v>2494</v>
      </c>
      <c r="D3735" t="s">
        <v>57</v>
      </c>
      <c r="E3735" t="s">
        <v>86</v>
      </c>
      <c r="F3735" t="s">
        <v>58</v>
      </c>
      <c r="G3735" t="s">
        <v>59</v>
      </c>
      <c r="H3735" t="s">
        <v>60</v>
      </c>
      <c r="I3735" t="s">
        <v>129</v>
      </c>
      <c r="J3735">
        <v>30</v>
      </c>
      <c r="K3735" t="s">
        <v>61</v>
      </c>
      <c r="L3735" t="s">
        <v>62</v>
      </c>
      <c r="M3735" t="s">
        <v>63</v>
      </c>
      <c r="N3735" t="s">
        <v>64</v>
      </c>
      <c r="P3735" t="s">
        <v>201</v>
      </c>
      <c r="R3735">
        <v>3.39</v>
      </c>
      <c r="T3735">
        <v>2.71</v>
      </c>
      <c r="V3735">
        <v>4.24</v>
      </c>
      <c r="W3735" t="s">
        <v>66</v>
      </c>
      <c r="X3735" t="s">
        <v>67</v>
      </c>
      <c r="Y3735" t="s">
        <v>67</v>
      </c>
      <c r="Z3735" t="s">
        <v>68</v>
      </c>
      <c r="AB3735">
        <v>4</v>
      </c>
      <c r="AC3735" t="s">
        <v>61</v>
      </c>
      <c r="AJ3735" t="s">
        <v>69</v>
      </c>
      <c r="AY3735" t="s">
        <v>2498</v>
      </c>
      <c r="AZ3735">
        <v>10485</v>
      </c>
      <c r="BA3735" t="s">
        <v>2499</v>
      </c>
      <c r="BB3735" t="s">
        <v>2500</v>
      </c>
      <c r="BC3735">
        <v>1984</v>
      </c>
      <c r="BD3735" t="s">
        <v>73</v>
      </c>
    </row>
    <row r="3736" spans="1:56" x14ac:dyDescent="0.35">
      <c r="A3736">
        <v>10108642</v>
      </c>
      <c r="B3736" t="s">
        <v>2494</v>
      </c>
      <c r="D3736" t="s">
        <v>57</v>
      </c>
      <c r="E3736" t="s">
        <v>86</v>
      </c>
      <c r="F3736" t="s">
        <v>58</v>
      </c>
      <c r="G3736" t="s">
        <v>59</v>
      </c>
      <c r="H3736" t="s">
        <v>60</v>
      </c>
      <c r="I3736" t="s">
        <v>1469</v>
      </c>
      <c r="J3736" t="s">
        <v>289</v>
      </c>
      <c r="K3736" t="s">
        <v>184</v>
      </c>
      <c r="L3736" t="s">
        <v>62</v>
      </c>
      <c r="M3736" t="s">
        <v>63</v>
      </c>
      <c r="N3736" t="s">
        <v>64</v>
      </c>
      <c r="P3736" t="s">
        <v>1296</v>
      </c>
      <c r="R3736">
        <v>6.7000000000000004E-2</v>
      </c>
      <c r="W3736" t="s">
        <v>66</v>
      </c>
      <c r="X3736" t="s">
        <v>67</v>
      </c>
      <c r="Y3736" t="s">
        <v>67</v>
      </c>
      <c r="Z3736" t="s">
        <v>68</v>
      </c>
      <c r="AB3736">
        <v>4</v>
      </c>
      <c r="AC3736" t="s">
        <v>61</v>
      </c>
      <c r="AJ3736" t="s">
        <v>69</v>
      </c>
      <c r="AY3736" t="s">
        <v>1474</v>
      </c>
      <c r="AZ3736">
        <v>9180</v>
      </c>
      <c r="BA3736" t="s">
        <v>1475</v>
      </c>
      <c r="BB3736" t="s">
        <v>1476</v>
      </c>
      <c r="BC3736">
        <v>1992</v>
      </c>
      <c r="BD3736" t="s">
        <v>185</v>
      </c>
    </row>
    <row r="3737" spans="1:56" x14ac:dyDescent="0.35">
      <c r="A3737">
        <v>10108642</v>
      </c>
      <c r="B3737" t="s">
        <v>2494</v>
      </c>
      <c r="D3737" t="s">
        <v>57</v>
      </c>
      <c r="E3737" t="s">
        <v>86</v>
      </c>
      <c r="F3737" t="s">
        <v>58</v>
      </c>
      <c r="G3737" t="s">
        <v>59</v>
      </c>
      <c r="H3737" t="s">
        <v>60</v>
      </c>
      <c r="I3737" t="s">
        <v>211</v>
      </c>
      <c r="J3737" t="s">
        <v>86</v>
      </c>
      <c r="L3737" t="s">
        <v>62</v>
      </c>
      <c r="M3737" t="s">
        <v>63</v>
      </c>
      <c r="N3737" t="s">
        <v>64</v>
      </c>
      <c r="P3737" t="s">
        <v>201</v>
      </c>
      <c r="R3737">
        <v>1.39</v>
      </c>
      <c r="T3737">
        <v>0.77</v>
      </c>
      <c r="V3737">
        <v>2.4300000000000002</v>
      </c>
      <c r="W3737" t="s">
        <v>66</v>
      </c>
      <c r="X3737" t="s">
        <v>67</v>
      </c>
      <c r="Y3737" t="s">
        <v>67</v>
      </c>
      <c r="Z3737" t="s">
        <v>68</v>
      </c>
      <c r="AB3737">
        <v>4</v>
      </c>
      <c r="AC3737" t="s">
        <v>61</v>
      </c>
      <c r="AJ3737" t="s">
        <v>69</v>
      </c>
      <c r="AY3737" t="s">
        <v>2137</v>
      </c>
      <c r="AZ3737">
        <v>10551</v>
      </c>
      <c r="BA3737" t="s">
        <v>2138</v>
      </c>
      <c r="BB3737" t="s">
        <v>2139</v>
      </c>
      <c r="BC3737">
        <v>1983</v>
      </c>
      <c r="BD3737" t="s">
        <v>90</v>
      </c>
    </row>
    <row r="3738" spans="1:56" x14ac:dyDescent="0.35">
      <c r="A3738">
        <v>10108642</v>
      </c>
      <c r="B3738" t="s">
        <v>2494</v>
      </c>
      <c r="D3738" t="s">
        <v>85</v>
      </c>
      <c r="E3738" t="s">
        <v>86</v>
      </c>
      <c r="F3738" t="s">
        <v>58</v>
      </c>
      <c r="G3738" t="s">
        <v>59</v>
      </c>
      <c r="H3738" t="s">
        <v>60</v>
      </c>
      <c r="I3738" t="s">
        <v>188</v>
      </c>
      <c r="J3738" t="s">
        <v>86</v>
      </c>
      <c r="K3738" t="s">
        <v>61</v>
      </c>
      <c r="L3738" t="s">
        <v>62</v>
      </c>
      <c r="M3738" t="s">
        <v>63</v>
      </c>
      <c r="N3738" t="s">
        <v>64</v>
      </c>
      <c r="P3738" t="s">
        <v>201</v>
      </c>
      <c r="R3738">
        <v>0.09</v>
      </c>
      <c r="T3738">
        <v>7.0000000000000007E-2</v>
      </c>
      <c r="V3738">
        <v>0.14000000000000001</v>
      </c>
      <c r="W3738" t="s">
        <v>66</v>
      </c>
      <c r="X3738" t="s">
        <v>67</v>
      </c>
      <c r="Y3738" t="s">
        <v>67</v>
      </c>
      <c r="Z3738" t="s">
        <v>68</v>
      </c>
      <c r="AB3738">
        <v>4</v>
      </c>
      <c r="AC3738" t="s">
        <v>61</v>
      </c>
      <c r="AJ3738" t="s">
        <v>69</v>
      </c>
      <c r="AY3738" t="s">
        <v>1260</v>
      </c>
      <c r="AZ3738">
        <v>11956</v>
      </c>
      <c r="BA3738" t="s">
        <v>1261</v>
      </c>
      <c r="BB3738" t="s">
        <v>1262</v>
      </c>
      <c r="BC3738">
        <v>1986</v>
      </c>
      <c r="BD3738" t="s">
        <v>1263</v>
      </c>
    </row>
    <row r="3739" spans="1:56" x14ac:dyDescent="0.35">
      <c r="A3739">
        <v>10108642</v>
      </c>
      <c r="B3739" t="s">
        <v>2494</v>
      </c>
      <c r="D3739" t="s">
        <v>57</v>
      </c>
      <c r="E3739" t="s">
        <v>86</v>
      </c>
      <c r="F3739" t="s">
        <v>58</v>
      </c>
      <c r="G3739" t="s">
        <v>59</v>
      </c>
      <c r="H3739" t="s">
        <v>60</v>
      </c>
      <c r="I3739" t="s">
        <v>129</v>
      </c>
      <c r="J3739">
        <v>30</v>
      </c>
      <c r="K3739" t="s">
        <v>61</v>
      </c>
      <c r="L3739" t="s">
        <v>62</v>
      </c>
      <c r="M3739" t="s">
        <v>63</v>
      </c>
      <c r="N3739" t="s">
        <v>64</v>
      </c>
      <c r="P3739" t="s">
        <v>201</v>
      </c>
      <c r="R3739">
        <v>1.28</v>
      </c>
      <c r="T3739">
        <v>1.1000000000000001</v>
      </c>
      <c r="V3739">
        <v>1.47</v>
      </c>
      <c r="W3739" t="s">
        <v>66</v>
      </c>
      <c r="X3739" t="s">
        <v>67</v>
      </c>
      <c r="Y3739" t="s">
        <v>67</v>
      </c>
      <c r="Z3739" t="s">
        <v>68</v>
      </c>
      <c r="AB3739">
        <v>4</v>
      </c>
      <c r="AC3739" t="s">
        <v>61</v>
      </c>
      <c r="AJ3739" t="s">
        <v>69</v>
      </c>
      <c r="AY3739" t="s">
        <v>2498</v>
      </c>
      <c r="AZ3739">
        <v>10485</v>
      </c>
      <c r="BA3739" t="s">
        <v>2499</v>
      </c>
      <c r="BB3739" t="s">
        <v>2500</v>
      </c>
      <c r="BC3739">
        <v>1984</v>
      </c>
      <c r="BD3739" t="s">
        <v>73</v>
      </c>
    </row>
    <row r="3740" spans="1:56" x14ac:dyDescent="0.35">
      <c r="A3740">
        <v>10108642</v>
      </c>
      <c r="B3740" t="s">
        <v>2494</v>
      </c>
      <c r="C3740" t="s">
        <v>195</v>
      </c>
      <c r="D3740" t="s">
        <v>57</v>
      </c>
      <c r="E3740" t="s">
        <v>86</v>
      </c>
      <c r="F3740" t="s">
        <v>58</v>
      </c>
      <c r="G3740" t="s">
        <v>59</v>
      </c>
      <c r="H3740" t="s">
        <v>60</v>
      </c>
      <c r="I3740" t="s">
        <v>129</v>
      </c>
      <c r="J3740" t="s">
        <v>86</v>
      </c>
      <c r="L3740" t="s">
        <v>62</v>
      </c>
      <c r="M3740" t="s">
        <v>63</v>
      </c>
      <c r="N3740" t="s">
        <v>64</v>
      </c>
      <c r="P3740" t="s">
        <v>201</v>
      </c>
      <c r="R3740">
        <v>3.51</v>
      </c>
      <c r="T3740">
        <v>3.03</v>
      </c>
      <c r="V3740">
        <v>4.07</v>
      </c>
      <c r="W3740" t="s">
        <v>66</v>
      </c>
      <c r="X3740" t="s">
        <v>67</v>
      </c>
      <c r="Y3740" t="s">
        <v>67</v>
      </c>
      <c r="Z3740" t="s">
        <v>68</v>
      </c>
      <c r="AB3740">
        <v>4</v>
      </c>
      <c r="AC3740" t="s">
        <v>61</v>
      </c>
      <c r="AJ3740" t="s">
        <v>69</v>
      </c>
      <c r="AY3740" t="s">
        <v>2495</v>
      </c>
      <c r="AZ3740">
        <v>12647</v>
      </c>
      <c r="BA3740" t="s">
        <v>2496</v>
      </c>
      <c r="BB3740" t="s">
        <v>2497</v>
      </c>
      <c r="BC3740">
        <v>1987</v>
      </c>
      <c r="BD3740" t="s">
        <v>90</v>
      </c>
    </row>
    <row r="3741" spans="1:56" x14ac:dyDescent="0.35">
      <c r="A3741">
        <v>10108642</v>
      </c>
      <c r="B3741" t="s">
        <v>2494</v>
      </c>
      <c r="D3741" t="s">
        <v>85</v>
      </c>
      <c r="E3741" t="s">
        <v>86</v>
      </c>
      <c r="F3741" t="s">
        <v>58</v>
      </c>
      <c r="G3741" t="s">
        <v>59</v>
      </c>
      <c r="H3741" t="s">
        <v>60</v>
      </c>
      <c r="J3741" t="s">
        <v>86</v>
      </c>
      <c r="L3741" t="s">
        <v>62</v>
      </c>
      <c r="M3741" t="s">
        <v>63</v>
      </c>
      <c r="N3741" t="s">
        <v>64</v>
      </c>
      <c r="P3741" t="s">
        <v>201</v>
      </c>
      <c r="R3741">
        <v>72.599999999999994</v>
      </c>
      <c r="T3741">
        <v>52.7</v>
      </c>
      <c r="V3741">
        <v>105</v>
      </c>
      <c r="W3741" t="s">
        <v>66</v>
      </c>
      <c r="X3741" t="s">
        <v>67</v>
      </c>
      <c r="Y3741" t="s">
        <v>67</v>
      </c>
      <c r="Z3741" t="s">
        <v>68</v>
      </c>
      <c r="AB3741">
        <v>4</v>
      </c>
      <c r="AC3741" t="s">
        <v>61</v>
      </c>
      <c r="AJ3741" t="s">
        <v>69</v>
      </c>
      <c r="AY3741" t="s">
        <v>168</v>
      </c>
      <c r="AZ3741">
        <v>2033</v>
      </c>
      <c r="BA3741" t="s">
        <v>1385</v>
      </c>
      <c r="BB3741" t="s">
        <v>1386</v>
      </c>
      <c r="BC3741">
        <v>1966</v>
      </c>
      <c r="BD3741" t="s">
        <v>90</v>
      </c>
    </row>
    <row r="3742" spans="1:56" x14ac:dyDescent="0.35">
      <c r="A3742">
        <v>10108642</v>
      </c>
      <c r="B3742" t="s">
        <v>2494</v>
      </c>
      <c r="D3742" t="s">
        <v>57</v>
      </c>
      <c r="E3742" t="s">
        <v>86</v>
      </c>
      <c r="F3742" t="s">
        <v>58</v>
      </c>
      <c r="G3742" t="s">
        <v>59</v>
      </c>
      <c r="H3742" t="s">
        <v>60</v>
      </c>
      <c r="J3742" t="s">
        <v>86</v>
      </c>
      <c r="L3742" t="s">
        <v>74</v>
      </c>
      <c r="M3742" t="s">
        <v>63</v>
      </c>
      <c r="N3742" t="s">
        <v>64</v>
      </c>
      <c r="P3742" t="s">
        <v>201</v>
      </c>
      <c r="R3742">
        <v>1.5</v>
      </c>
      <c r="T3742">
        <v>1.27</v>
      </c>
      <c r="V3742">
        <v>1.76</v>
      </c>
      <c r="W3742" t="s">
        <v>66</v>
      </c>
      <c r="X3742" t="s">
        <v>67</v>
      </c>
      <c r="Y3742" t="s">
        <v>67</v>
      </c>
      <c r="Z3742" t="s">
        <v>68</v>
      </c>
      <c r="AB3742">
        <v>4</v>
      </c>
      <c r="AC3742" t="s">
        <v>61</v>
      </c>
      <c r="AJ3742" t="s">
        <v>69</v>
      </c>
      <c r="AY3742" t="s">
        <v>325</v>
      </c>
      <c r="AZ3742">
        <v>10775</v>
      </c>
      <c r="BA3742" t="s">
        <v>326</v>
      </c>
      <c r="BB3742" t="s">
        <v>327</v>
      </c>
      <c r="BC3742">
        <v>1985</v>
      </c>
      <c r="BD3742" t="s">
        <v>90</v>
      </c>
    </row>
    <row r="3743" spans="1:56" x14ac:dyDescent="0.35">
      <c r="A3743">
        <v>10108642</v>
      </c>
      <c r="B3743" t="s">
        <v>2494</v>
      </c>
      <c r="C3743" t="s">
        <v>195</v>
      </c>
      <c r="D3743" t="s">
        <v>85</v>
      </c>
      <c r="E3743" t="s">
        <v>86</v>
      </c>
      <c r="F3743" t="s">
        <v>58</v>
      </c>
      <c r="G3743" t="s">
        <v>59</v>
      </c>
      <c r="H3743" t="s">
        <v>60</v>
      </c>
      <c r="J3743" t="s">
        <v>86</v>
      </c>
      <c r="K3743" t="s">
        <v>61</v>
      </c>
      <c r="L3743" t="s">
        <v>62</v>
      </c>
      <c r="M3743" t="s">
        <v>63</v>
      </c>
      <c r="N3743" t="s">
        <v>64</v>
      </c>
      <c r="P3743" t="s">
        <v>201</v>
      </c>
      <c r="R3743">
        <v>4.7999999999999996E-3</v>
      </c>
      <c r="T3743">
        <v>4.1000000000000003E-3</v>
      </c>
      <c r="V3743">
        <v>5.4999999999999997E-3</v>
      </c>
      <c r="W3743" t="s">
        <v>66</v>
      </c>
      <c r="X3743" t="s">
        <v>67</v>
      </c>
      <c r="Y3743" t="s">
        <v>67</v>
      </c>
      <c r="Z3743" t="s">
        <v>68</v>
      </c>
      <c r="AB3743">
        <v>4</v>
      </c>
      <c r="AC3743" t="s">
        <v>61</v>
      </c>
      <c r="AJ3743" t="s">
        <v>69</v>
      </c>
      <c r="AY3743" t="s">
        <v>2501</v>
      </c>
      <c r="AZ3743">
        <v>18420</v>
      </c>
      <c r="BA3743" t="s">
        <v>2502</v>
      </c>
      <c r="BB3743" t="s">
        <v>2503</v>
      </c>
      <c r="BC3743">
        <v>1997</v>
      </c>
      <c r="BD3743" t="s">
        <v>2285</v>
      </c>
    </row>
    <row r="3744" spans="1:56" x14ac:dyDescent="0.35">
      <c r="A3744">
        <v>10108642</v>
      </c>
      <c r="B3744" t="s">
        <v>2494</v>
      </c>
      <c r="D3744" t="s">
        <v>57</v>
      </c>
      <c r="E3744" t="s">
        <v>86</v>
      </c>
      <c r="F3744" t="s">
        <v>58</v>
      </c>
      <c r="G3744" t="s">
        <v>59</v>
      </c>
      <c r="H3744" t="s">
        <v>60</v>
      </c>
      <c r="I3744" t="s">
        <v>211</v>
      </c>
      <c r="J3744" t="s">
        <v>86</v>
      </c>
      <c r="L3744" t="s">
        <v>62</v>
      </c>
      <c r="M3744" t="s">
        <v>63</v>
      </c>
      <c r="N3744" t="s">
        <v>64</v>
      </c>
      <c r="P3744" t="s">
        <v>201</v>
      </c>
      <c r="R3744">
        <v>1.83</v>
      </c>
      <c r="T3744">
        <v>1.26</v>
      </c>
      <c r="V3744">
        <v>2.88</v>
      </c>
      <c r="W3744" t="s">
        <v>66</v>
      </c>
      <c r="X3744" t="s">
        <v>67</v>
      </c>
      <c r="Y3744" t="s">
        <v>67</v>
      </c>
      <c r="Z3744" t="s">
        <v>68</v>
      </c>
      <c r="AB3744">
        <v>4</v>
      </c>
      <c r="AC3744" t="s">
        <v>61</v>
      </c>
      <c r="AJ3744" t="s">
        <v>69</v>
      </c>
      <c r="AY3744" t="s">
        <v>2137</v>
      </c>
      <c r="AZ3744">
        <v>10551</v>
      </c>
      <c r="BA3744" t="s">
        <v>2138</v>
      </c>
      <c r="BB3744" t="s">
        <v>2139</v>
      </c>
      <c r="BC3744">
        <v>1983</v>
      </c>
      <c r="BD3744" t="s">
        <v>90</v>
      </c>
    </row>
    <row r="3745" spans="1:56" x14ac:dyDescent="0.35">
      <c r="A3745">
        <v>10108642</v>
      </c>
      <c r="B3745" t="s">
        <v>2494</v>
      </c>
      <c r="C3745" t="s">
        <v>195</v>
      </c>
      <c r="D3745" t="s">
        <v>57</v>
      </c>
      <c r="E3745" t="s">
        <v>86</v>
      </c>
      <c r="F3745" t="s">
        <v>58</v>
      </c>
      <c r="G3745" t="s">
        <v>59</v>
      </c>
      <c r="H3745" t="s">
        <v>60</v>
      </c>
      <c r="I3745" t="s">
        <v>129</v>
      </c>
      <c r="J3745" t="s">
        <v>86</v>
      </c>
      <c r="L3745" t="s">
        <v>62</v>
      </c>
      <c r="M3745" t="s">
        <v>63</v>
      </c>
      <c r="N3745" t="s">
        <v>64</v>
      </c>
      <c r="P3745" t="s">
        <v>201</v>
      </c>
      <c r="R3745">
        <v>3.42</v>
      </c>
      <c r="T3745">
        <v>3.28</v>
      </c>
      <c r="V3745">
        <v>3.61</v>
      </c>
      <c r="W3745" t="s">
        <v>66</v>
      </c>
      <c r="X3745" t="s">
        <v>67</v>
      </c>
      <c r="Y3745" t="s">
        <v>67</v>
      </c>
      <c r="Z3745" t="s">
        <v>68</v>
      </c>
      <c r="AB3745">
        <v>4</v>
      </c>
      <c r="AC3745" t="s">
        <v>61</v>
      </c>
      <c r="AJ3745" t="s">
        <v>69</v>
      </c>
      <c r="AY3745" t="s">
        <v>2495</v>
      </c>
      <c r="AZ3745">
        <v>12647</v>
      </c>
      <c r="BA3745" t="s">
        <v>2496</v>
      </c>
      <c r="BB3745" t="s">
        <v>2497</v>
      </c>
      <c r="BC3745">
        <v>1987</v>
      </c>
      <c r="BD3745" t="s">
        <v>90</v>
      </c>
    </row>
    <row r="3746" spans="1:56" x14ac:dyDescent="0.35">
      <c r="A3746">
        <v>10108642</v>
      </c>
      <c r="B3746" t="s">
        <v>2494</v>
      </c>
      <c r="D3746" t="s">
        <v>85</v>
      </c>
      <c r="E3746" t="s">
        <v>86</v>
      </c>
      <c r="F3746" t="s">
        <v>58</v>
      </c>
      <c r="G3746" t="s">
        <v>59</v>
      </c>
      <c r="H3746" t="s">
        <v>60</v>
      </c>
      <c r="J3746" t="s">
        <v>86</v>
      </c>
      <c r="L3746" t="s">
        <v>62</v>
      </c>
      <c r="M3746" t="s">
        <v>63</v>
      </c>
      <c r="N3746" t="s">
        <v>64</v>
      </c>
      <c r="P3746" t="s">
        <v>201</v>
      </c>
      <c r="R3746">
        <v>0.63</v>
      </c>
      <c r="T3746">
        <v>0.47</v>
      </c>
      <c r="V3746">
        <v>0.84</v>
      </c>
      <c r="W3746" t="s">
        <v>66</v>
      </c>
      <c r="X3746" t="s">
        <v>67</v>
      </c>
      <c r="Y3746" t="s">
        <v>67</v>
      </c>
      <c r="Z3746" t="s">
        <v>68</v>
      </c>
      <c r="AB3746">
        <v>4</v>
      </c>
      <c r="AC3746" t="s">
        <v>61</v>
      </c>
      <c r="AJ3746" t="s">
        <v>69</v>
      </c>
      <c r="AY3746" t="s">
        <v>168</v>
      </c>
      <c r="AZ3746">
        <v>2033</v>
      </c>
      <c r="BA3746" t="s">
        <v>1385</v>
      </c>
      <c r="BB3746" t="s">
        <v>1386</v>
      </c>
      <c r="BC3746">
        <v>1966</v>
      </c>
      <c r="BD3746" t="s">
        <v>90</v>
      </c>
    </row>
    <row r="3747" spans="1:56" x14ac:dyDescent="0.35">
      <c r="A3747">
        <v>10108642</v>
      </c>
      <c r="B3747" t="s">
        <v>2494</v>
      </c>
      <c r="D3747" t="s">
        <v>85</v>
      </c>
      <c r="E3747" t="s">
        <v>86</v>
      </c>
      <c r="F3747" t="s">
        <v>58</v>
      </c>
      <c r="G3747" t="s">
        <v>59</v>
      </c>
      <c r="H3747" t="s">
        <v>60</v>
      </c>
      <c r="I3747" t="s">
        <v>188</v>
      </c>
      <c r="J3747" t="s">
        <v>86</v>
      </c>
      <c r="K3747" t="s">
        <v>61</v>
      </c>
      <c r="L3747" t="s">
        <v>62</v>
      </c>
      <c r="M3747" t="s">
        <v>63</v>
      </c>
      <c r="N3747" t="s">
        <v>64</v>
      </c>
      <c r="P3747" t="s">
        <v>201</v>
      </c>
      <c r="Q3747" t="s">
        <v>153</v>
      </c>
      <c r="R3747">
        <v>0.15</v>
      </c>
      <c r="W3747" t="s">
        <v>66</v>
      </c>
      <c r="X3747" t="s">
        <v>67</v>
      </c>
      <c r="Y3747" t="s">
        <v>67</v>
      </c>
      <c r="Z3747" t="s">
        <v>68</v>
      </c>
      <c r="AB3747">
        <v>4</v>
      </c>
      <c r="AC3747" t="s">
        <v>61</v>
      </c>
      <c r="AJ3747" t="s">
        <v>69</v>
      </c>
      <c r="AY3747" t="s">
        <v>1260</v>
      </c>
      <c r="AZ3747">
        <v>11956</v>
      </c>
      <c r="BA3747" t="s">
        <v>1261</v>
      </c>
      <c r="BB3747" t="s">
        <v>1262</v>
      </c>
      <c r="BC3747">
        <v>1986</v>
      </c>
      <c r="BD3747" t="s">
        <v>1263</v>
      </c>
    </row>
    <row r="3748" spans="1:56" x14ac:dyDescent="0.35">
      <c r="A3748">
        <v>10108642</v>
      </c>
      <c r="B3748" t="s">
        <v>2494</v>
      </c>
      <c r="D3748" t="s">
        <v>85</v>
      </c>
      <c r="E3748" t="s">
        <v>86</v>
      </c>
      <c r="F3748" t="s">
        <v>58</v>
      </c>
      <c r="G3748" t="s">
        <v>59</v>
      </c>
      <c r="H3748" t="s">
        <v>60</v>
      </c>
      <c r="I3748" t="s">
        <v>188</v>
      </c>
      <c r="J3748" t="s">
        <v>86</v>
      </c>
      <c r="K3748" t="s">
        <v>61</v>
      </c>
      <c r="L3748" t="s">
        <v>62</v>
      </c>
      <c r="M3748" t="s">
        <v>63</v>
      </c>
      <c r="N3748" t="s">
        <v>64</v>
      </c>
      <c r="P3748" t="s">
        <v>201</v>
      </c>
      <c r="Q3748" t="s">
        <v>153</v>
      </c>
      <c r="R3748">
        <v>0.15</v>
      </c>
      <c r="W3748" t="s">
        <v>66</v>
      </c>
      <c r="X3748" t="s">
        <v>67</v>
      </c>
      <c r="Y3748" t="s">
        <v>67</v>
      </c>
      <c r="Z3748" t="s">
        <v>68</v>
      </c>
      <c r="AB3748">
        <v>4</v>
      </c>
      <c r="AC3748" t="s">
        <v>61</v>
      </c>
      <c r="AJ3748" t="s">
        <v>69</v>
      </c>
      <c r="AY3748" t="s">
        <v>1260</v>
      </c>
      <c r="AZ3748">
        <v>11956</v>
      </c>
      <c r="BA3748" t="s">
        <v>1261</v>
      </c>
      <c r="BB3748" t="s">
        <v>1262</v>
      </c>
      <c r="BC3748">
        <v>1986</v>
      </c>
      <c r="BD3748" t="s">
        <v>1263</v>
      </c>
    </row>
    <row r="3749" spans="1:56" x14ac:dyDescent="0.35">
      <c r="A3749">
        <v>10108642</v>
      </c>
      <c r="B3749" t="s">
        <v>2494</v>
      </c>
      <c r="C3749" t="s">
        <v>195</v>
      </c>
      <c r="D3749" t="s">
        <v>57</v>
      </c>
      <c r="E3749" t="s">
        <v>86</v>
      </c>
      <c r="F3749" t="s">
        <v>58</v>
      </c>
      <c r="G3749" t="s">
        <v>59</v>
      </c>
      <c r="H3749" t="s">
        <v>60</v>
      </c>
      <c r="I3749" t="s">
        <v>129</v>
      </c>
      <c r="J3749" t="s">
        <v>86</v>
      </c>
      <c r="L3749" t="s">
        <v>62</v>
      </c>
      <c r="M3749" t="s">
        <v>63</v>
      </c>
      <c r="N3749" t="s">
        <v>64</v>
      </c>
      <c r="P3749" t="s">
        <v>201</v>
      </c>
      <c r="R3749">
        <v>2.31</v>
      </c>
      <c r="T3749">
        <v>1.93</v>
      </c>
      <c r="V3749">
        <v>2.78</v>
      </c>
      <c r="W3749" t="s">
        <v>66</v>
      </c>
      <c r="X3749" t="s">
        <v>67</v>
      </c>
      <c r="Y3749" t="s">
        <v>67</v>
      </c>
      <c r="Z3749" t="s">
        <v>68</v>
      </c>
      <c r="AB3749">
        <v>4</v>
      </c>
      <c r="AC3749" t="s">
        <v>61</v>
      </c>
      <c r="AJ3749" t="s">
        <v>69</v>
      </c>
      <c r="AY3749" t="s">
        <v>2495</v>
      </c>
      <c r="AZ3749">
        <v>12647</v>
      </c>
      <c r="BA3749" t="s">
        <v>2496</v>
      </c>
      <c r="BB3749" t="s">
        <v>2497</v>
      </c>
      <c r="BC3749">
        <v>1987</v>
      </c>
      <c r="BD3749" t="s">
        <v>90</v>
      </c>
    </row>
    <row r="3750" spans="1:56" x14ac:dyDescent="0.35">
      <c r="A3750">
        <v>10108642</v>
      </c>
      <c r="B3750" t="s">
        <v>2494</v>
      </c>
      <c r="C3750" t="s">
        <v>195</v>
      </c>
      <c r="D3750" t="s">
        <v>57</v>
      </c>
      <c r="E3750" t="s">
        <v>86</v>
      </c>
      <c r="F3750" t="s">
        <v>58</v>
      </c>
      <c r="G3750" t="s">
        <v>59</v>
      </c>
      <c r="H3750" t="s">
        <v>60</v>
      </c>
      <c r="I3750" t="s">
        <v>129</v>
      </c>
      <c r="J3750" t="s">
        <v>86</v>
      </c>
      <c r="L3750" t="s">
        <v>62</v>
      </c>
      <c r="M3750" t="s">
        <v>63</v>
      </c>
      <c r="N3750" t="s">
        <v>64</v>
      </c>
      <c r="P3750" t="s">
        <v>201</v>
      </c>
      <c r="R3750">
        <v>3.2</v>
      </c>
      <c r="T3750">
        <v>2.2000000000000002</v>
      </c>
      <c r="V3750">
        <v>5.46</v>
      </c>
      <c r="W3750" t="s">
        <v>66</v>
      </c>
      <c r="X3750" t="s">
        <v>67</v>
      </c>
      <c r="Y3750" t="s">
        <v>67</v>
      </c>
      <c r="Z3750" t="s">
        <v>68</v>
      </c>
      <c r="AB3750">
        <v>4</v>
      </c>
      <c r="AC3750" t="s">
        <v>61</v>
      </c>
      <c r="AJ3750" t="s">
        <v>69</v>
      </c>
      <c r="AY3750" t="s">
        <v>2495</v>
      </c>
      <c r="AZ3750">
        <v>12647</v>
      </c>
      <c r="BA3750" t="s">
        <v>2496</v>
      </c>
      <c r="BB3750" t="s">
        <v>2497</v>
      </c>
      <c r="BC3750">
        <v>1987</v>
      </c>
      <c r="BD3750" t="s">
        <v>90</v>
      </c>
    </row>
    <row r="3751" spans="1:56" x14ac:dyDescent="0.35">
      <c r="A3751">
        <v>10108642</v>
      </c>
      <c r="B3751" t="s">
        <v>2494</v>
      </c>
      <c r="D3751" t="s">
        <v>85</v>
      </c>
      <c r="E3751" t="s">
        <v>86</v>
      </c>
      <c r="F3751" t="s">
        <v>58</v>
      </c>
      <c r="G3751" t="s">
        <v>59</v>
      </c>
      <c r="H3751" t="s">
        <v>60</v>
      </c>
      <c r="I3751" t="s">
        <v>1469</v>
      </c>
      <c r="J3751" t="s">
        <v>289</v>
      </c>
      <c r="K3751" t="s">
        <v>184</v>
      </c>
      <c r="L3751" t="s">
        <v>62</v>
      </c>
      <c r="M3751" t="s">
        <v>63</v>
      </c>
      <c r="N3751" t="s">
        <v>64</v>
      </c>
      <c r="P3751" t="s">
        <v>201</v>
      </c>
      <c r="R3751">
        <v>0.126</v>
      </c>
      <c r="W3751" t="s">
        <v>66</v>
      </c>
      <c r="X3751" t="s">
        <v>67</v>
      </c>
      <c r="Y3751" t="s">
        <v>67</v>
      </c>
      <c r="Z3751" t="s">
        <v>68</v>
      </c>
      <c r="AB3751">
        <v>4</v>
      </c>
      <c r="AC3751" t="s">
        <v>61</v>
      </c>
      <c r="AJ3751" t="s">
        <v>69</v>
      </c>
      <c r="AY3751" t="s">
        <v>1474</v>
      </c>
      <c r="AZ3751">
        <v>9180</v>
      </c>
      <c r="BA3751" t="s">
        <v>1475</v>
      </c>
      <c r="BB3751" t="s">
        <v>1476</v>
      </c>
      <c r="BC3751">
        <v>1992</v>
      </c>
      <c r="BD3751" t="s">
        <v>185</v>
      </c>
    </row>
    <row r="3752" spans="1:56" x14ac:dyDescent="0.35">
      <c r="A3752">
        <v>10108642</v>
      </c>
      <c r="B3752" t="s">
        <v>2494</v>
      </c>
      <c r="C3752" t="s">
        <v>386</v>
      </c>
      <c r="D3752" t="s">
        <v>85</v>
      </c>
      <c r="E3752" t="s">
        <v>86</v>
      </c>
      <c r="F3752" t="s">
        <v>58</v>
      </c>
      <c r="G3752" t="s">
        <v>59</v>
      </c>
      <c r="H3752" t="s">
        <v>60</v>
      </c>
      <c r="J3752" t="s">
        <v>86</v>
      </c>
      <c r="L3752" t="s">
        <v>62</v>
      </c>
      <c r="M3752" t="s">
        <v>63</v>
      </c>
      <c r="N3752" t="s">
        <v>64</v>
      </c>
      <c r="P3752" t="s">
        <v>201</v>
      </c>
      <c r="R3752">
        <v>3.06</v>
      </c>
      <c r="T3752">
        <v>2</v>
      </c>
      <c r="V3752">
        <v>3.81</v>
      </c>
      <c r="W3752" t="s">
        <v>66</v>
      </c>
      <c r="X3752" t="s">
        <v>67</v>
      </c>
      <c r="Y3752" t="s">
        <v>67</v>
      </c>
      <c r="Z3752" t="s">
        <v>68</v>
      </c>
      <c r="AB3752">
        <v>4</v>
      </c>
      <c r="AC3752" t="s">
        <v>61</v>
      </c>
      <c r="AJ3752" t="s">
        <v>69</v>
      </c>
      <c r="AY3752" t="s">
        <v>2131</v>
      </c>
      <c r="AZ3752">
        <v>10237</v>
      </c>
      <c r="BA3752" t="s">
        <v>2132</v>
      </c>
      <c r="BB3752" t="s">
        <v>2133</v>
      </c>
      <c r="BC3752">
        <v>1983</v>
      </c>
      <c r="BD3752" t="s">
        <v>90</v>
      </c>
    </row>
    <row r="3753" spans="1:56" x14ac:dyDescent="0.35">
      <c r="A3753">
        <v>10108642</v>
      </c>
      <c r="B3753" t="s">
        <v>2494</v>
      </c>
      <c r="D3753" t="s">
        <v>57</v>
      </c>
      <c r="E3753" t="s">
        <v>86</v>
      </c>
      <c r="F3753" t="s">
        <v>58</v>
      </c>
      <c r="G3753" t="s">
        <v>59</v>
      </c>
      <c r="H3753" t="s">
        <v>60</v>
      </c>
      <c r="I3753" t="s">
        <v>211</v>
      </c>
      <c r="J3753" t="s">
        <v>86</v>
      </c>
      <c r="L3753" t="s">
        <v>62</v>
      </c>
      <c r="M3753" t="s">
        <v>63</v>
      </c>
      <c r="N3753" t="s">
        <v>64</v>
      </c>
      <c r="P3753" t="s">
        <v>201</v>
      </c>
      <c r="R3753">
        <v>3.06</v>
      </c>
      <c r="T3753">
        <v>2</v>
      </c>
      <c r="V3753">
        <v>3.81</v>
      </c>
      <c r="W3753" t="s">
        <v>66</v>
      </c>
      <c r="X3753" t="s">
        <v>67</v>
      </c>
      <c r="Y3753" t="s">
        <v>67</v>
      </c>
      <c r="Z3753" t="s">
        <v>68</v>
      </c>
      <c r="AB3753">
        <v>4</v>
      </c>
      <c r="AC3753" t="s">
        <v>61</v>
      </c>
      <c r="AJ3753" t="s">
        <v>69</v>
      </c>
      <c r="AY3753" t="s">
        <v>2137</v>
      </c>
      <c r="AZ3753">
        <v>10551</v>
      </c>
      <c r="BA3753" t="s">
        <v>2138</v>
      </c>
      <c r="BB3753" t="s">
        <v>2139</v>
      </c>
      <c r="BC3753">
        <v>1983</v>
      </c>
      <c r="BD3753" t="s">
        <v>90</v>
      </c>
    </row>
    <row r="3754" spans="1:56" x14ac:dyDescent="0.35">
      <c r="A3754">
        <v>10108642</v>
      </c>
      <c r="B3754" t="s">
        <v>2494</v>
      </c>
      <c r="D3754" t="s">
        <v>85</v>
      </c>
      <c r="E3754" t="s">
        <v>86</v>
      </c>
      <c r="F3754" t="s">
        <v>58</v>
      </c>
      <c r="G3754" t="s">
        <v>59</v>
      </c>
      <c r="H3754" t="s">
        <v>60</v>
      </c>
      <c r="J3754" t="s">
        <v>86</v>
      </c>
      <c r="L3754" t="s">
        <v>62</v>
      </c>
      <c r="M3754" t="s">
        <v>63</v>
      </c>
      <c r="N3754" t="s">
        <v>64</v>
      </c>
      <c r="P3754" t="s">
        <v>201</v>
      </c>
      <c r="R3754">
        <v>1.05</v>
      </c>
      <c r="T3754">
        <v>0.7</v>
      </c>
      <c r="V3754">
        <v>4.43</v>
      </c>
      <c r="W3754" t="s">
        <v>66</v>
      </c>
      <c r="X3754" t="s">
        <v>67</v>
      </c>
      <c r="Y3754" t="s">
        <v>67</v>
      </c>
      <c r="Z3754" t="s">
        <v>68</v>
      </c>
      <c r="AB3754">
        <v>4</v>
      </c>
      <c r="AC3754" t="s">
        <v>61</v>
      </c>
      <c r="AJ3754" t="s">
        <v>69</v>
      </c>
      <c r="AY3754" t="s">
        <v>168</v>
      </c>
      <c r="AZ3754">
        <v>2033</v>
      </c>
      <c r="BA3754" t="s">
        <v>1385</v>
      </c>
      <c r="BB3754" t="s">
        <v>1386</v>
      </c>
      <c r="BC3754">
        <v>1966</v>
      </c>
      <c r="BD3754" t="s">
        <v>90</v>
      </c>
    </row>
    <row r="3755" spans="1:56" x14ac:dyDescent="0.35">
      <c r="A3755">
        <v>10108642</v>
      </c>
      <c r="B3755" t="s">
        <v>2494</v>
      </c>
      <c r="D3755" t="s">
        <v>57</v>
      </c>
      <c r="E3755" t="s">
        <v>86</v>
      </c>
      <c r="F3755" t="s">
        <v>58</v>
      </c>
      <c r="G3755" t="s">
        <v>59</v>
      </c>
      <c r="H3755" t="s">
        <v>60</v>
      </c>
      <c r="I3755" t="s">
        <v>1469</v>
      </c>
      <c r="J3755" t="s">
        <v>289</v>
      </c>
      <c r="K3755" t="s">
        <v>184</v>
      </c>
      <c r="L3755" t="s">
        <v>62</v>
      </c>
      <c r="M3755" t="s">
        <v>63</v>
      </c>
      <c r="N3755" t="s">
        <v>64</v>
      </c>
      <c r="P3755" t="s">
        <v>1296</v>
      </c>
      <c r="R3755">
        <v>0.23</v>
      </c>
      <c r="W3755" t="s">
        <v>66</v>
      </c>
      <c r="X3755" t="s">
        <v>67</v>
      </c>
      <c r="Y3755" t="s">
        <v>67</v>
      </c>
      <c r="Z3755" t="s">
        <v>68</v>
      </c>
      <c r="AB3755">
        <v>4</v>
      </c>
      <c r="AC3755" t="s">
        <v>61</v>
      </c>
      <c r="AJ3755" t="s">
        <v>69</v>
      </c>
      <c r="AY3755" t="s">
        <v>1474</v>
      </c>
      <c r="AZ3755">
        <v>9180</v>
      </c>
      <c r="BA3755" t="s">
        <v>1475</v>
      </c>
      <c r="BB3755" t="s">
        <v>1476</v>
      </c>
      <c r="BC3755">
        <v>1992</v>
      </c>
      <c r="BD3755" t="s">
        <v>185</v>
      </c>
    </row>
    <row r="3756" spans="1:56" x14ac:dyDescent="0.35">
      <c r="A3756">
        <v>10108642</v>
      </c>
      <c r="B3756" t="s">
        <v>2494</v>
      </c>
      <c r="D3756" t="s">
        <v>85</v>
      </c>
      <c r="E3756" t="s">
        <v>86</v>
      </c>
      <c r="F3756" t="s">
        <v>58</v>
      </c>
      <c r="G3756" t="s">
        <v>59</v>
      </c>
      <c r="H3756" t="s">
        <v>60</v>
      </c>
      <c r="J3756" t="s">
        <v>86</v>
      </c>
      <c r="L3756" t="s">
        <v>62</v>
      </c>
      <c r="M3756" t="s">
        <v>63</v>
      </c>
      <c r="N3756" t="s">
        <v>64</v>
      </c>
      <c r="P3756" t="s">
        <v>201</v>
      </c>
      <c r="R3756">
        <v>73.5</v>
      </c>
      <c r="T3756">
        <v>55.9</v>
      </c>
      <c r="V3756">
        <v>101</v>
      </c>
      <c r="W3756" t="s">
        <v>66</v>
      </c>
      <c r="X3756" t="s">
        <v>67</v>
      </c>
      <c r="Y3756" t="s">
        <v>67</v>
      </c>
      <c r="Z3756" t="s">
        <v>68</v>
      </c>
      <c r="AB3756">
        <v>4</v>
      </c>
      <c r="AC3756" t="s">
        <v>61</v>
      </c>
      <c r="AJ3756" t="s">
        <v>69</v>
      </c>
      <c r="AY3756" t="s">
        <v>168</v>
      </c>
      <c r="AZ3756">
        <v>2033</v>
      </c>
      <c r="BA3756" t="s">
        <v>1385</v>
      </c>
      <c r="BB3756" t="s">
        <v>1386</v>
      </c>
      <c r="BC3756">
        <v>1966</v>
      </c>
      <c r="BD3756" t="s">
        <v>90</v>
      </c>
    </row>
    <row r="3757" spans="1:56" x14ac:dyDescent="0.35">
      <c r="A3757">
        <v>10124364</v>
      </c>
      <c r="B3757" t="s">
        <v>2504</v>
      </c>
      <c r="D3757" t="s">
        <v>57</v>
      </c>
      <c r="E3757" t="s">
        <v>86</v>
      </c>
      <c r="F3757" t="s">
        <v>58</v>
      </c>
      <c r="G3757" t="s">
        <v>59</v>
      </c>
      <c r="H3757" t="s">
        <v>60</v>
      </c>
      <c r="I3757" t="s">
        <v>211</v>
      </c>
      <c r="J3757" t="s">
        <v>86</v>
      </c>
      <c r="L3757" t="s">
        <v>62</v>
      </c>
      <c r="M3757" t="s">
        <v>63</v>
      </c>
      <c r="N3757" t="s">
        <v>64</v>
      </c>
      <c r="P3757" t="s">
        <v>201</v>
      </c>
      <c r="R3757">
        <v>3.58</v>
      </c>
      <c r="T3757">
        <v>3.11</v>
      </c>
      <c r="V3757">
        <v>4.01</v>
      </c>
      <c r="W3757" t="s">
        <v>66</v>
      </c>
      <c r="X3757" t="s">
        <v>67</v>
      </c>
      <c r="Y3757" t="s">
        <v>67</v>
      </c>
      <c r="Z3757" t="s">
        <v>68</v>
      </c>
      <c r="AB3757">
        <v>4</v>
      </c>
      <c r="AC3757" t="s">
        <v>61</v>
      </c>
      <c r="AJ3757" t="s">
        <v>69</v>
      </c>
      <c r="AY3757" t="s">
        <v>2505</v>
      </c>
      <c r="AZ3757">
        <v>6156</v>
      </c>
      <c r="BA3757" t="s">
        <v>2506</v>
      </c>
      <c r="BB3757" t="s">
        <v>2507</v>
      </c>
      <c r="BC3757">
        <v>1988</v>
      </c>
      <c r="BD3757" t="s">
        <v>90</v>
      </c>
    </row>
    <row r="3758" spans="1:56" x14ac:dyDescent="0.35">
      <c r="A3758">
        <v>10124364</v>
      </c>
      <c r="B3758" t="s">
        <v>2504</v>
      </c>
      <c r="D3758" t="s">
        <v>57</v>
      </c>
      <c r="E3758" t="s">
        <v>86</v>
      </c>
      <c r="F3758" t="s">
        <v>58</v>
      </c>
      <c r="G3758" t="s">
        <v>59</v>
      </c>
      <c r="H3758" t="s">
        <v>60</v>
      </c>
      <c r="I3758" t="s">
        <v>188</v>
      </c>
      <c r="J3758" t="s">
        <v>86</v>
      </c>
      <c r="K3758" t="s">
        <v>184</v>
      </c>
      <c r="L3758" t="s">
        <v>74</v>
      </c>
      <c r="M3758" t="s">
        <v>63</v>
      </c>
      <c r="N3758" t="s">
        <v>64</v>
      </c>
      <c r="P3758" t="s">
        <v>201</v>
      </c>
      <c r="S3758" t="s">
        <v>153</v>
      </c>
      <c r="T3758">
        <v>4.0000000000000001E-3</v>
      </c>
      <c r="U3758" t="s">
        <v>435</v>
      </c>
      <c r="V3758">
        <v>5.0000000000000001E-3</v>
      </c>
      <c r="W3758" t="s">
        <v>66</v>
      </c>
      <c r="X3758" t="s">
        <v>67</v>
      </c>
      <c r="Y3758" t="s">
        <v>67</v>
      </c>
      <c r="Z3758" t="s">
        <v>68</v>
      </c>
      <c r="AB3758">
        <v>4</v>
      </c>
      <c r="AC3758" t="s">
        <v>61</v>
      </c>
      <c r="AJ3758" t="s">
        <v>69</v>
      </c>
      <c r="AY3758" t="s">
        <v>2249</v>
      </c>
      <c r="AZ3758">
        <v>45189</v>
      </c>
      <c r="BA3758" t="s">
        <v>2250</v>
      </c>
      <c r="BB3758" t="s">
        <v>2251</v>
      </c>
      <c r="BC3758">
        <v>1996</v>
      </c>
      <c r="BD3758" t="s">
        <v>2252</v>
      </c>
    </row>
    <row r="3759" spans="1:56" x14ac:dyDescent="0.35">
      <c r="A3759">
        <v>10124364</v>
      </c>
      <c r="B3759" t="s">
        <v>2504</v>
      </c>
      <c r="D3759" t="s">
        <v>85</v>
      </c>
      <c r="E3759" t="s">
        <v>86</v>
      </c>
      <c r="F3759" t="s">
        <v>58</v>
      </c>
      <c r="G3759" t="s">
        <v>59</v>
      </c>
      <c r="H3759" t="s">
        <v>60</v>
      </c>
      <c r="I3759" t="s">
        <v>1469</v>
      </c>
      <c r="J3759" t="s">
        <v>289</v>
      </c>
      <c r="K3759" t="s">
        <v>184</v>
      </c>
      <c r="L3759" t="s">
        <v>62</v>
      </c>
      <c r="M3759" t="s">
        <v>63</v>
      </c>
      <c r="N3759" t="s">
        <v>64</v>
      </c>
      <c r="P3759" t="s">
        <v>201</v>
      </c>
      <c r="R3759">
        <v>0.14399999999999999</v>
      </c>
      <c r="W3759" t="s">
        <v>66</v>
      </c>
      <c r="X3759" t="s">
        <v>67</v>
      </c>
      <c r="Y3759" t="s">
        <v>67</v>
      </c>
      <c r="Z3759" t="s">
        <v>68</v>
      </c>
      <c r="AB3759">
        <v>4</v>
      </c>
      <c r="AC3759" t="s">
        <v>61</v>
      </c>
      <c r="AJ3759" t="s">
        <v>69</v>
      </c>
      <c r="AY3759" t="s">
        <v>1474</v>
      </c>
      <c r="AZ3759">
        <v>9180</v>
      </c>
      <c r="BA3759" t="s">
        <v>1475</v>
      </c>
      <c r="BB3759" t="s">
        <v>1476</v>
      </c>
      <c r="BC3759">
        <v>1992</v>
      </c>
      <c r="BD3759" t="s">
        <v>185</v>
      </c>
    </row>
    <row r="3760" spans="1:56" x14ac:dyDescent="0.35">
      <c r="A3760">
        <v>10124364</v>
      </c>
      <c r="B3760" t="s">
        <v>2504</v>
      </c>
      <c r="D3760" t="s">
        <v>57</v>
      </c>
      <c r="E3760" t="s">
        <v>86</v>
      </c>
      <c r="F3760" t="s">
        <v>58</v>
      </c>
      <c r="G3760" t="s">
        <v>59</v>
      </c>
      <c r="H3760" t="s">
        <v>60</v>
      </c>
      <c r="J3760" t="s">
        <v>86</v>
      </c>
      <c r="L3760" t="s">
        <v>74</v>
      </c>
      <c r="M3760" t="s">
        <v>63</v>
      </c>
      <c r="N3760" t="s">
        <v>64</v>
      </c>
      <c r="P3760" t="s">
        <v>201</v>
      </c>
      <c r="R3760">
        <v>11</v>
      </c>
      <c r="W3760" t="s">
        <v>66</v>
      </c>
      <c r="X3760" t="s">
        <v>67</v>
      </c>
      <c r="Y3760" t="s">
        <v>67</v>
      </c>
      <c r="Z3760" t="s">
        <v>68</v>
      </c>
      <c r="AB3760">
        <v>4</v>
      </c>
      <c r="AC3760" t="s">
        <v>61</v>
      </c>
      <c r="AJ3760" t="s">
        <v>69</v>
      </c>
      <c r="AY3760" t="s">
        <v>2508</v>
      </c>
      <c r="AZ3760">
        <v>5231</v>
      </c>
      <c r="BA3760" t="s">
        <v>2509</v>
      </c>
      <c r="BB3760" t="s">
        <v>2510</v>
      </c>
      <c r="BC3760">
        <v>1972</v>
      </c>
      <c r="BD3760" t="s">
        <v>90</v>
      </c>
    </row>
    <row r="3761" spans="1:56" x14ac:dyDescent="0.35">
      <c r="A3761">
        <v>10124364</v>
      </c>
      <c r="B3761" t="s">
        <v>2504</v>
      </c>
      <c r="D3761" t="s">
        <v>57</v>
      </c>
      <c r="E3761" t="s">
        <v>86</v>
      </c>
      <c r="F3761" t="s">
        <v>58</v>
      </c>
      <c r="G3761" t="s">
        <v>59</v>
      </c>
      <c r="H3761" t="s">
        <v>60</v>
      </c>
      <c r="J3761" t="s">
        <v>289</v>
      </c>
      <c r="K3761" t="s">
        <v>184</v>
      </c>
      <c r="L3761" t="s">
        <v>62</v>
      </c>
      <c r="M3761" t="s">
        <v>63</v>
      </c>
      <c r="N3761" t="s">
        <v>64</v>
      </c>
      <c r="P3761" t="s">
        <v>201</v>
      </c>
      <c r="R3761">
        <v>2.7799999999999998E-2</v>
      </c>
      <c r="T3761">
        <v>2.2800000000000001E-2</v>
      </c>
      <c r="V3761">
        <v>3.39E-2</v>
      </c>
      <c r="W3761" t="s">
        <v>66</v>
      </c>
      <c r="X3761" t="s">
        <v>67</v>
      </c>
      <c r="Y3761" t="s">
        <v>67</v>
      </c>
      <c r="Z3761" t="s">
        <v>68</v>
      </c>
      <c r="AB3761">
        <v>4</v>
      </c>
      <c r="AC3761" t="s">
        <v>61</v>
      </c>
      <c r="AJ3761" t="s">
        <v>69</v>
      </c>
      <c r="AY3761" t="s">
        <v>2249</v>
      </c>
      <c r="AZ3761">
        <v>45189</v>
      </c>
      <c r="BA3761" t="s">
        <v>2250</v>
      </c>
      <c r="BB3761" t="s">
        <v>2251</v>
      </c>
      <c r="BC3761">
        <v>1996</v>
      </c>
      <c r="BD3761" t="s">
        <v>185</v>
      </c>
    </row>
    <row r="3762" spans="1:56" x14ac:dyDescent="0.35">
      <c r="A3762">
        <v>10124364</v>
      </c>
      <c r="B3762" t="s">
        <v>2504</v>
      </c>
      <c r="D3762" t="s">
        <v>57</v>
      </c>
      <c r="E3762" t="s">
        <v>86</v>
      </c>
      <c r="F3762" t="s">
        <v>58</v>
      </c>
      <c r="G3762" t="s">
        <v>59</v>
      </c>
      <c r="H3762" t="s">
        <v>60</v>
      </c>
      <c r="I3762" t="s">
        <v>2174</v>
      </c>
      <c r="J3762" t="s">
        <v>86</v>
      </c>
      <c r="L3762" t="s">
        <v>62</v>
      </c>
      <c r="M3762" t="s">
        <v>63</v>
      </c>
      <c r="N3762" t="s">
        <v>64</v>
      </c>
      <c r="P3762" t="s">
        <v>201</v>
      </c>
      <c r="R3762">
        <v>32</v>
      </c>
      <c r="W3762" t="s">
        <v>66</v>
      </c>
      <c r="X3762" t="s">
        <v>67</v>
      </c>
      <c r="Y3762" t="s">
        <v>67</v>
      </c>
      <c r="Z3762" t="s">
        <v>68</v>
      </c>
      <c r="AB3762">
        <v>4</v>
      </c>
      <c r="AC3762" t="s">
        <v>61</v>
      </c>
      <c r="AJ3762" t="s">
        <v>69</v>
      </c>
      <c r="AY3762" t="s">
        <v>2508</v>
      </c>
      <c r="AZ3762">
        <v>5231</v>
      </c>
      <c r="BA3762" t="s">
        <v>2509</v>
      </c>
      <c r="BB3762" t="s">
        <v>2510</v>
      </c>
      <c r="BC3762">
        <v>1972</v>
      </c>
      <c r="BD3762" t="s">
        <v>90</v>
      </c>
    </row>
    <row r="3763" spans="1:56" x14ac:dyDescent="0.35">
      <c r="A3763">
        <v>10124364</v>
      </c>
      <c r="B3763" t="s">
        <v>2504</v>
      </c>
      <c r="D3763" t="s">
        <v>57</v>
      </c>
      <c r="E3763" t="s">
        <v>86</v>
      </c>
      <c r="F3763" t="s">
        <v>58</v>
      </c>
      <c r="G3763" t="s">
        <v>59</v>
      </c>
      <c r="H3763" t="s">
        <v>60</v>
      </c>
      <c r="I3763" t="s">
        <v>2174</v>
      </c>
      <c r="J3763" t="s">
        <v>86</v>
      </c>
      <c r="L3763" t="s">
        <v>62</v>
      </c>
      <c r="M3763" t="s">
        <v>63</v>
      </c>
      <c r="N3763" t="s">
        <v>64</v>
      </c>
      <c r="P3763" t="s">
        <v>201</v>
      </c>
      <c r="R3763">
        <v>30</v>
      </c>
      <c r="W3763" t="s">
        <v>66</v>
      </c>
      <c r="X3763" t="s">
        <v>67</v>
      </c>
      <c r="Y3763" t="s">
        <v>67</v>
      </c>
      <c r="Z3763" t="s">
        <v>68</v>
      </c>
      <c r="AB3763">
        <v>4</v>
      </c>
      <c r="AC3763" t="s">
        <v>61</v>
      </c>
      <c r="AJ3763" t="s">
        <v>69</v>
      </c>
      <c r="AY3763" t="s">
        <v>2508</v>
      </c>
      <c r="AZ3763">
        <v>5231</v>
      </c>
      <c r="BA3763" t="s">
        <v>2509</v>
      </c>
      <c r="BB3763" t="s">
        <v>2510</v>
      </c>
      <c r="BC3763">
        <v>1972</v>
      </c>
      <c r="BD3763" t="s">
        <v>90</v>
      </c>
    </row>
    <row r="3764" spans="1:56" x14ac:dyDescent="0.35">
      <c r="A3764">
        <v>10124364</v>
      </c>
      <c r="B3764" t="s">
        <v>2504</v>
      </c>
      <c r="D3764" t="s">
        <v>57</v>
      </c>
      <c r="E3764" t="s">
        <v>86</v>
      </c>
      <c r="F3764" t="s">
        <v>58</v>
      </c>
      <c r="G3764" t="s">
        <v>59</v>
      </c>
      <c r="H3764" t="s">
        <v>60</v>
      </c>
      <c r="J3764" t="s">
        <v>289</v>
      </c>
      <c r="K3764" t="s">
        <v>184</v>
      </c>
      <c r="L3764" t="s">
        <v>62</v>
      </c>
      <c r="M3764" t="s">
        <v>63</v>
      </c>
      <c r="N3764" t="s">
        <v>64</v>
      </c>
      <c r="P3764" t="s">
        <v>201</v>
      </c>
      <c r="R3764">
        <v>2.3900000000000001E-2</v>
      </c>
      <c r="T3764">
        <v>1.5900000000000001E-2</v>
      </c>
      <c r="V3764">
        <v>3.5799999999999998E-2</v>
      </c>
      <c r="W3764" t="s">
        <v>66</v>
      </c>
      <c r="X3764" t="s">
        <v>67</v>
      </c>
      <c r="Y3764" t="s">
        <v>67</v>
      </c>
      <c r="Z3764" t="s">
        <v>68</v>
      </c>
      <c r="AB3764">
        <v>4</v>
      </c>
      <c r="AC3764" t="s">
        <v>61</v>
      </c>
      <c r="AJ3764" t="s">
        <v>69</v>
      </c>
      <c r="AY3764" t="s">
        <v>2249</v>
      </c>
      <c r="AZ3764">
        <v>45189</v>
      </c>
      <c r="BA3764" t="s">
        <v>2250</v>
      </c>
      <c r="BB3764" t="s">
        <v>2251</v>
      </c>
      <c r="BC3764">
        <v>1996</v>
      </c>
      <c r="BD3764" t="s">
        <v>185</v>
      </c>
    </row>
    <row r="3765" spans="1:56" x14ac:dyDescent="0.35">
      <c r="A3765">
        <v>10124364</v>
      </c>
      <c r="B3765" t="s">
        <v>2504</v>
      </c>
      <c r="D3765" t="s">
        <v>57</v>
      </c>
      <c r="E3765" t="s">
        <v>86</v>
      </c>
      <c r="F3765" t="s">
        <v>58</v>
      </c>
      <c r="G3765" t="s">
        <v>59</v>
      </c>
      <c r="H3765" t="s">
        <v>60</v>
      </c>
      <c r="I3765" t="s">
        <v>1469</v>
      </c>
      <c r="J3765" t="s">
        <v>289</v>
      </c>
      <c r="K3765" t="s">
        <v>184</v>
      </c>
      <c r="L3765" t="s">
        <v>62</v>
      </c>
      <c r="M3765" t="s">
        <v>63</v>
      </c>
      <c r="N3765" t="s">
        <v>64</v>
      </c>
      <c r="P3765" t="s">
        <v>201</v>
      </c>
      <c r="R3765">
        <v>0.24299999999999999</v>
      </c>
      <c r="W3765" t="s">
        <v>66</v>
      </c>
      <c r="X3765" t="s">
        <v>67</v>
      </c>
      <c r="Y3765" t="s">
        <v>67</v>
      </c>
      <c r="Z3765" t="s">
        <v>68</v>
      </c>
      <c r="AB3765">
        <v>4</v>
      </c>
      <c r="AC3765" t="s">
        <v>61</v>
      </c>
      <c r="AJ3765" t="s">
        <v>69</v>
      </c>
      <c r="AY3765" t="s">
        <v>1474</v>
      </c>
      <c r="AZ3765">
        <v>9180</v>
      </c>
      <c r="BA3765" t="s">
        <v>1475</v>
      </c>
      <c r="BB3765" t="s">
        <v>1476</v>
      </c>
      <c r="BC3765">
        <v>1992</v>
      </c>
      <c r="BD3765" t="s">
        <v>185</v>
      </c>
    </row>
    <row r="3766" spans="1:56" x14ac:dyDescent="0.35">
      <c r="A3766">
        <v>10124364</v>
      </c>
      <c r="B3766" t="s">
        <v>2504</v>
      </c>
      <c r="D3766" t="s">
        <v>57</v>
      </c>
      <c r="E3766" t="s">
        <v>86</v>
      </c>
      <c r="F3766" t="s">
        <v>58</v>
      </c>
      <c r="G3766" t="s">
        <v>59</v>
      </c>
      <c r="H3766" t="s">
        <v>60</v>
      </c>
      <c r="I3766" t="s">
        <v>188</v>
      </c>
      <c r="J3766" t="s">
        <v>86</v>
      </c>
      <c r="K3766" t="s">
        <v>184</v>
      </c>
      <c r="L3766" t="s">
        <v>74</v>
      </c>
      <c r="M3766" t="s">
        <v>63</v>
      </c>
      <c r="N3766" t="s">
        <v>64</v>
      </c>
      <c r="P3766" t="s">
        <v>201</v>
      </c>
      <c r="S3766" t="s">
        <v>153</v>
      </c>
      <c r="T3766">
        <v>2E-3</v>
      </c>
      <c r="U3766" t="s">
        <v>435</v>
      </c>
      <c r="V3766">
        <v>4.0000000000000001E-3</v>
      </c>
      <c r="W3766" t="s">
        <v>66</v>
      </c>
      <c r="X3766" t="s">
        <v>67</v>
      </c>
      <c r="Y3766" t="s">
        <v>67</v>
      </c>
      <c r="Z3766" t="s">
        <v>68</v>
      </c>
      <c r="AB3766">
        <v>4</v>
      </c>
      <c r="AC3766" t="s">
        <v>61</v>
      </c>
      <c r="AJ3766" t="s">
        <v>69</v>
      </c>
      <c r="AY3766" t="s">
        <v>2249</v>
      </c>
      <c r="AZ3766">
        <v>45189</v>
      </c>
      <c r="BA3766" t="s">
        <v>2250</v>
      </c>
      <c r="BB3766" t="s">
        <v>2251</v>
      </c>
      <c r="BC3766">
        <v>1996</v>
      </c>
      <c r="BD3766" t="s">
        <v>2252</v>
      </c>
    </row>
    <row r="3767" spans="1:56" x14ac:dyDescent="0.35">
      <c r="A3767">
        <v>10124364</v>
      </c>
      <c r="B3767" t="s">
        <v>2504</v>
      </c>
      <c r="C3767" t="s">
        <v>195</v>
      </c>
      <c r="D3767" t="s">
        <v>57</v>
      </c>
      <c r="E3767" t="s">
        <v>86</v>
      </c>
      <c r="F3767" t="s">
        <v>58</v>
      </c>
      <c r="G3767" t="s">
        <v>59</v>
      </c>
      <c r="H3767" t="s">
        <v>60</v>
      </c>
      <c r="I3767" t="s">
        <v>1469</v>
      </c>
      <c r="J3767" t="s">
        <v>289</v>
      </c>
      <c r="K3767" t="s">
        <v>184</v>
      </c>
      <c r="L3767" t="s">
        <v>62</v>
      </c>
      <c r="M3767" t="s">
        <v>63</v>
      </c>
      <c r="N3767" t="s">
        <v>64</v>
      </c>
      <c r="O3767" t="s">
        <v>1470</v>
      </c>
      <c r="P3767" t="s">
        <v>1296</v>
      </c>
      <c r="R3767">
        <v>7.1999999999999995E-2</v>
      </c>
      <c r="W3767" t="s">
        <v>66</v>
      </c>
      <c r="X3767" t="s">
        <v>67</v>
      </c>
      <c r="Y3767" t="s">
        <v>67</v>
      </c>
      <c r="Z3767" t="s">
        <v>68</v>
      </c>
      <c r="AB3767">
        <v>4</v>
      </c>
      <c r="AC3767" t="s">
        <v>61</v>
      </c>
      <c r="AJ3767" t="s">
        <v>69</v>
      </c>
      <c r="AY3767" t="s">
        <v>1471</v>
      </c>
      <c r="AZ3767">
        <v>76100</v>
      </c>
      <c r="BA3767" t="s">
        <v>1472</v>
      </c>
      <c r="BB3767" t="s">
        <v>1473</v>
      </c>
      <c r="BC3767">
        <v>1998</v>
      </c>
      <c r="BD3767" t="s">
        <v>185</v>
      </c>
    </row>
    <row r="3768" spans="1:56" x14ac:dyDescent="0.35">
      <c r="A3768">
        <v>10124364</v>
      </c>
      <c r="B3768" t="s">
        <v>2504</v>
      </c>
      <c r="D3768" t="s">
        <v>57</v>
      </c>
      <c r="E3768" t="s">
        <v>86</v>
      </c>
      <c r="F3768" t="s">
        <v>58</v>
      </c>
      <c r="G3768" t="s">
        <v>59</v>
      </c>
      <c r="H3768" t="s">
        <v>60</v>
      </c>
      <c r="J3768" t="s">
        <v>86</v>
      </c>
      <c r="L3768" t="s">
        <v>74</v>
      </c>
      <c r="M3768" t="s">
        <v>63</v>
      </c>
      <c r="N3768" t="s">
        <v>64</v>
      </c>
      <c r="P3768" t="s">
        <v>1296</v>
      </c>
      <c r="R3768">
        <v>4.5999999999999996</v>
      </c>
      <c r="W3768" t="s">
        <v>66</v>
      </c>
      <c r="X3768" t="s">
        <v>67</v>
      </c>
      <c r="Y3768" t="s">
        <v>67</v>
      </c>
      <c r="Z3768" t="s">
        <v>68</v>
      </c>
      <c r="AB3768">
        <v>4</v>
      </c>
      <c r="AC3768" t="s">
        <v>61</v>
      </c>
      <c r="AJ3768" t="s">
        <v>69</v>
      </c>
      <c r="AQ3768" t="s">
        <v>69</v>
      </c>
      <c r="AY3768" t="s">
        <v>2508</v>
      </c>
      <c r="AZ3768">
        <v>5231</v>
      </c>
      <c r="BA3768" t="s">
        <v>2509</v>
      </c>
      <c r="BB3768" t="s">
        <v>2510</v>
      </c>
      <c r="BC3768">
        <v>1972</v>
      </c>
      <c r="BD3768" t="s">
        <v>2511</v>
      </c>
    </row>
    <row r="3769" spans="1:56" x14ac:dyDescent="0.35">
      <c r="A3769">
        <v>10124364</v>
      </c>
      <c r="B3769" t="s">
        <v>2504</v>
      </c>
      <c r="D3769" t="s">
        <v>57</v>
      </c>
      <c r="E3769" t="s">
        <v>86</v>
      </c>
      <c r="F3769" t="s">
        <v>58</v>
      </c>
      <c r="G3769" t="s">
        <v>59</v>
      </c>
      <c r="H3769" t="s">
        <v>60</v>
      </c>
      <c r="I3769" t="s">
        <v>1469</v>
      </c>
      <c r="J3769" t="s">
        <v>289</v>
      </c>
      <c r="K3769" t="s">
        <v>184</v>
      </c>
      <c r="L3769" t="s">
        <v>62</v>
      </c>
      <c r="M3769" t="s">
        <v>63</v>
      </c>
      <c r="N3769" t="s">
        <v>64</v>
      </c>
      <c r="P3769" t="s">
        <v>1296</v>
      </c>
      <c r="R3769">
        <v>7.1999999999999995E-2</v>
      </c>
      <c r="W3769" t="s">
        <v>66</v>
      </c>
      <c r="X3769" t="s">
        <v>67</v>
      </c>
      <c r="Y3769" t="s">
        <v>67</v>
      </c>
      <c r="Z3769" t="s">
        <v>68</v>
      </c>
      <c r="AB3769">
        <v>4</v>
      </c>
      <c r="AC3769" t="s">
        <v>61</v>
      </c>
      <c r="AJ3769" t="s">
        <v>69</v>
      </c>
      <c r="AY3769" t="s">
        <v>1474</v>
      </c>
      <c r="AZ3769">
        <v>9180</v>
      </c>
      <c r="BA3769" t="s">
        <v>1475</v>
      </c>
      <c r="BB3769" t="s">
        <v>1476</v>
      </c>
      <c r="BC3769">
        <v>1992</v>
      </c>
      <c r="BD3769" t="s">
        <v>185</v>
      </c>
    </row>
    <row r="3770" spans="1:56" x14ac:dyDescent="0.35">
      <c r="A3770">
        <v>10124364</v>
      </c>
      <c r="B3770" t="s">
        <v>2504</v>
      </c>
      <c r="D3770" t="s">
        <v>57</v>
      </c>
      <c r="E3770" t="s">
        <v>86</v>
      </c>
      <c r="F3770" t="s">
        <v>58</v>
      </c>
      <c r="G3770" t="s">
        <v>59</v>
      </c>
      <c r="H3770" t="s">
        <v>60</v>
      </c>
      <c r="J3770" t="s">
        <v>86</v>
      </c>
      <c r="L3770" t="s">
        <v>74</v>
      </c>
      <c r="M3770" t="s">
        <v>63</v>
      </c>
      <c r="N3770" t="s">
        <v>64</v>
      </c>
      <c r="P3770" t="s">
        <v>201</v>
      </c>
      <c r="R3770">
        <v>12</v>
      </c>
      <c r="W3770" t="s">
        <v>66</v>
      </c>
      <c r="X3770" t="s">
        <v>67</v>
      </c>
      <c r="Y3770" t="s">
        <v>67</v>
      </c>
      <c r="Z3770" t="s">
        <v>68</v>
      </c>
      <c r="AB3770">
        <v>4</v>
      </c>
      <c r="AC3770" t="s">
        <v>61</v>
      </c>
      <c r="AJ3770" t="s">
        <v>69</v>
      </c>
      <c r="AY3770" t="s">
        <v>2508</v>
      </c>
      <c r="AZ3770">
        <v>5231</v>
      </c>
      <c r="BA3770" t="s">
        <v>2509</v>
      </c>
      <c r="BB3770" t="s">
        <v>2510</v>
      </c>
      <c r="BC3770">
        <v>1972</v>
      </c>
      <c r="BD3770" t="s">
        <v>90</v>
      </c>
    </row>
    <row r="3771" spans="1:56" x14ac:dyDescent="0.35">
      <c r="A3771">
        <v>10124364</v>
      </c>
      <c r="B3771" t="s">
        <v>2504</v>
      </c>
      <c r="C3771" t="s">
        <v>195</v>
      </c>
      <c r="D3771" t="s">
        <v>57</v>
      </c>
      <c r="E3771" t="s">
        <v>86</v>
      </c>
      <c r="F3771" t="s">
        <v>58</v>
      </c>
      <c r="G3771" t="s">
        <v>59</v>
      </c>
      <c r="H3771" t="s">
        <v>60</v>
      </c>
      <c r="I3771" t="s">
        <v>1469</v>
      </c>
      <c r="J3771" t="s">
        <v>289</v>
      </c>
      <c r="K3771" t="s">
        <v>184</v>
      </c>
      <c r="L3771" t="s">
        <v>62</v>
      </c>
      <c r="M3771" t="s">
        <v>63</v>
      </c>
      <c r="N3771" t="s">
        <v>64</v>
      </c>
      <c r="O3771" t="s">
        <v>1470</v>
      </c>
      <c r="P3771" t="s">
        <v>201</v>
      </c>
      <c r="R3771">
        <v>0.27200000000000002</v>
      </c>
      <c r="W3771" t="s">
        <v>66</v>
      </c>
      <c r="X3771" t="s">
        <v>67</v>
      </c>
      <c r="Y3771" t="s">
        <v>67</v>
      </c>
      <c r="Z3771" t="s">
        <v>68</v>
      </c>
      <c r="AB3771">
        <v>4</v>
      </c>
      <c r="AC3771" t="s">
        <v>61</v>
      </c>
      <c r="AJ3771" t="s">
        <v>69</v>
      </c>
      <c r="AY3771" t="s">
        <v>1471</v>
      </c>
      <c r="AZ3771">
        <v>76100</v>
      </c>
      <c r="BA3771" t="s">
        <v>1472</v>
      </c>
      <c r="BB3771" t="s">
        <v>1473</v>
      </c>
      <c r="BC3771">
        <v>1998</v>
      </c>
      <c r="BD3771" t="s">
        <v>185</v>
      </c>
    </row>
    <row r="3772" spans="1:56" x14ac:dyDescent="0.35">
      <c r="A3772">
        <v>10124364</v>
      </c>
      <c r="B3772" t="s">
        <v>2504</v>
      </c>
      <c r="D3772" t="s">
        <v>57</v>
      </c>
      <c r="E3772" t="s">
        <v>86</v>
      </c>
      <c r="F3772" t="s">
        <v>58</v>
      </c>
      <c r="G3772" t="s">
        <v>59</v>
      </c>
      <c r="H3772" t="s">
        <v>60</v>
      </c>
      <c r="J3772" t="s">
        <v>86</v>
      </c>
      <c r="L3772" t="s">
        <v>74</v>
      </c>
      <c r="M3772" t="s">
        <v>63</v>
      </c>
      <c r="N3772" t="s">
        <v>64</v>
      </c>
      <c r="P3772" t="s">
        <v>1296</v>
      </c>
      <c r="R3772">
        <v>2.8</v>
      </c>
      <c r="W3772" t="s">
        <v>66</v>
      </c>
      <c r="X3772" t="s">
        <v>67</v>
      </c>
      <c r="Y3772" t="s">
        <v>67</v>
      </c>
      <c r="Z3772" t="s">
        <v>68</v>
      </c>
      <c r="AB3772">
        <v>4</v>
      </c>
      <c r="AC3772" t="s">
        <v>61</v>
      </c>
      <c r="AJ3772" t="s">
        <v>69</v>
      </c>
      <c r="AQ3772" t="s">
        <v>69</v>
      </c>
      <c r="AY3772" t="s">
        <v>2508</v>
      </c>
      <c r="AZ3772">
        <v>5231</v>
      </c>
      <c r="BA3772" t="s">
        <v>2509</v>
      </c>
      <c r="BB3772" t="s">
        <v>2510</v>
      </c>
      <c r="BC3772">
        <v>1972</v>
      </c>
      <c r="BD3772" t="s">
        <v>2226</v>
      </c>
    </row>
    <row r="3773" spans="1:56" x14ac:dyDescent="0.35">
      <c r="A3773">
        <v>10124364</v>
      </c>
      <c r="B3773" t="s">
        <v>2504</v>
      </c>
      <c r="D3773" t="s">
        <v>57</v>
      </c>
      <c r="E3773" t="s">
        <v>86</v>
      </c>
      <c r="F3773" t="s">
        <v>58</v>
      </c>
      <c r="G3773" t="s">
        <v>59</v>
      </c>
      <c r="H3773" t="s">
        <v>60</v>
      </c>
      <c r="J3773" t="s">
        <v>86</v>
      </c>
      <c r="L3773" t="s">
        <v>74</v>
      </c>
      <c r="M3773" t="s">
        <v>63</v>
      </c>
      <c r="N3773" t="s">
        <v>64</v>
      </c>
      <c r="P3773" t="s">
        <v>1296</v>
      </c>
      <c r="R3773">
        <v>1.4</v>
      </c>
      <c r="W3773" t="s">
        <v>66</v>
      </c>
      <c r="X3773" t="s">
        <v>67</v>
      </c>
      <c r="Y3773" t="s">
        <v>67</v>
      </c>
      <c r="Z3773" t="s">
        <v>68</v>
      </c>
      <c r="AB3773">
        <v>4</v>
      </c>
      <c r="AC3773" t="s">
        <v>61</v>
      </c>
      <c r="AJ3773" t="s">
        <v>69</v>
      </c>
      <c r="AQ3773" t="s">
        <v>69</v>
      </c>
      <c r="AY3773" t="s">
        <v>2508</v>
      </c>
      <c r="AZ3773">
        <v>5231</v>
      </c>
      <c r="BA3773" t="s">
        <v>2509</v>
      </c>
      <c r="BB3773" t="s">
        <v>2510</v>
      </c>
      <c r="BC3773">
        <v>1972</v>
      </c>
      <c r="BD3773" t="s">
        <v>2035</v>
      </c>
    </row>
    <row r="3774" spans="1:56" x14ac:dyDescent="0.35">
      <c r="A3774">
        <v>10124364</v>
      </c>
      <c r="B3774" t="s">
        <v>2504</v>
      </c>
      <c r="D3774" t="s">
        <v>57</v>
      </c>
      <c r="E3774" t="s">
        <v>86</v>
      </c>
      <c r="F3774" t="s">
        <v>58</v>
      </c>
      <c r="G3774" t="s">
        <v>59</v>
      </c>
      <c r="H3774" t="s">
        <v>60</v>
      </c>
      <c r="J3774" t="s">
        <v>289</v>
      </c>
      <c r="K3774" t="s">
        <v>184</v>
      </c>
      <c r="L3774" t="s">
        <v>62</v>
      </c>
      <c r="M3774" t="s">
        <v>63</v>
      </c>
      <c r="N3774" t="s">
        <v>64</v>
      </c>
      <c r="P3774" t="s">
        <v>201</v>
      </c>
      <c r="R3774">
        <v>1.8800000000000001E-2</v>
      </c>
      <c r="T3774">
        <v>1.5800000000000002E-2</v>
      </c>
      <c r="V3774">
        <v>2.24E-2</v>
      </c>
      <c r="W3774" t="s">
        <v>66</v>
      </c>
      <c r="X3774" t="s">
        <v>67</v>
      </c>
      <c r="Y3774" t="s">
        <v>67</v>
      </c>
      <c r="Z3774" t="s">
        <v>68</v>
      </c>
      <c r="AB3774">
        <v>4</v>
      </c>
      <c r="AC3774" t="s">
        <v>61</v>
      </c>
      <c r="AJ3774" t="s">
        <v>69</v>
      </c>
      <c r="AY3774" t="s">
        <v>2249</v>
      </c>
      <c r="AZ3774">
        <v>45189</v>
      </c>
      <c r="BA3774" t="s">
        <v>2250</v>
      </c>
      <c r="BB3774" t="s">
        <v>2251</v>
      </c>
      <c r="BC3774">
        <v>1996</v>
      </c>
      <c r="BD3774" t="s">
        <v>185</v>
      </c>
    </row>
    <row r="3775" spans="1:56" x14ac:dyDescent="0.35">
      <c r="A3775">
        <v>10124364</v>
      </c>
      <c r="B3775" t="s">
        <v>2504</v>
      </c>
      <c r="D3775" t="s">
        <v>57</v>
      </c>
      <c r="E3775" t="s">
        <v>86</v>
      </c>
      <c r="F3775" t="s">
        <v>58</v>
      </c>
      <c r="G3775" t="s">
        <v>59</v>
      </c>
      <c r="H3775" t="s">
        <v>60</v>
      </c>
      <c r="I3775" t="s">
        <v>1469</v>
      </c>
      <c r="J3775" t="s">
        <v>289</v>
      </c>
      <c r="K3775" t="s">
        <v>184</v>
      </c>
      <c r="L3775" t="s">
        <v>62</v>
      </c>
      <c r="M3775" t="s">
        <v>63</v>
      </c>
      <c r="N3775" t="s">
        <v>64</v>
      </c>
      <c r="P3775" t="s">
        <v>201</v>
      </c>
      <c r="R3775">
        <v>0.27200000000000002</v>
      </c>
      <c r="W3775" t="s">
        <v>66</v>
      </c>
      <c r="X3775" t="s">
        <v>67</v>
      </c>
      <c r="Y3775" t="s">
        <v>67</v>
      </c>
      <c r="Z3775" t="s">
        <v>68</v>
      </c>
      <c r="AB3775">
        <v>4</v>
      </c>
      <c r="AC3775" t="s">
        <v>61</v>
      </c>
      <c r="AJ3775" t="s">
        <v>69</v>
      </c>
      <c r="AY3775" t="s">
        <v>1474</v>
      </c>
      <c r="AZ3775">
        <v>9180</v>
      </c>
      <c r="BA3775" t="s">
        <v>1475</v>
      </c>
      <c r="BB3775" t="s">
        <v>1476</v>
      </c>
      <c r="BC3775">
        <v>1992</v>
      </c>
      <c r="BD3775" t="s">
        <v>185</v>
      </c>
    </row>
    <row r="3776" spans="1:56" x14ac:dyDescent="0.35">
      <c r="A3776">
        <v>10124364</v>
      </c>
      <c r="B3776" t="s">
        <v>2504</v>
      </c>
      <c r="D3776" t="s">
        <v>57</v>
      </c>
      <c r="E3776" t="s">
        <v>86</v>
      </c>
      <c r="F3776" t="s">
        <v>58</v>
      </c>
      <c r="G3776" t="s">
        <v>59</v>
      </c>
      <c r="H3776" t="s">
        <v>60</v>
      </c>
      <c r="I3776" t="s">
        <v>1469</v>
      </c>
      <c r="J3776" t="s">
        <v>289</v>
      </c>
      <c r="K3776" t="s">
        <v>184</v>
      </c>
      <c r="L3776" t="s">
        <v>62</v>
      </c>
      <c r="M3776" t="s">
        <v>63</v>
      </c>
      <c r="N3776" t="s">
        <v>64</v>
      </c>
      <c r="P3776" t="s">
        <v>1296</v>
      </c>
      <c r="R3776">
        <v>0.29799999999999999</v>
      </c>
      <c r="W3776" t="s">
        <v>66</v>
      </c>
      <c r="X3776" t="s">
        <v>67</v>
      </c>
      <c r="Y3776" t="s">
        <v>67</v>
      </c>
      <c r="Z3776" t="s">
        <v>68</v>
      </c>
      <c r="AB3776">
        <v>4</v>
      </c>
      <c r="AC3776" t="s">
        <v>61</v>
      </c>
      <c r="AJ3776" t="s">
        <v>69</v>
      </c>
      <c r="AY3776" t="s">
        <v>1474</v>
      </c>
      <c r="AZ3776">
        <v>9180</v>
      </c>
      <c r="BA3776" t="s">
        <v>1475</v>
      </c>
      <c r="BB3776" t="s">
        <v>1476</v>
      </c>
      <c r="BC3776">
        <v>1992</v>
      </c>
      <c r="BD3776" t="s">
        <v>185</v>
      </c>
    </row>
    <row r="3777" spans="1:56" x14ac:dyDescent="0.35">
      <c r="A3777">
        <v>10124364</v>
      </c>
      <c r="B3777" t="s">
        <v>2504</v>
      </c>
      <c r="D3777" t="s">
        <v>57</v>
      </c>
      <c r="E3777" t="s">
        <v>86</v>
      </c>
      <c r="F3777" t="s">
        <v>58</v>
      </c>
      <c r="G3777" t="s">
        <v>59</v>
      </c>
      <c r="H3777" t="s">
        <v>60</v>
      </c>
      <c r="I3777" t="s">
        <v>188</v>
      </c>
      <c r="J3777" t="s">
        <v>86</v>
      </c>
      <c r="K3777" t="s">
        <v>184</v>
      </c>
      <c r="L3777" t="s">
        <v>74</v>
      </c>
      <c r="M3777" t="s">
        <v>63</v>
      </c>
      <c r="N3777" t="s">
        <v>64</v>
      </c>
      <c r="P3777" t="s">
        <v>201</v>
      </c>
      <c r="S3777" t="s">
        <v>153</v>
      </c>
      <c r="T3777">
        <v>2E-3</v>
      </c>
      <c r="U3777" t="s">
        <v>435</v>
      </c>
      <c r="V3777">
        <v>3.0000000000000001E-3</v>
      </c>
      <c r="W3777" t="s">
        <v>66</v>
      </c>
      <c r="X3777" t="s">
        <v>67</v>
      </c>
      <c r="Y3777" t="s">
        <v>67</v>
      </c>
      <c r="Z3777" t="s">
        <v>68</v>
      </c>
      <c r="AB3777">
        <v>4</v>
      </c>
      <c r="AC3777" t="s">
        <v>61</v>
      </c>
      <c r="AJ3777" t="s">
        <v>69</v>
      </c>
      <c r="AY3777" t="s">
        <v>2249</v>
      </c>
      <c r="AZ3777">
        <v>45189</v>
      </c>
      <c r="BA3777" t="s">
        <v>2250</v>
      </c>
      <c r="BB3777" t="s">
        <v>2251</v>
      </c>
      <c r="BC3777">
        <v>1996</v>
      </c>
      <c r="BD3777" t="s">
        <v>2252</v>
      </c>
    </row>
    <row r="3778" spans="1:56" x14ac:dyDescent="0.35">
      <c r="A3778">
        <v>10124433</v>
      </c>
      <c r="B3778" t="s">
        <v>2512</v>
      </c>
      <c r="C3778" t="s">
        <v>195</v>
      </c>
      <c r="D3778" t="s">
        <v>85</v>
      </c>
      <c r="E3778" t="s">
        <v>86</v>
      </c>
      <c r="F3778" t="s">
        <v>58</v>
      </c>
      <c r="G3778" t="s">
        <v>59</v>
      </c>
      <c r="H3778" t="s">
        <v>60</v>
      </c>
      <c r="I3778" t="s">
        <v>129</v>
      </c>
      <c r="J3778">
        <v>8</v>
      </c>
      <c r="K3778" t="s">
        <v>196</v>
      </c>
      <c r="L3778" t="s">
        <v>74</v>
      </c>
      <c r="M3778" t="s">
        <v>63</v>
      </c>
      <c r="N3778" t="s">
        <v>64</v>
      </c>
      <c r="P3778" t="s">
        <v>201</v>
      </c>
      <c r="R3778">
        <v>3.46</v>
      </c>
      <c r="T3778">
        <v>2.67</v>
      </c>
      <c r="V3778">
        <v>4.57</v>
      </c>
      <c r="W3778" t="s">
        <v>66</v>
      </c>
      <c r="X3778" t="s">
        <v>67</v>
      </c>
      <c r="Y3778" t="s">
        <v>67</v>
      </c>
      <c r="Z3778" t="s">
        <v>68</v>
      </c>
      <c r="AB3778">
        <v>4</v>
      </c>
      <c r="AC3778" t="s">
        <v>61</v>
      </c>
      <c r="AJ3778" t="s">
        <v>69</v>
      </c>
      <c r="AY3778" t="s">
        <v>197</v>
      </c>
      <c r="AZ3778">
        <v>3783</v>
      </c>
      <c r="BA3778" t="s">
        <v>198</v>
      </c>
      <c r="BB3778" t="s">
        <v>199</v>
      </c>
      <c r="BC3778">
        <v>1978</v>
      </c>
      <c r="BD3778" t="s">
        <v>200</v>
      </c>
    </row>
    <row r="3779" spans="1:56" x14ac:dyDescent="0.35">
      <c r="A3779">
        <v>10124433</v>
      </c>
      <c r="B3779" t="s">
        <v>2512</v>
      </c>
      <c r="C3779" t="s">
        <v>195</v>
      </c>
      <c r="D3779" t="s">
        <v>85</v>
      </c>
      <c r="E3779" t="s">
        <v>86</v>
      </c>
      <c r="F3779" t="s">
        <v>58</v>
      </c>
      <c r="G3779" t="s">
        <v>59</v>
      </c>
      <c r="H3779" t="s">
        <v>60</v>
      </c>
      <c r="I3779" t="s">
        <v>129</v>
      </c>
      <c r="J3779">
        <v>8</v>
      </c>
      <c r="K3779" t="s">
        <v>196</v>
      </c>
      <c r="L3779" t="s">
        <v>74</v>
      </c>
      <c r="M3779" t="s">
        <v>63</v>
      </c>
      <c r="N3779" t="s">
        <v>64</v>
      </c>
      <c r="P3779" t="s">
        <v>201</v>
      </c>
      <c r="R3779">
        <v>3.75</v>
      </c>
      <c r="W3779" t="s">
        <v>66</v>
      </c>
      <c r="X3779" t="s">
        <v>67</v>
      </c>
      <c r="Y3779" t="s">
        <v>67</v>
      </c>
      <c r="Z3779" t="s">
        <v>68</v>
      </c>
      <c r="AB3779">
        <v>4</v>
      </c>
      <c r="AC3779" t="s">
        <v>61</v>
      </c>
      <c r="AJ3779" t="s">
        <v>69</v>
      </c>
      <c r="AY3779" t="s">
        <v>197</v>
      </c>
      <c r="AZ3779">
        <v>3783</v>
      </c>
      <c r="BA3779" t="s">
        <v>198</v>
      </c>
      <c r="BB3779" t="s">
        <v>199</v>
      </c>
      <c r="BC3779">
        <v>1978</v>
      </c>
      <c r="BD3779" t="s">
        <v>200</v>
      </c>
    </row>
    <row r="3780" spans="1:56" x14ac:dyDescent="0.35">
      <c r="A3780">
        <v>10141001</v>
      </c>
      <c r="B3780" t="s">
        <v>2513</v>
      </c>
      <c r="D3780" t="s">
        <v>85</v>
      </c>
      <c r="E3780" t="s">
        <v>86</v>
      </c>
      <c r="F3780" t="s">
        <v>58</v>
      </c>
      <c r="G3780" t="s">
        <v>59</v>
      </c>
      <c r="H3780" t="s">
        <v>60</v>
      </c>
      <c r="J3780" t="s">
        <v>86</v>
      </c>
      <c r="L3780" t="s">
        <v>62</v>
      </c>
      <c r="M3780" t="s">
        <v>63</v>
      </c>
      <c r="N3780" t="s">
        <v>64</v>
      </c>
      <c r="P3780" t="s">
        <v>201</v>
      </c>
      <c r="R3780">
        <v>5.07</v>
      </c>
      <c r="T3780">
        <v>4.37</v>
      </c>
      <c r="V3780">
        <v>5.71</v>
      </c>
      <c r="W3780" t="s">
        <v>66</v>
      </c>
      <c r="X3780" t="s">
        <v>67</v>
      </c>
      <c r="Y3780" t="s">
        <v>67</v>
      </c>
      <c r="Z3780" t="s">
        <v>68</v>
      </c>
      <c r="AB3780">
        <v>4</v>
      </c>
      <c r="AC3780" t="s">
        <v>61</v>
      </c>
      <c r="AJ3780" t="s">
        <v>69</v>
      </c>
      <c r="AY3780" t="s">
        <v>168</v>
      </c>
      <c r="AZ3780">
        <v>2033</v>
      </c>
      <c r="BA3780" t="s">
        <v>1385</v>
      </c>
      <c r="BB3780" t="s">
        <v>1386</v>
      </c>
      <c r="BC3780">
        <v>1966</v>
      </c>
      <c r="BD3780" t="s">
        <v>90</v>
      </c>
    </row>
    <row r="3781" spans="1:56" x14ac:dyDescent="0.35">
      <c r="A3781">
        <v>10141001</v>
      </c>
      <c r="B3781" t="s">
        <v>2513</v>
      </c>
      <c r="D3781" t="s">
        <v>85</v>
      </c>
      <c r="E3781" t="s">
        <v>86</v>
      </c>
      <c r="F3781" t="s">
        <v>58</v>
      </c>
      <c r="G3781" t="s">
        <v>59</v>
      </c>
      <c r="H3781" t="s">
        <v>60</v>
      </c>
      <c r="J3781" t="s">
        <v>86</v>
      </c>
      <c r="L3781" t="s">
        <v>62</v>
      </c>
      <c r="M3781" t="s">
        <v>63</v>
      </c>
      <c r="N3781" t="s">
        <v>64</v>
      </c>
      <c r="P3781" t="s">
        <v>201</v>
      </c>
      <c r="R3781">
        <v>67.400000000000006</v>
      </c>
      <c r="T3781">
        <v>59.5</v>
      </c>
      <c r="V3781">
        <v>78.599999999999994</v>
      </c>
      <c r="W3781" t="s">
        <v>66</v>
      </c>
      <c r="X3781" t="s">
        <v>67</v>
      </c>
      <c r="Y3781" t="s">
        <v>67</v>
      </c>
      <c r="Z3781" t="s">
        <v>68</v>
      </c>
      <c r="AB3781">
        <v>4</v>
      </c>
      <c r="AC3781" t="s">
        <v>61</v>
      </c>
      <c r="AJ3781" t="s">
        <v>69</v>
      </c>
      <c r="AY3781" t="s">
        <v>168</v>
      </c>
      <c r="AZ3781">
        <v>2033</v>
      </c>
      <c r="BA3781" t="s">
        <v>1385</v>
      </c>
      <c r="BB3781" t="s">
        <v>1386</v>
      </c>
      <c r="BC3781">
        <v>1966</v>
      </c>
      <c r="BD3781" t="s">
        <v>90</v>
      </c>
    </row>
    <row r="3782" spans="1:56" x14ac:dyDescent="0.35">
      <c r="A3782">
        <v>10141001</v>
      </c>
      <c r="B3782" t="s">
        <v>2513</v>
      </c>
      <c r="D3782" t="s">
        <v>57</v>
      </c>
      <c r="E3782" t="s">
        <v>86</v>
      </c>
      <c r="F3782" t="s">
        <v>58</v>
      </c>
      <c r="G3782" t="s">
        <v>59</v>
      </c>
      <c r="H3782" t="s">
        <v>60</v>
      </c>
      <c r="J3782">
        <v>5</v>
      </c>
      <c r="K3782" t="s">
        <v>196</v>
      </c>
      <c r="L3782" t="s">
        <v>74</v>
      </c>
      <c r="M3782" t="s">
        <v>63</v>
      </c>
      <c r="N3782" t="s">
        <v>64</v>
      </c>
      <c r="P3782" t="s">
        <v>201</v>
      </c>
      <c r="R3782">
        <v>29</v>
      </c>
      <c r="W3782" t="s">
        <v>66</v>
      </c>
      <c r="X3782" t="s">
        <v>67</v>
      </c>
      <c r="Y3782" t="s">
        <v>67</v>
      </c>
      <c r="Z3782" t="s">
        <v>68</v>
      </c>
      <c r="AB3782">
        <v>4</v>
      </c>
      <c r="AC3782" t="s">
        <v>61</v>
      </c>
      <c r="AJ3782" t="s">
        <v>69</v>
      </c>
      <c r="AY3782" t="s">
        <v>2175</v>
      </c>
      <c r="AZ3782">
        <v>3677</v>
      </c>
      <c r="BA3782" t="s">
        <v>2514</v>
      </c>
      <c r="BB3782" t="s">
        <v>2515</v>
      </c>
      <c r="BC3782">
        <v>1980</v>
      </c>
      <c r="BD3782" t="s">
        <v>200</v>
      </c>
    </row>
    <row r="3783" spans="1:56" x14ac:dyDescent="0.35">
      <c r="A3783">
        <v>10141001</v>
      </c>
      <c r="B3783" t="s">
        <v>2513</v>
      </c>
      <c r="D3783" t="s">
        <v>57</v>
      </c>
      <c r="E3783" t="s">
        <v>86</v>
      </c>
      <c r="F3783" t="s">
        <v>58</v>
      </c>
      <c r="G3783" t="s">
        <v>59</v>
      </c>
      <c r="H3783" t="s">
        <v>60</v>
      </c>
      <c r="J3783">
        <v>5</v>
      </c>
      <c r="K3783" t="s">
        <v>196</v>
      </c>
      <c r="L3783" t="s">
        <v>74</v>
      </c>
      <c r="M3783" t="s">
        <v>63</v>
      </c>
      <c r="N3783" t="s">
        <v>64</v>
      </c>
      <c r="P3783" t="s">
        <v>201</v>
      </c>
      <c r="R3783">
        <v>27</v>
      </c>
      <c r="W3783" t="s">
        <v>66</v>
      </c>
      <c r="X3783" t="s">
        <v>67</v>
      </c>
      <c r="Y3783" t="s">
        <v>67</v>
      </c>
      <c r="Z3783" t="s">
        <v>68</v>
      </c>
      <c r="AB3783">
        <v>4</v>
      </c>
      <c r="AC3783" t="s">
        <v>61</v>
      </c>
      <c r="AJ3783" t="s">
        <v>69</v>
      </c>
      <c r="AY3783" t="s">
        <v>2175</v>
      </c>
      <c r="AZ3783">
        <v>3677</v>
      </c>
      <c r="BA3783" t="s">
        <v>2514</v>
      </c>
      <c r="BB3783" t="s">
        <v>2515</v>
      </c>
      <c r="BC3783">
        <v>1980</v>
      </c>
      <c r="BD3783" t="s">
        <v>200</v>
      </c>
    </row>
    <row r="3784" spans="1:56" x14ac:dyDescent="0.35">
      <c r="A3784">
        <v>10202923</v>
      </c>
      <c r="B3784" t="s">
        <v>2516</v>
      </c>
      <c r="D3784" t="s">
        <v>85</v>
      </c>
      <c r="E3784" t="s">
        <v>86</v>
      </c>
      <c r="F3784" t="s">
        <v>58</v>
      </c>
      <c r="G3784" t="s">
        <v>59</v>
      </c>
      <c r="H3784" t="s">
        <v>60</v>
      </c>
      <c r="I3784" t="s">
        <v>129</v>
      </c>
      <c r="J3784" t="s">
        <v>86</v>
      </c>
      <c r="L3784" t="s">
        <v>62</v>
      </c>
      <c r="M3784" t="s">
        <v>63</v>
      </c>
      <c r="N3784" t="s">
        <v>64</v>
      </c>
      <c r="P3784" t="s">
        <v>100</v>
      </c>
      <c r="R3784">
        <v>11.3</v>
      </c>
      <c r="W3784" t="s">
        <v>66</v>
      </c>
      <c r="X3784" t="s">
        <v>67</v>
      </c>
      <c r="Y3784" t="s">
        <v>67</v>
      </c>
      <c r="Z3784" t="s">
        <v>68</v>
      </c>
      <c r="AB3784">
        <v>4</v>
      </c>
      <c r="AC3784" t="s">
        <v>61</v>
      </c>
      <c r="AJ3784" t="s">
        <v>69</v>
      </c>
      <c r="AY3784" t="s">
        <v>722</v>
      </c>
      <c r="AZ3784">
        <v>5087</v>
      </c>
      <c r="BA3784" t="s">
        <v>723</v>
      </c>
      <c r="BB3784" t="s">
        <v>724</v>
      </c>
      <c r="BC3784">
        <v>1979</v>
      </c>
      <c r="BD3784" t="s">
        <v>90</v>
      </c>
    </row>
    <row r="3785" spans="1:56" x14ac:dyDescent="0.35">
      <c r="A3785">
        <v>10202923</v>
      </c>
      <c r="B3785" t="s">
        <v>2516</v>
      </c>
      <c r="D3785" t="s">
        <v>85</v>
      </c>
      <c r="E3785" t="s">
        <v>86</v>
      </c>
      <c r="F3785" t="s">
        <v>58</v>
      </c>
      <c r="G3785" t="s">
        <v>59</v>
      </c>
      <c r="H3785" t="s">
        <v>60</v>
      </c>
      <c r="I3785" t="s">
        <v>129</v>
      </c>
      <c r="J3785" t="s">
        <v>86</v>
      </c>
      <c r="L3785" t="s">
        <v>62</v>
      </c>
      <c r="M3785" t="s">
        <v>63</v>
      </c>
      <c r="N3785" t="s">
        <v>64</v>
      </c>
      <c r="P3785" t="s">
        <v>65</v>
      </c>
      <c r="R3785">
        <v>10.9</v>
      </c>
      <c r="T3785">
        <v>9.5</v>
      </c>
      <c r="V3785">
        <v>12.3</v>
      </c>
      <c r="W3785" t="s">
        <v>66</v>
      </c>
      <c r="X3785" t="s">
        <v>67</v>
      </c>
      <c r="Y3785" t="s">
        <v>67</v>
      </c>
      <c r="Z3785" t="s">
        <v>68</v>
      </c>
      <c r="AB3785">
        <v>4</v>
      </c>
      <c r="AC3785" t="s">
        <v>61</v>
      </c>
      <c r="AJ3785" t="s">
        <v>69</v>
      </c>
      <c r="AY3785" t="s">
        <v>718</v>
      </c>
      <c r="AZ3785">
        <v>10141</v>
      </c>
      <c r="BA3785" t="s">
        <v>719</v>
      </c>
      <c r="BB3785" t="s">
        <v>720</v>
      </c>
      <c r="BC3785">
        <v>1983</v>
      </c>
      <c r="BD3785" t="s">
        <v>721</v>
      </c>
    </row>
    <row r="3786" spans="1:56" x14ac:dyDescent="0.35">
      <c r="A3786">
        <v>10222012</v>
      </c>
      <c r="B3786" t="s">
        <v>2517</v>
      </c>
      <c r="D3786" t="s">
        <v>85</v>
      </c>
      <c r="E3786">
        <v>99.1</v>
      </c>
      <c r="F3786" t="s">
        <v>58</v>
      </c>
      <c r="G3786" t="s">
        <v>59</v>
      </c>
      <c r="H3786" t="s">
        <v>60</v>
      </c>
      <c r="J3786" t="s">
        <v>86</v>
      </c>
      <c r="L3786" t="s">
        <v>62</v>
      </c>
      <c r="M3786" t="s">
        <v>63</v>
      </c>
      <c r="N3786" t="s">
        <v>64</v>
      </c>
      <c r="P3786" t="s">
        <v>65</v>
      </c>
      <c r="R3786">
        <v>1.8</v>
      </c>
      <c r="T3786">
        <v>1.7</v>
      </c>
      <c r="V3786">
        <v>1.9</v>
      </c>
      <c r="W3786" t="s">
        <v>66</v>
      </c>
      <c r="X3786" t="s">
        <v>67</v>
      </c>
      <c r="Y3786" t="s">
        <v>67</v>
      </c>
      <c r="Z3786" t="s">
        <v>68</v>
      </c>
      <c r="AB3786">
        <v>4</v>
      </c>
      <c r="AC3786" t="s">
        <v>61</v>
      </c>
      <c r="AJ3786" t="s">
        <v>69</v>
      </c>
      <c r="AY3786" t="s">
        <v>1569</v>
      </c>
      <c r="AZ3786">
        <v>11439</v>
      </c>
      <c r="BA3786" t="s">
        <v>1570</v>
      </c>
      <c r="BB3786" t="s">
        <v>1571</v>
      </c>
      <c r="BC3786">
        <v>1985</v>
      </c>
      <c r="BD3786" t="s">
        <v>90</v>
      </c>
    </row>
    <row r="3787" spans="1:56" x14ac:dyDescent="0.35">
      <c r="A3787">
        <v>10222012</v>
      </c>
      <c r="B3787" t="s">
        <v>2517</v>
      </c>
      <c r="E3787">
        <v>94.4</v>
      </c>
      <c r="F3787" t="s">
        <v>58</v>
      </c>
      <c r="G3787" t="s">
        <v>59</v>
      </c>
      <c r="H3787" t="s">
        <v>60</v>
      </c>
      <c r="J3787" t="s">
        <v>86</v>
      </c>
      <c r="L3787" t="s">
        <v>62</v>
      </c>
      <c r="M3787" t="s">
        <v>63</v>
      </c>
      <c r="N3787" t="s">
        <v>64</v>
      </c>
      <c r="P3787" t="s">
        <v>65</v>
      </c>
      <c r="R3787">
        <v>1.8</v>
      </c>
      <c r="T3787">
        <v>1.7</v>
      </c>
      <c r="V3787">
        <v>1.9</v>
      </c>
      <c r="W3787" t="s">
        <v>66</v>
      </c>
      <c r="X3787" t="s">
        <v>67</v>
      </c>
      <c r="Y3787" t="s">
        <v>67</v>
      </c>
      <c r="Z3787" t="s">
        <v>68</v>
      </c>
      <c r="AB3787">
        <v>4</v>
      </c>
      <c r="AC3787" t="s">
        <v>61</v>
      </c>
      <c r="AJ3787" t="s">
        <v>69</v>
      </c>
      <c r="AY3787" t="s">
        <v>116</v>
      </c>
      <c r="AZ3787">
        <v>344</v>
      </c>
      <c r="BA3787" t="s">
        <v>117</v>
      </c>
      <c r="BB3787" t="s">
        <v>118</v>
      </c>
      <c r="BC3787">
        <v>1992</v>
      </c>
      <c r="BD3787" t="s">
        <v>90</v>
      </c>
    </row>
    <row r="3788" spans="1:56" x14ac:dyDescent="0.35">
      <c r="A3788">
        <v>10222012</v>
      </c>
      <c r="B3788" t="s">
        <v>2517</v>
      </c>
      <c r="E3788" t="s">
        <v>86</v>
      </c>
      <c r="F3788" t="s">
        <v>58</v>
      </c>
      <c r="G3788" t="s">
        <v>59</v>
      </c>
      <c r="H3788" t="s">
        <v>60</v>
      </c>
      <c r="J3788" t="s">
        <v>86</v>
      </c>
      <c r="L3788" t="s">
        <v>62</v>
      </c>
      <c r="M3788" t="s">
        <v>63</v>
      </c>
      <c r="N3788" t="s">
        <v>64</v>
      </c>
      <c r="P3788" t="s">
        <v>100</v>
      </c>
      <c r="R3788">
        <v>0.55000000000000004</v>
      </c>
      <c r="T3788">
        <v>0.49</v>
      </c>
      <c r="V3788">
        <v>0.62</v>
      </c>
      <c r="W3788" t="s">
        <v>66</v>
      </c>
      <c r="X3788" t="s">
        <v>67</v>
      </c>
      <c r="Y3788" t="s">
        <v>67</v>
      </c>
      <c r="Z3788" t="s">
        <v>68</v>
      </c>
      <c r="AB3788">
        <v>4</v>
      </c>
      <c r="AC3788" t="s">
        <v>61</v>
      </c>
      <c r="AJ3788" t="s">
        <v>69</v>
      </c>
      <c r="AY3788" t="s">
        <v>116</v>
      </c>
      <c r="AZ3788">
        <v>344</v>
      </c>
      <c r="BA3788" t="s">
        <v>117</v>
      </c>
      <c r="BB3788" t="s">
        <v>118</v>
      </c>
      <c r="BC3788">
        <v>1992</v>
      </c>
      <c r="BD3788" t="s">
        <v>90</v>
      </c>
    </row>
    <row r="3789" spans="1:56" x14ac:dyDescent="0.35">
      <c r="A3789">
        <v>10293068</v>
      </c>
      <c r="B3789" t="s">
        <v>2518</v>
      </c>
      <c r="D3789" t="s">
        <v>57</v>
      </c>
      <c r="E3789">
        <v>98</v>
      </c>
      <c r="F3789" t="s">
        <v>58</v>
      </c>
      <c r="G3789" t="s">
        <v>59</v>
      </c>
      <c r="H3789" t="s">
        <v>60</v>
      </c>
      <c r="J3789">
        <v>29</v>
      </c>
      <c r="K3789" t="s">
        <v>61</v>
      </c>
      <c r="L3789" t="s">
        <v>74</v>
      </c>
      <c r="M3789" t="s">
        <v>63</v>
      </c>
      <c r="N3789" t="s">
        <v>64</v>
      </c>
      <c r="P3789" t="s">
        <v>65</v>
      </c>
      <c r="R3789">
        <v>68.5</v>
      </c>
      <c r="W3789" t="s">
        <v>66</v>
      </c>
      <c r="X3789" t="s">
        <v>67</v>
      </c>
      <c r="Y3789" t="s">
        <v>67</v>
      </c>
      <c r="Z3789" t="s">
        <v>68</v>
      </c>
      <c r="AB3789">
        <v>4</v>
      </c>
      <c r="AC3789" t="s">
        <v>61</v>
      </c>
      <c r="AJ3789" t="s">
        <v>69</v>
      </c>
      <c r="AY3789" t="s">
        <v>80</v>
      </c>
      <c r="AZ3789">
        <v>12859</v>
      </c>
      <c r="BA3789" t="s">
        <v>81</v>
      </c>
      <c r="BB3789" t="s">
        <v>82</v>
      </c>
      <c r="BC3789">
        <v>1988</v>
      </c>
      <c r="BD3789" t="s">
        <v>73</v>
      </c>
    </row>
    <row r="3790" spans="1:56" x14ac:dyDescent="0.35">
      <c r="A3790">
        <v>10325947</v>
      </c>
      <c r="B3790" t="s">
        <v>2519</v>
      </c>
      <c r="D3790" t="s">
        <v>57</v>
      </c>
      <c r="E3790" t="s">
        <v>86</v>
      </c>
      <c r="F3790" t="s">
        <v>58</v>
      </c>
      <c r="G3790" t="s">
        <v>59</v>
      </c>
      <c r="H3790" t="s">
        <v>60</v>
      </c>
      <c r="J3790" t="s">
        <v>1102</v>
      </c>
      <c r="K3790" t="s">
        <v>184</v>
      </c>
      <c r="M3790" t="s">
        <v>63</v>
      </c>
      <c r="N3790" t="s">
        <v>64</v>
      </c>
      <c r="P3790" t="s">
        <v>201</v>
      </c>
      <c r="R3790">
        <v>6.5000000000000002E-2</v>
      </c>
      <c r="T3790">
        <v>4.4999999999999998E-2</v>
      </c>
      <c r="V3790">
        <v>9.5000000000000001E-2</v>
      </c>
      <c r="W3790" t="s">
        <v>66</v>
      </c>
      <c r="X3790" t="s">
        <v>67</v>
      </c>
      <c r="Y3790" t="s">
        <v>67</v>
      </c>
      <c r="Z3790" t="s">
        <v>68</v>
      </c>
      <c r="AB3790">
        <v>4</v>
      </c>
      <c r="AC3790" t="s">
        <v>61</v>
      </c>
      <c r="AJ3790" t="s">
        <v>69</v>
      </c>
      <c r="AY3790" t="s">
        <v>1851</v>
      </c>
      <c r="AZ3790">
        <v>7289</v>
      </c>
      <c r="BA3790" t="s">
        <v>1852</v>
      </c>
      <c r="BB3790" t="s">
        <v>1853</v>
      </c>
      <c r="BC3790">
        <v>1993</v>
      </c>
      <c r="BD3790" t="s">
        <v>185</v>
      </c>
    </row>
    <row r="3791" spans="1:56" x14ac:dyDescent="0.35">
      <c r="A3791">
        <v>10325947</v>
      </c>
      <c r="B3791" t="s">
        <v>2519</v>
      </c>
      <c r="C3791" t="s">
        <v>195</v>
      </c>
      <c r="D3791" t="s">
        <v>57</v>
      </c>
      <c r="E3791" t="s">
        <v>86</v>
      </c>
      <c r="F3791" t="s">
        <v>58</v>
      </c>
      <c r="G3791" t="s">
        <v>59</v>
      </c>
      <c r="H3791" t="s">
        <v>60</v>
      </c>
      <c r="J3791" t="s">
        <v>1854</v>
      </c>
      <c r="K3791" t="s">
        <v>61</v>
      </c>
      <c r="L3791" t="s">
        <v>74</v>
      </c>
      <c r="M3791" t="s">
        <v>63</v>
      </c>
      <c r="N3791" t="s">
        <v>64</v>
      </c>
      <c r="P3791" t="s">
        <v>1296</v>
      </c>
      <c r="R3791">
        <v>1.32E-2</v>
      </c>
      <c r="T3791">
        <v>1.09E-2</v>
      </c>
      <c r="V3791">
        <v>1.5900000000000001E-2</v>
      </c>
      <c r="W3791" t="s">
        <v>66</v>
      </c>
      <c r="X3791" t="s">
        <v>67</v>
      </c>
      <c r="Y3791" t="s">
        <v>67</v>
      </c>
      <c r="Z3791" t="s">
        <v>68</v>
      </c>
      <c r="AB3791">
        <v>4</v>
      </c>
      <c r="AC3791" t="s">
        <v>61</v>
      </c>
      <c r="AJ3791" t="s">
        <v>69</v>
      </c>
      <c r="AY3791" t="s">
        <v>1855</v>
      </c>
      <c r="AZ3791">
        <v>12093</v>
      </c>
      <c r="BA3791" t="s">
        <v>1856</v>
      </c>
      <c r="BB3791" t="s">
        <v>1857</v>
      </c>
      <c r="BC3791">
        <v>1986</v>
      </c>
      <c r="BD3791" t="s">
        <v>73</v>
      </c>
    </row>
    <row r="3792" spans="1:56" x14ac:dyDescent="0.35">
      <c r="A3792">
        <v>10325947</v>
      </c>
      <c r="B3792" t="s">
        <v>2519</v>
      </c>
      <c r="D3792" t="s">
        <v>57</v>
      </c>
      <c r="E3792" t="s">
        <v>86</v>
      </c>
      <c r="F3792" t="s">
        <v>58</v>
      </c>
      <c r="G3792" t="s">
        <v>59</v>
      </c>
      <c r="H3792" t="s">
        <v>60</v>
      </c>
      <c r="J3792" t="s">
        <v>1102</v>
      </c>
      <c r="K3792" t="s">
        <v>184</v>
      </c>
      <c r="M3792" t="s">
        <v>63</v>
      </c>
      <c r="N3792" t="s">
        <v>64</v>
      </c>
      <c r="P3792" t="s">
        <v>201</v>
      </c>
      <c r="R3792">
        <v>7.2999999999999995E-2</v>
      </c>
      <c r="T3792">
        <v>6.2E-2</v>
      </c>
      <c r="V3792">
        <v>8.5999999999999993E-2</v>
      </c>
      <c r="W3792" t="s">
        <v>66</v>
      </c>
      <c r="X3792" t="s">
        <v>67</v>
      </c>
      <c r="Y3792" t="s">
        <v>67</v>
      </c>
      <c r="Z3792" t="s">
        <v>68</v>
      </c>
      <c r="AB3792">
        <v>4</v>
      </c>
      <c r="AC3792" t="s">
        <v>61</v>
      </c>
      <c r="AJ3792" t="s">
        <v>69</v>
      </c>
      <c r="AY3792" t="s">
        <v>1851</v>
      </c>
      <c r="AZ3792">
        <v>7289</v>
      </c>
      <c r="BA3792" t="s">
        <v>1852</v>
      </c>
      <c r="BB3792" t="s">
        <v>1853</v>
      </c>
      <c r="BC3792">
        <v>1993</v>
      </c>
      <c r="BD3792" t="s">
        <v>185</v>
      </c>
    </row>
    <row r="3793" spans="1:56" x14ac:dyDescent="0.35">
      <c r="A3793">
        <v>10325947</v>
      </c>
      <c r="B3793" t="s">
        <v>2519</v>
      </c>
      <c r="D3793" t="s">
        <v>57</v>
      </c>
      <c r="E3793" t="s">
        <v>86</v>
      </c>
      <c r="F3793" t="s">
        <v>58</v>
      </c>
      <c r="G3793" t="s">
        <v>59</v>
      </c>
      <c r="H3793" t="s">
        <v>60</v>
      </c>
      <c r="J3793" t="s">
        <v>1102</v>
      </c>
      <c r="K3793" t="s">
        <v>184</v>
      </c>
      <c r="M3793" t="s">
        <v>63</v>
      </c>
      <c r="N3793" t="s">
        <v>64</v>
      </c>
      <c r="P3793" t="s">
        <v>201</v>
      </c>
      <c r="R3793">
        <v>0.06</v>
      </c>
      <c r="T3793">
        <v>5.2999999999999999E-2</v>
      </c>
      <c r="V3793">
        <v>6.8000000000000005E-2</v>
      </c>
      <c r="W3793" t="s">
        <v>66</v>
      </c>
      <c r="X3793" t="s">
        <v>67</v>
      </c>
      <c r="Y3793" t="s">
        <v>67</v>
      </c>
      <c r="Z3793" t="s">
        <v>68</v>
      </c>
      <c r="AB3793">
        <v>4</v>
      </c>
      <c r="AC3793" t="s">
        <v>61</v>
      </c>
      <c r="AJ3793" t="s">
        <v>69</v>
      </c>
      <c r="AY3793" t="s">
        <v>1851</v>
      </c>
      <c r="AZ3793">
        <v>7289</v>
      </c>
      <c r="BA3793" t="s">
        <v>1852</v>
      </c>
      <c r="BB3793" t="s">
        <v>1853</v>
      </c>
      <c r="BC3793">
        <v>1993</v>
      </c>
      <c r="BD3793" t="s">
        <v>185</v>
      </c>
    </row>
    <row r="3794" spans="1:56" x14ac:dyDescent="0.35">
      <c r="A3794">
        <v>10343610</v>
      </c>
      <c r="B3794" t="s">
        <v>2520</v>
      </c>
      <c r="D3794" t="s">
        <v>85</v>
      </c>
      <c r="E3794" t="s">
        <v>86</v>
      </c>
      <c r="F3794" t="s">
        <v>58</v>
      </c>
      <c r="G3794" t="s">
        <v>59</v>
      </c>
      <c r="H3794" t="s">
        <v>60</v>
      </c>
      <c r="J3794" t="s">
        <v>86</v>
      </c>
      <c r="L3794" t="s">
        <v>62</v>
      </c>
      <c r="M3794" t="s">
        <v>63</v>
      </c>
      <c r="N3794" t="s">
        <v>64</v>
      </c>
      <c r="P3794" t="s">
        <v>201</v>
      </c>
      <c r="R3794">
        <v>8.1999999999999993</v>
      </c>
      <c r="W3794" t="s">
        <v>66</v>
      </c>
      <c r="X3794" t="s">
        <v>67</v>
      </c>
      <c r="Y3794" t="s">
        <v>67</v>
      </c>
      <c r="Z3794" t="s">
        <v>68</v>
      </c>
      <c r="AB3794">
        <v>4</v>
      </c>
      <c r="AC3794" t="s">
        <v>61</v>
      </c>
      <c r="AJ3794" t="s">
        <v>69</v>
      </c>
      <c r="AY3794" t="s">
        <v>275</v>
      </c>
      <c r="AZ3794">
        <v>2042</v>
      </c>
      <c r="BA3794" t="s">
        <v>1490</v>
      </c>
      <c r="BB3794" t="s">
        <v>1491</v>
      </c>
      <c r="BC3794">
        <v>1960</v>
      </c>
      <c r="BD3794" t="s">
        <v>90</v>
      </c>
    </row>
    <row r="3795" spans="1:56" x14ac:dyDescent="0.35">
      <c r="A3795">
        <v>10343610</v>
      </c>
      <c r="B3795" t="s">
        <v>2520</v>
      </c>
      <c r="D3795" t="s">
        <v>85</v>
      </c>
      <c r="E3795" t="s">
        <v>86</v>
      </c>
      <c r="F3795" t="s">
        <v>58</v>
      </c>
      <c r="G3795" t="s">
        <v>59</v>
      </c>
      <c r="H3795" t="s">
        <v>60</v>
      </c>
      <c r="J3795" t="s">
        <v>86</v>
      </c>
      <c r="L3795" t="s">
        <v>62</v>
      </c>
      <c r="M3795" t="s">
        <v>63</v>
      </c>
      <c r="N3795" t="s">
        <v>64</v>
      </c>
      <c r="P3795" t="s">
        <v>201</v>
      </c>
      <c r="R3795">
        <v>120</v>
      </c>
      <c r="W3795" t="s">
        <v>66</v>
      </c>
      <c r="X3795" t="s">
        <v>67</v>
      </c>
      <c r="Y3795" t="s">
        <v>67</v>
      </c>
      <c r="Z3795" t="s">
        <v>68</v>
      </c>
      <c r="AB3795">
        <v>4</v>
      </c>
      <c r="AC3795" t="s">
        <v>61</v>
      </c>
      <c r="AJ3795" t="s">
        <v>69</v>
      </c>
      <c r="AY3795" t="s">
        <v>275</v>
      </c>
      <c r="AZ3795">
        <v>2042</v>
      </c>
      <c r="BA3795" t="s">
        <v>1490</v>
      </c>
      <c r="BB3795" t="s">
        <v>1491</v>
      </c>
      <c r="BC3795">
        <v>1960</v>
      </c>
      <c r="BD3795" t="s">
        <v>90</v>
      </c>
    </row>
    <row r="3796" spans="1:56" x14ac:dyDescent="0.35">
      <c r="A3796">
        <v>10453868</v>
      </c>
      <c r="B3796" t="s">
        <v>2521</v>
      </c>
      <c r="E3796">
        <v>84</v>
      </c>
      <c r="F3796" t="s">
        <v>58</v>
      </c>
      <c r="G3796" t="s">
        <v>59</v>
      </c>
      <c r="H3796" t="s">
        <v>60</v>
      </c>
      <c r="J3796" t="s">
        <v>86</v>
      </c>
      <c r="L3796" t="s">
        <v>74</v>
      </c>
      <c r="M3796" t="s">
        <v>63</v>
      </c>
      <c r="N3796" t="s">
        <v>64</v>
      </c>
      <c r="P3796" t="s">
        <v>65</v>
      </c>
      <c r="R3796">
        <v>2.7000000000000001E-3</v>
      </c>
      <c r="T3796">
        <v>2.0899999999999998E-3</v>
      </c>
      <c r="V3796">
        <v>3.48E-3</v>
      </c>
      <c r="W3796" t="s">
        <v>66</v>
      </c>
      <c r="X3796" t="s">
        <v>67</v>
      </c>
      <c r="Y3796" t="s">
        <v>67</v>
      </c>
      <c r="Z3796" t="s">
        <v>68</v>
      </c>
      <c r="AB3796">
        <v>4</v>
      </c>
      <c r="AC3796" t="s">
        <v>61</v>
      </c>
      <c r="AJ3796" t="s">
        <v>69</v>
      </c>
      <c r="AY3796" t="s">
        <v>96</v>
      </c>
      <c r="AZ3796">
        <v>6797</v>
      </c>
      <c r="BA3796" t="s">
        <v>97</v>
      </c>
      <c r="BB3796" t="s">
        <v>98</v>
      </c>
      <c r="BC3796">
        <v>1986</v>
      </c>
      <c r="BD3796" t="s">
        <v>90</v>
      </c>
    </row>
    <row r="3797" spans="1:56" x14ac:dyDescent="0.35">
      <c r="A3797">
        <v>10453868</v>
      </c>
      <c r="B3797" t="s">
        <v>2521</v>
      </c>
      <c r="E3797">
        <v>84</v>
      </c>
      <c r="F3797" t="s">
        <v>58</v>
      </c>
      <c r="G3797" t="s">
        <v>59</v>
      </c>
      <c r="H3797" t="s">
        <v>60</v>
      </c>
      <c r="J3797" t="s">
        <v>86</v>
      </c>
      <c r="L3797" t="s">
        <v>62</v>
      </c>
      <c r="M3797" t="s">
        <v>63</v>
      </c>
      <c r="N3797" t="s">
        <v>64</v>
      </c>
      <c r="P3797" t="s">
        <v>65</v>
      </c>
      <c r="R3797">
        <v>6.6E-3</v>
      </c>
      <c r="T3797">
        <v>5.2199999999999998E-3</v>
      </c>
      <c r="V3797">
        <v>8.3499999999999998E-3</v>
      </c>
      <c r="W3797" t="s">
        <v>66</v>
      </c>
      <c r="X3797" t="s">
        <v>67</v>
      </c>
      <c r="Y3797" t="s">
        <v>67</v>
      </c>
      <c r="Z3797" t="s">
        <v>68</v>
      </c>
      <c r="AB3797">
        <v>4</v>
      </c>
      <c r="AC3797" t="s">
        <v>61</v>
      </c>
      <c r="AJ3797" t="s">
        <v>69</v>
      </c>
      <c r="AY3797" t="s">
        <v>96</v>
      </c>
      <c r="AZ3797">
        <v>6797</v>
      </c>
      <c r="BA3797" t="s">
        <v>97</v>
      </c>
      <c r="BB3797" t="s">
        <v>98</v>
      </c>
      <c r="BC3797">
        <v>1986</v>
      </c>
      <c r="BD3797" t="s">
        <v>90</v>
      </c>
    </row>
    <row r="3798" spans="1:56" x14ac:dyDescent="0.35">
      <c r="A3798">
        <v>10453868</v>
      </c>
      <c r="B3798" t="s">
        <v>2521</v>
      </c>
      <c r="E3798">
        <v>84</v>
      </c>
      <c r="F3798" t="s">
        <v>58</v>
      </c>
      <c r="G3798" t="s">
        <v>59</v>
      </c>
      <c r="H3798" t="s">
        <v>60</v>
      </c>
      <c r="J3798" t="s">
        <v>86</v>
      </c>
      <c r="L3798" t="s">
        <v>62</v>
      </c>
      <c r="M3798" t="s">
        <v>63</v>
      </c>
      <c r="N3798" t="s">
        <v>64</v>
      </c>
      <c r="P3798" t="s">
        <v>65</v>
      </c>
      <c r="R3798">
        <v>2.96E-3</v>
      </c>
      <c r="T3798">
        <v>8.8999999999999995E-4</v>
      </c>
      <c r="V3798">
        <v>9.8899999999999995E-3</v>
      </c>
      <c r="W3798" t="s">
        <v>66</v>
      </c>
      <c r="X3798" t="s">
        <v>67</v>
      </c>
      <c r="Y3798" t="s">
        <v>67</v>
      </c>
      <c r="Z3798" t="s">
        <v>68</v>
      </c>
      <c r="AB3798">
        <v>4</v>
      </c>
      <c r="AC3798" t="s">
        <v>61</v>
      </c>
      <c r="AJ3798" t="s">
        <v>69</v>
      </c>
      <c r="AY3798" t="s">
        <v>96</v>
      </c>
      <c r="AZ3798">
        <v>6797</v>
      </c>
      <c r="BA3798" t="s">
        <v>97</v>
      </c>
      <c r="BB3798" t="s">
        <v>98</v>
      </c>
      <c r="BC3798">
        <v>1986</v>
      </c>
      <c r="BD3798" t="s">
        <v>90</v>
      </c>
    </row>
    <row r="3799" spans="1:56" x14ac:dyDescent="0.35">
      <c r="A3799">
        <v>10453868</v>
      </c>
      <c r="B3799" t="s">
        <v>2521</v>
      </c>
      <c r="D3799" t="s">
        <v>57</v>
      </c>
      <c r="E3799">
        <v>88.8</v>
      </c>
      <c r="F3799" t="s">
        <v>58</v>
      </c>
      <c r="G3799" t="s">
        <v>59</v>
      </c>
      <c r="H3799" t="s">
        <v>60</v>
      </c>
      <c r="J3799">
        <v>31</v>
      </c>
      <c r="K3799" t="s">
        <v>61</v>
      </c>
      <c r="L3799" t="s">
        <v>74</v>
      </c>
      <c r="M3799" t="s">
        <v>63</v>
      </c>
      <c r="N3799" t="s">
        <v>64</v>
      </c>
      <c r="P3799" t="s">
        <v>65</v>
      </c>
      <c r="R3799">
        <v>6.1599999999999997E-3</v>
      </c>
      <c r="T3799">
        <v>4.4999999999999997E-3</v>
      </c>
      <c r="V3799">
        <v>8.43E-3</v>
      </c>
      <c r="W3799" t="s">
        <v>66</v>
      </c>
      <c r="X3799" t="s">
        <v>67</v>
      </c>
      <c r="Y3799" t="s">
        <v>67</v>
      </c>
      <c r="Z3799" t="s">
        <v>68</v>
      </c>
      <c r="AB3799">
        <v>4</v>
      </c>
      <c r="AC3799" t="s">
        <v>61</v>
      </c>
      <c r="AJ3799" t="s">
        <v>69</v>
      </c>
      <c r="AY3799" t="s">
        <v>75</v>
      </c>
      <c r="AZ3799">
        <v>3217</v>
      </c>
      <c r="BA3799" t="s">
        <v>76</v>
      </c>
      <c r="BB3799" t="s">
        <v>77</v>
      </c>
      <c r="BC3799">
        <v>1990</v>
      </c>
      <c r="BD3799" t="s">
        <v>73</v>
      </c>
    </row>
    <row r="3800" spans="1:56" x14ac:dyDescent="0.35">
      <c r="A3800">
        <v>10588019</v>
      </c>
      <c r="B3800" t="s">
        <v>2522</v>
      </c>
      <c r="C3800" t="s">
        <v>195</v>
      </c>
      <c r="D3800" t="s">
        <v>57</v>
      </c>
      <c r="E3800" t="s">
        <v>86</v>
      </c>
      <c r="F3800" t="s">
        <v>58</v>
      </c>
      <c r="G3800" t="s">
        <v>59</v>
      </c>
      <c r="H3800" t="s">
        <v>60</v>
      </c>
      <c r="J3800" t="s">
        <v>1854</v>
      </c>
      <c r="K3800" t="s">
        <v>61</v>
      </c>
      <c r="L3800" t="s">
        <v>74</v>
      </c>
      <c r="M3800" t="s">
        <v>63</v>
      </c>
      <c r="N3800" t="s">
        <v>64</v>
      </c>
      <c r="P3800" t="s">
        <v>1296</v>
      </c>
      <c r="R3800">
        <v>43.3</v>
      </c>
      <c r="T3800">
        <v>36.6</v>
      </c>
      <c r="V3800">
        <v>51.3</v>
      </c>
      <c r="W3800" t="s">
        <v>66</v>
      </c>
      <c r="X3800" t="s">
        <v>67</v>
      </c>
      <c r="Y3800" t="s">
        <v>67</v>
      </c>
      <c r="Z3800" t="s">
        <v>68</v>
      </c>
      <c r="AB3800">
        <v>4</v>
      </c>
      <c r="AC3800" t="s">
        <v>61</v>
      </c>
      <c r="AJ3800" t="s">
        <v>69</v>
      </c>
      <c r="AY3800" t="s">
        <v>1855</v>
      </c>
      <c r="AZ3800">
        <v>12093</v>
      </c>
      <c r="BA3800" t="s">
        <v>1856</v>
      </c>
      <c r="BB3800" t="s">
        <v>1857</v>
      </c>
      <c r="BC3800">
        <v>1986</v>
      </c>
      <c r="BD3800" t="s">
        <v>73</v>
      </c>
    </row>
    <row r="3801" spans="1:56" x14ac:dyDescent="0.35">
      <c r="A3801">
        <v>10588019</v>
      </c>
      <c r="B3801" t="s">
        <v>2522</v>
      </c>
      <c r="D3801" t="s">
        <v>57</v>
      </c>
      <c r="E3801" t="s">
        <v>86</v>
      </c>
      <c r="F3801" t="s">
        <v>58</v>
      </c>
      <c r="G3801" t="s">
        <v>59</v>
      </c>
      <c r="H3801" t="s">
        <v>60</v>
      </c>
      <c r="I3801" t="s">
        <v>129</v>
      </c>
      <c r="J3801">
        <v>8</v>
      </c>
      <c r="K3801" t="s">
        <v>196</v>
      </c>
      <c r="L3801" t="s">
        <v>74</v>
      </c>
      <c r="M3801" t="s">
        <v>63</v>
      </c>
      <c r="N3801" t="s">
        <v>64</v>
      </c>
      <c r="P3801" t="s">
        <v>201</v>
      </c>
      <c r="R3801">
        <v>33.200000000000003</v>
      </c>
      <c r="T3801">
        <v>31.1</v>
      </c>
      <c r="V3801">
        <v>35.4</v>
      </c>
      <c r="W3801" t="s">
        <v>66</v>
      </c>
      <c r="X3801" t="s">
        <v>67</v>
      </c>
      <c r="Y3801" t="s">
        <v>67</v>
      </c>
      <c r="Z3801" t="s">
        <v>68</v>
      </c>
      <c r="AB3801">
        <v>4</v>
      </c>
      <c r="AC3801" t="s">
        <v>61</v>
      </c>
      <c r="AJ3801" t="s">
        <v>69</v>
      </c>
      <c r="AY3801" t="s">
        <v>1303</v>
      </c>
      <c r="AZ3801">
        <v>2125</v>
      </c>
      <c r="BA3801" t="s">
        <v>1317</v>
      </c>
      <c r="BB3801" t="s">
        <v>1318</v>
      </c>
      <c r="BC3801">
        <v>1979</v>
      </c>
      <c r="BD3801" t="s">
        <v>200</v>
      </c>
    </row>
    <row r="3802" spans="1:56" x14ac:dyDescent="0.35">
      <c r="A3802">
        <v>11071151</v>
      </c>
      <c r="B3802" t="s">
        <v>2523</v>
      </c>
      <c r="D3802" t="s">
        <v>85</v>
      </c>
      <c r="E3802" t="s">
        <v>86</v>
      </c>
      <c r="F3802" t="s">
        <v>58</v>
      </c>
      <c r="G3802" t="s">
        <v>59</v>
      </c>
      <c r="H3802" t="s">
        <v>60</v>
      </c>
      <c r="J3802" t="s">
        <v>86</v>
      </c>
      <c r="L3802" t="s">
        <v>62</v>
      </c>
      <c r="M3802" t="s">
        <v>63</v>
      </c>
      <c r="N3802" t="s">
        <v>64</v>
      </c>
      <c r="P3802" t="s">
        <v>201</v>
      </c>
      <c r="R3802">
        <v>12</v>
      </c>
      <c r="W3802" t="s">
        <v>66</v>
      </c>
      <c r="X3802" t="s">
        <v>67</v>
      </c>
      <c r="Y3802" t="s">
        <v>67</v>
      </c>
      <c r="Z3802" t="s">
        <v>68</v>
      </c>
      <c r="AB3802">
        <v>4</v>
      </c>
      <c r="AC3802" t="s">
        <v>61</v>
      </c>
      <c r="AJ3802" t="s">
        <v>69</v>
      </c>
      <c r="AY3802" t="s">
        <v>275</v>
      </c>
      <c r="AZ3802">
        <v>2042</v>
      </c>
      <c r="BA3802" t="s">
        <v>1490</v>
      </c>
      <c r="BB3802" t="s">
        <v>1491</v>
      </c>
      <c r="BC3802">
        <v>1960</v>
      </c>
      <c r="BD3802" t="s">
        <v>90</v>
      </c>
    </row>
    <row r="3803" spans="1:56" x14ac:dyDescent="0.35">
      <c r="A3803">
        <v>11071151</v>
      </c>
      <c r="B3803" t="s">
        <v>2523</v>
      </c>
      <c r="D3803" t="s">
        <v>85</v>
      </c>
      <c r="E3803" t="s">
        <v>86</v>
      </c>
      <c r="F3803" t="s">
        <v>58</v>
      </c>
      <c r="G3803" t="s">
        <v>59</v>
      </c>
      <c r="H3803" t="s">
        <v>60</v>
      </c>
      <c r="J3803" t="s">
        <v>86</v>
      </c>
      <c r="L3803" t="s">
        <v>62</v>
      </c>
      <c r="M3803" t="s">
        <v>63</v>
      </c>
      <c r="N3803" t="s">
        <v>64</v>
      </c>
      <c r="P3803" t="s">
        <v>201</v>
      </c>
      <c r="R3803">
        <v>20</v>
      </c>
      <c r="W3803" t="s">
        <v>66</v>
      </c>
      <c r="X3803" t="s">
        <v>67</v>
      </c>
      <c r="Y3803" t="s">
        <v>67</v>
      </c>
      <c r="Z3803" t="s">
        <v>68</v>
      </c>
      <c r="AB3803">
        <v>4</v>
      </c>
      <c r="AC3803" t="s">
        <v>61</v>
      </c>
      <c r="AJ3803" t="s">
        <v>69</v>
      </c>
      <c r="AY3803" t="s">
        <v>275</v>
      </c>
      <c r="AZ3803">
        <v>2042</v>
      </c>
      <c r="BA3803" t="s">
        <v>1490</v>
      </c>
      <c r="BB3803" t="s">
        <v>1491</v>
      </c>
      <c r="BC3803">
        <v>1960</v>
      </c>
      <c r="BD3803" t="s">
        <v>90</v>
      </c>
    </row>
    <row r="3804" spans="1:56" x14ac:dyDescent="0.35">
      <c r="A3804">
        <v>11097691</v>
      </c>
      <c r="B3804" t="s">
        <v>2524</v>
      </c>
      <c r="D3804" t="s">
        <v>57</v>
      </c>
      <c r="E3804" t="s">
        <v>86</v>
      </c>
      <c r="F3804" t="s">
        <v>58</v>
      </c>
      <c r="G3804" t="s">
        <v>59</v>
      </c>
      <c r="H3804" t="s">
        <v>60</v>
      </c>
      <c r="I3804" t="s">
        <v>2060</v>
      </c>
      <c r="J3804" t="s">
        <v>86</v>
      </c>
      <c r="L3804" t="s">
        <v>74</v>
      </c>
      <c r="M3804" t="s">
        <v>63</v>
      </c>
      <c r="N3804" t="s">
        <v>64</v>
      </c>
      <c r="P3804" t="s">
        <v>65</v>
      </c>
      <c r="R3804">
        <v>7.7000000000000002E-3</v>
      </c>
      <c r="W3804" t="s">
        <v>66</v>
      </c>
      <c r="X3804" t="s">
        <v>67</v>
      </c>
      <c r="Y3804" t="s">
        <v>67</v>
      </c>
      <c r="Z3804" t="s">
        <v>68</v>
      </c>
      <c r="AB3804">
        <v>4</v>
      </c>
      <c r="AC3804" t="s">
        <v>61</v>
      </c>
      <c r="AJ3804" t="s">
        <v>69</v>
      </c>
      <c r="AY3804" t="s">
        <v>2525</v>
      </c>
      <c r="AZ3804">
        <v>679</v>
      </c>
      <c r="BA3804" t="s">
        <v>2526</v>
      </c>
      <c r="BB3804" t="s">
        <v>2527</v>
      </c>
      <c r="BC3804">
        <v>1974</v>
      </c>
      <c r="BD3804" t="s">
        <v>90</v>
      </c>
    </row>
    <row r="3805" spans="1:56" x14ac:dyDescent="0.35">
      <c r="A3805">
        <v>11097691</v>
      </c>
      <c r="B3805" t="s">
        <v>2524</v>
      </c>
      <c r="D3805" t="s">
        <v>57</v>
      </c>
      <c r="E3805" t="s">
        <v>86</v>
      </c>
      <c r="F3805" t="s">
        <v>58</v>
      </c>
      <c r="G3805" t="s">
        <v>59</v>
      </c>
      <c r="H3805" t="s">
        <v>60</v>
      </c>
      <c r="J3805">
        <v>2</v>
      </c>
      <c r="K3805" t="s">
        <v>320</v>
      </c>
      <c r="L3805" t="s">
        <v>74</v>
      </c>
      <c r="M3805" t="s">
        <v>63</v>
      </c>
      <c r="N3805" t="s">
        <v>64</v>
      </c>
      <c r="P3805" t="s">
        <v>65</v>
      </c>
      <c r="Q3805" t="s">
        <v>153</v>
      </c>
      <c r="R3805">
        <v>3.3000000000000002E-2</v>
      </c>
      <c r="W3805" t="s">
        <v>66</v>
      </c>
      <c r="X3805" t="s">
        <v>67</v>
      </c>
      <c r="Y3805" t="s">
        <v>67</v>
      </c>
      <c r="Z3805" t="s">
        <v>68</v>
      </c>
      <c r="AB3805">
        <v>4</v>
      </c>
      <c r="AC3805" t="s">
        <v>61</v>
      </c>
      <c r="AJ3805" t="s">
        <v>69</v>
      </c>
      <c r="AY3805" t="s">
        <v>2525</v>
      </c>
      <c r="AZ3805">
        <v>679</v>
      </c>
      <c r="BA3805" t="s">
        <v>2526</v>
      </c>
      <c r="BB3805" t="s">
        <v>2527</v>
      </c>
      <c r="BC3805">
        <v>1974</v>
      </c>
      <c r="BD3805" t="s">
        <v>324</v>
      </c>
    </row>
    <row r="3806" spans="1:56" x14ac:dyDescent="0.35">
      <c r="A3806">
        <v>11118722</v>
      </c>
      <c r="B3806" t="s">
        <v>2528</v>
      </c>
      <c r="D3806" t="s">
        <v>85</v>
      </c>
      <c r="E3806">
        <v>95.5</v>
      </c>
      <c r="F3806" t="s">
        <v>58</v>
      </c>
      <c r="G3806" t="s">
        <v>59</v>
      </c>
      <c r="H3806" t="s">
        <v>60</v>
      </c>
      <c r="J3806" t="s">
        <v>86</v>
      </c>
      <c r="L3806" t="s">
        <v>62</v>
      </c>
      <c r="M3806" t="s">
        <v>63</v>
      </c>
      <c r="N3806" t="s">
        <v>64</v>
      </c>
      <c r="P3806" t="s">
        <v>65</v>
      </c>
      <c r="R3806">
        <v>3.2199999999999997E-5</v>
      </c>
      <c r="T3806">
        <v>2.0299999999999999E-5</v>
      </c>
      <c r="V3806">
        <v>5.0500000000000001E-5</v>
      </c>
      <c r="W3806" t="s">
        <v>66</v>
      </c>
      <c r="X3806" t="s">
        <v>67</v>
      </c>
      <c r="Y3806" t="s">
        <v>67</v>
      </c>
      <c r="Z3806" t="s">
        <v>68</v>
      </c>
      <c r="AB3806">
        <v>4</v>
      </c>
      <c r="AC3806" t="s">
        <v>61</v>
      </c>
      <c r="AJ3806" t="s">
        <v>69</v>
      </c>
      <c r="AY3806" t="s">
        <v>795</v>
      </c>
      <c r="AZ3806">
        <v>6615</v>
      </c>
      <c r="BA3806" t="s">
        <v>796</v>
      </c>
      <c r="BB3806" t="s">
        <v>797</v>
      </c>
      <c r="BC3806">
        <v>1970</v>
      </c>
      <c r="BD3806" t="s">
        <v>90</v>
      </c>
    </row>
    <row r="3807" spans="1:56" x14ac:dyDescent="0.35">
      <c r="A3807">
        <v>12125018</v>
      </c>
      <c r="B3807" t="s">
        <v>2529</v>
      </c>
      <c r="D3807" t="s">
        <v>57</v>
      </c>
      <c r="E3807" t="s">
        <v>86</v>
      </c>
      <c r="F3807" t="s">
        <v>58</v>
      </c>
      <c r="G3807" t="s">
        <v>59</v>
      </c>
      <c r="H3807" t="s">
        <v>60</v>
      </c>
      <c r="J3807" t="s">
        <v>86</v>
      </c>
      <c r="L3807" t="s">
        <v>62</v>
      </c>
      <c r="M3807" t="s">
        <v>63</v>
      </c>
      <c r="N3807" t="s">
        <v>64</v>
      </c>
      <c r="O3807" t="s">
        <v>267</v>
      </c>
      <c r="P3807" t="s">
        <v>201</v>
      </c>
      <c r="R3807">
        <v>363.8</v>
      </c>
      <c r="T3807">
        <v>295.7</v>
      </c>
      <c r="V3807">
        <v>507.3</v>
      </c>
      <c r="W3807" t="s">
        <v>66</v>
      </c>
      <c r="X3807" t="s">
        <v>67</v>
      </c>
      <c r="Y3807" t="s">
        <v>67</v>
      </c>
      <c r="Z3807" t="s">
        <v>68</v>
      </c>
      <c r="AB3807">
        <v>4</v>
      </c>
      <c r="AC3807" t="s">
        <v>61</v>
      </c>
      <c r="AJ3807" t="s">
        <v>69</v>
      </c>
      <c r="AY3807" t="s">
        <v>268</v>
      </c>
      <c r="AZ3807">
        <v>2965</v>
      </c>
      <c r="BA3807" t="s">
        <v>269</v>
      </c>
      <c r="BB3807" t="s">
        <v>270</v>
      </c>
      <c r="BC3807">
        <v>1981</v>
      </c>
      <c r="BD3807" t="s">
        <v>90</v>
      </c>
    </row>
    <row r="3808" spans="1:56" x14ac:dyDescent="0.35">
      <c r="A3808">
        <v>12125029</v>
      </c>
      <c r="B3808" t="s">
        <v>2530</v>
      </c>
      <c r="C3808" t="s">
        <v>195</v>
      </c>
      <c r="D3808" t="s">
        <v>57</v>
      </c>
      <c r="E3808" t="s">
        <v>86</v>
      </c>
      <c r="F3808" t="s">
        <v>58</v>
      </c>
      <c r="G3808" t="s">
        <v>59</v>
      </c>
      <c r="H3808" t="s">
        <v>60</v>
      </c>
      <c r="J3808" t="s">
        <v>86</v>
      </c>
      <c r="L3808" t="s">
        <v>74</v>
      </c>
      <c r="M3808" t="s">
        <v>63</v>
      </c>
      <c r="N3808" t="s">
        <v>64</v>
      </c>
      <c r="P3808" t="s">
        <v>201</v>
      </c>
      <c r="R3808">
        <v>58.8</v>
      </c>
      <c r="T3808">
        <v>54.5</v>
      </c>
      <c r="V3808">
        <v>63.5</v>
      </c>
      <c r="W3808" t="s">
        <v>66</v>
      </c>
      <c r="X3808" t="s">
        <v>67</v>
      </c>
      <c r="Y3808" t="s">
        <v>67</v>
      </c>
      <c r="Z3808" t="s">
        <v>68</v>
      </c>
      <c r="AB3808">
        <v>4</v>
      </c>
      <c r="AC3808" t="s">
        <v>61</v>
      </c>
      <c r="AJ3808" t="s">
        <v>69</v>
      </c>
      <c r="AQ3808" t="s">
        <v>69</v>
      </c>
      <c r="AY3808" t="s">
        <v>2531</v>
      </c>
      <c r="AZ3808">
        <v>10130</v>
      </c>
      <c r="BA3808" t="s">
        <v>2532</v>
      </c>
      <c r="BB3808" t="s">
        <v>2533</v>
      </c>
      <c r="BC3808">
        <v>1983</v>
      </c>
      <c r="BD3808" t="s">
        <v>2534</v>
      </c>
    </row>
    <row r="3809" spans="1:56" x14ac:dyDescent="0.35">
      <c r="A3809">
        <v>12125029</v>
      </c>
      <c r="B3809" t="s">
        <v>2530</v>
      </c>
      <c r="C3809" t="s">
        <v>195</v>
      </c>
      <c r="D3809" t="s">
        <v>57</v>
      </c>
      <c r="E3809" t="s">
        <v>86</v>
      </c>
      <c r="F3809" t="s">
        <v>58</v>
      </c>
      <c r="G3809" t="s">
        <v>59</v>
      </c>
      <c r="H3809" t="s">
        <v>60</v>
      </c>
      <c r="J3809" t="s">
        <v>86</v>
      </c>
      <c r="L3809" t="s">
        <v>62</v>
      </c>
      <c r="M3809" t="s">
        <v>63</v>
      </c>
      <c r="N3809" t="s">
        <v>64</v>
      </c>
      <c r="P3809" t="s">
        <v>2154</v>
      </c>
      <c r="R3809">
        <v>0.49</v>
      </c>
      <c r="T3809">
        <v>0.44</v>
      </c>
      <c r="V3809">
        <v>0.53</v>
      </c>
      <c r="W3809" t="s">
        <v>66</v>
      </c>
      <c r="X3809" t="s">
        <v>67</v>
      </c>
      <c r="Y3809" t="s">
        <v>67</v>
      </c>
      <c r="Z3809" t="s">
        <v>68</v>
      </c>
      <c r="AB3809">
        <v>4</v>
      </c>
      <c r="AC3809" t="s">
        <v>61</v>
      </c>
      <c r="AJ3809" t="s">
        <v>69</v>
      </c>
      <c r="AY3809" t="s">
        <v>2535</v>
      </c>
      <c r="AZ3809">
        <v>60011</v>
      </c>
      <c r="BA3809" t="s">
        <v>2536</v>
      </c>
      <c r="BB3809" t="s">
        <v>2537</v>
      </c>
      <c r="BC3809">
        <v>1985</v>
      </c>
      <c r="BD3809" t="s">
        <v>90</v>
      </c>
    </row>
    <row r="3810" spans="1:56" x14ac:dyDescent="0.35">
      <c r="A3810">
        <v>12125029</v>
      </c>
      <c r="B3810" t="s">
        <v>2530</v>
      </c>
      <c r="C3810" t="s">
        <v>91</v>
      </c>
      <c r="D3810" t="s">
        <v>57</v>
      </c>
      <c r="E3810" t="s">
        <v>79</v>
      </c>
      <c r="F3810" t="s">
        <v>58</v>
      </c>
      <c r="G3810" t="s">
        <v>59</v>
      </c>
      <c r="H3810" t="s">
        <v>60</v>
      </c>
      <c r="J3810" t="s">
        <v>86</v>
      </c>
      <c r="L3810" t="s">
        <v>74</v>
      </c>
      <c r="M3810" t="s">
        <v>63</v>
      </c>
      <c r="N3810" t="s">
        <v>64</v>
      </c>
      <c r="P3810" t="s">
        <v>2154</v>
      </c>
      <c r="R3810">
        <v>2.1</v>
      </c>
      <c r="T3810">
        <v>2.0299999999999998</v>
      </c>
      <c r="V3810">
        <v>2.17</v>
      </c>
      <c r="W3810" t="s">
        <v>66</v>
      </c>
      <c r="X3810" t="s">
        <v>67</v>
      </c>
      <c r="Y3810" t="s">
        <v>67</v>
      </c>
      <c r="Z3810" t="s">
        <v>68</v>
      </c>
      <c r="AB3810">
        <v>4</v>
      </c>
      <c r="AC3810" t="s">
        <v>61</v>
      </c>
      <c r="AJ3810" t="s">
        <v>69</v>
      </c>
      <c r="AY3810" t="s">
        <v>2538</v>
      </c>
      <c r="AZ3810">
        <v>12116</v>
      </c>
      <c r="BA3810" t="s">
        <v>2539</v>
      </c>
      <c r="BB3810" t="s">
        <v>2540</v>
      </c>
      <c r="BC3810">
        <v>1987</v>
      </c>
      <c r="BD3810" t="s">
        <v>90</v>
      </c>
    </row>
    <row r="3811" spans="1:56" x14ac:dyDescent="0.35">
      <c r="A3811">
        <v>12125029</v>
      </c>
      <c r="B3811" t="s">
        <v>2530</v>
      </c>
      <c r="C3811" t="s">
        <v>195</v>
      </c>
      <c r="D3811" t="s">
        <v>57</v>
      </c>
      <c r="E3811" t="s">
        <v>86</v>
      </c>
      <c r="F3811" t="s">
        <v>58</v>
      </c>
      <c r="G3811" t="s">
        <v>59</v>
      </c>
      <c r="H3811" t="s">
        <v>60</v>
      </c>
      <c r="J3811" t="s">
        <v>86</v>
      </c>
      <c r="K3811" t="s">
        <v>61</v>
      </c>
      <c r="L3811" t="s">
        <v>190</v>
      </c>
      <c r="M3811" t="s">
        <v>63</v>
      </c>
      <c r="N3811" t="s">
        <v>64</v>
      </c>
      <c r="O3811">
        <v>8</v>
      </c>
      <c r="P3811" t="s">
        <v>2154</v>
      </c>
      <c r="R3811">
        <v>1.18</v>
      </c>
      <c r="T3811">
        <v>0.94899999999999995</v>
      </c>
      <c r="V3811">
        <v>1.84</v>
      </c>
      <c r="W3811" t="s">
        <v>66</v>
      </c>
      <c r="X3811" t="s">
        <v>67</v>
      </c>
      <c r="Y3811" t="s">
        <v>67</v>
      </c>
      <c r="Z3811" t="s">
        <v>68</v>
      </c>
      <c r="AB3811">
        <v>4</v>
      </c>
      <c r="AC3811" t="s">
        <v>61</v>
      </c>
      <c r="AJ3811" t="s">
        <v>69</v>
      </c>
      <c r="AY3811" t="s">
        <v>2541</v>
      </c>
      <c r="AZ3811">
        <v>86288</v>
      </c>
      <c r="BA3811" t="s">
        <v>2542</v>
      </c>
      <c r="BB3811" t="s">
        <v>2543</v>
      </c>
      <c r="BC3811">
        <v>1987</v>
      </c>
      <c r="BD3811" t="s">
        <v>2544</v>
      </c>
    </row>
    <row r="3812" spans="1:56" x14ac:dyDescent="0.35">
      <c r="A3812">
        <v>12125029</v>
      </c>
      <c r="B3812" t="s">
        <v>2530</v>
      </c>
      <c r="D3812" t="s">
        <v>57</v>
      </c>
      <c r="E3812" t="s">
        <v>86</v>
      </c>
      <c r="F3812" t="s">
        <v>58</v>
      </c>
      <c r="G3812" t="s">
        <v>59</v>
      </c>
      <c r="H3812" t="s">
        <v>60</v>
      </c>
      <c r="J3812" t="s">
        <v>86</v>
      </c>
      <c r="K3812" t="s">
        <v>320</v>
      </c>
      <c r="L3812" t="s">
        <v>74</v>
      </c>
      <c r="M3812" t="s">
        <v>63</v>
      </c>
      <c r="N3812" t="s">
        <v>64</v>
      </c>
      <c r="O3812">
        <v>6</v>
      </c>
      <c r="P3812" t="s">
        <v>2154</v>
      </c>
      <c r="R3812">
        <v>0.65</v>
      </c>
      <c r="T3812">
        <v>0.45100000000000001</v>
      </c>
      <c r="V3812">
        <v>0.81200000000000006</v>
      </c>
      <c r="W3812" t="s">
        <v>66</v>
      </c>
      <c r="X3812" t="s">
        <v>67</v>
      </c>
      <c r="Y3812" t="s">
        <v>67</v>
      </c>
      <c r="Z3812" t="s">
        <v>68</v>
      </c>
      <c r="AB3812">
        <v>4</v>
      </c>
      <c r="AC3812" t="s">
        <v>61</v>
      </c>
      <c r="AJ3812" t="s">
        <v>69</v>
      </c>
      <c r="AY3812" t="s">
        <v>2545</v>
      </c>
      <c r="AZ3812">
        <v>88468</v>
      </c>
      <c r="BA3812" t="s">
        <v>2546</v>
      </c>
      <c r="BB3812" t="s">
        <v>2547</v>
      </c>
      <c r="BC3812">
        <v>1987</v>
      </c>
      <c r="BD3812" t="s">
        <v>2548</v>
      </c>
    </row>
    <row r="3813" spans="1:56" x14ac:dyDescent="0.35">
      <c r="A3813">
        <v>12125029</v>
      </c>
      <c r="B3813" t="s">
        <v>2530</v>
      </c>
      <c r="D3813" t="s">
        <v>57</v>
      </c>
      <c r="E3813" t="s">
        <v>86</v>
      </c>
      <c r="F3813" t="s">
        <v>58</v>
      </c>
      <c r="G3813" t="s">
        <v>59</v>
      </c>
      <c r="H3813" t="s">
        <v>60</v>
      </c>
      <c r="J3813" t="s">
        <v>86</v>
      </c>
      <c r="L3813" t="s">
        <v>74</v>
      </c>
      <c r="M3813" t="s">
        <v>63</v>
      </c>
      <c r="N3813" t="s">
        <v>64</v>
      </c>
      <c r="P3813" t="s">
        <v>201</v>
      </c>
      <c r="R3813">
        <v>254</v>
      </c>
      <c r="T3813">
        <v>222</v>
      </c>
      <c r="V3813">
        <v>290</v>
      </c>
      <c r="W3813" t="s">
        <v>66</v>
      </c>
      <c r="X3813" t="s">
        <v>67</v>
      </c>
      <c r="Y3813" t="s">
        <v>67</v>
      </c>
      <c r="Z3813" t="s">
        <v>68</v>
      </c>
      <c r="AB3813">
        <v>4</v>
      </c>
      <c r="AC3813" t="s">
        <v>61</v>
      </c>
      <c r="AJ3813" t="s">
        <v>69</v>
      </c>
      <c r="AQ3813" t="s">
        <v>69</v>
      </c>
      <c r="AY3813" t="s">
        <v>2549</v>
      </c>
      <c r="AZ3813">
        <v>10303</v>
      </c>
      <c r="BA3813" t="s">
        <v>2550</v>
      </c>
      <c r="BB3813" t="s">
        <v>2551</v>
      </c>
      <c r="BC3813">
        <v>1981</v>
      </c>
      <c r="BD3813" t="s">
        <v>2552</v>
      </c>
    </row>
    <row r="3814" spans="1:56" x14ac:dyDescent="0.35">
      <c r="A3814">
        <v>12125029</v>
      </c>
      <c r="B3814" t="s">
        <v>2530</v>
      </c>
      <c r="C3814" t="s">
        <v>195</v>
      </c>
      <c r="D3814" t="s">
        <v>57</v>
      </c>
      <c r="E3814" t="s">
        <v>86</v>
      </c>
      <c r="F3814" t="s">
        <v>58</v>
      </c>
      <c r="G3814" t="s">
        <v>59</v>
      </c>
      <c r="H3814" t="s">
        <v>60</v>
      </c>
      <c r="J3814" t="s">
        <v>86</v>
      </c>
      <c r="L3814" t="s">
        <v>62</v>
      </c>
      <c r="M3814" t="s">
        <v>63</v>
      </c>
      <c r="N3814" t="s">
        <v>64</v>
      </c>
      <c r="P3814" t="s">
        <v>2154</v>
      </c>
      <c r="R3814">
        <v>0.48</v>
      </c>
      <c r="T3814">
        <v>0.43</v>
      </c>
      <c r="V3814">
        <v>0.55000000000000004</v>
      </c>
      <c r="W3814" t="s">
        <v>66</v>
      </c>
      <c r="X3814" t="s">
        <v>67</v>
      </c>
      <c r="Y3814" t="s">
        <v>67</v>
      </c>
      <c r="Z3814" t="s">
        <v>68</v>
      </c>
      <c r="AB3814">
        <v>4</v>
      </c>
      <c r="AC3814" t="s">
        <v>61</v>
      </c>
      <c r="AJ3814" t="s">
        <v>69</v>
      </c>
      <c r="AY3814" t="s">
        <v>2535</v>
      </c>
      <c r="AZ3814">
        <v>60011</v>
      </c>
      <c r="BA3814" t="s">
        <v>2536</v>
      </c>
      <c r="BB3814" t="s">
        <v>2537</v>
      </c>
      <c r="BC3814">
        <v>1985</v>
      </c>
      <c r="BD3814" t="s">
        <v>90</v>
      </c>
    </row>
    <row r="3815" spans="1:56" x14ac:dyDescent="0.35">
      <c r="A3815">
        <v>12125029</v>
      </c>
      <c r="B3815" t="s">
        <v>2530</v>
      </c>
      <c r="D3815" t="s">
        <v>57</v>
      </c>
      <c r="E3815" t="s">
        <v>86</v>
      </c>
      <c r="F3815" t="s">
        <v>58</v>
      </c>
      <c r="G3815" t="s">
        <v>59</v>
      </c>
      <c r="H3815" t="s">
        <v>60</v>
      </c>
      <c r="J3815" t="s">
        <v>86</v>
      </c>
      <c r="K3815" t="s">
        <v>320</v>
      </c>
      <c r="L3815" t="s">
        <v>74</v>
      </c>
      <c r="M3815" t="s">
        <v>63</v>
      </c>
      <c r="N3815" t="s">
        <v>64</v>
      </c>
      <c r="O3815">
        <v>6</v>
      </c>
      <c r="P3815" t="s">
        <v>2154</v>
      </c>
      <c r="R3815">
        <v>0.46</v>
      </c>
      <c r="T3815">
        <v>0.25900000000000001</v>
      </c>
      <c r="V3815">
        <v>0.76100000000000001</v>
      </c>
      <c r="W3815" t="s">
        <v>66</v>
      </c>
      <c r="X3815" t="s">
        <v>67</v>
      </c>
      <c r="Y3815" t="s">
        <v>67</v>
      </c>
      <c r="Z3815" t="s">
        <v>68</v>
      </c>
      <c r="AB3815">
        <v>4</v>
      </c>
      <c r="AC3815" t="s">
        <v>61</v>
      </c>
      <c r="AJ3815" t="s">
        <v>69</v>
      </c>
      <c r="AY3815" t="s">
        <v>2545</v>
      </c>
      <c r="AZ3815">
        <v>88468</v>
      </c>
      <c r="BA3815" t="s">
        <v>2546</v>
      </c>
      <c r="BB3815" t="s">
        <v>2547</v>
      </c>
      <c r="BC3815">
        <v>1987</v>
      </c>
      <c r="BD3815" t="s">
        <v>2548</v>
      </c>
    </row>
    <row r="3816" spans="1:56" x14ac:dyDescent="0.35">
      <c r="A3816">
        <v>12125029</v>
      </c>
      <c r="B3816" t="s">
        <v>2530</v>
      </c>
      <c r="C3816" t="s">
        <v>195</v>
      </c>
      <c r="D3816" t="s">
        <v>57</v>
      </c>
      <c r="E3816" t="s">
        <v>86</v>
      </c>
      <c r="F3816" t="s">
        <v>58</v>
      </c>
      <c r="G3816" t="s">
        <v>59</v>
      </c>
      <c r="H3816" t="s">
        <v>60</v>
      </c>
      <c r="J3816" t="s">
        <v>86</v>
      </c>
      <c r="L3816" t="s">
        <v>74</v>
      </c>
      <c r="M3816" t="s">
        <v>63</v>
      </c>
      <c r="N3816" t="s">
        <v>64</v>
      </c>
      <c r="P3816" t="s">
        <v>201</v>
      </c>
      <c r="R3816">
        <v>74.599999999999994</v>
      </c>
      <c r="T3816">
        <v>67.599999999999994</v>
      </c>
      <c r="V3816">
        <v>82.2</v>
      </c>
      <c r="W3816" t="s">
        <v>66</v>
      </c>
      <c r="X3816" t="s">
        <v>67</v>
      </c>
      <c r="Y3816" t="s">
        <v>67</v>
      </c>
      <c r="Z3816" t="s">
        <v>68</v>
      </c>
      <c r="AB3816">
        <v>4</v>
      </c>
      <c r="AC3816" t="s">
        <v>61</v>
      </c>
      <c r="AJ3816" t="s">
        <v>69</v>
      </c>
      <c r="AQ3816" t="s">
        <v>69</v>
      </c>
      <c r="AY3816" t="s">
        <v>2531</v>
      </c>
      <c r="AZ3816">
        <v>10130</v>
      </c>
      <c r="BA3816" t="s">
        <v>2532</v>
      </c>
      <c r="BB3816" t="s">
        <v>2533</v>
      </c>
      <c r="BC3816">
        <v>1983</v>
      </c>
      <c r="BD3816" t="s">
        <v>2553</v>
      </c>
    </row>
    <row r="3817" spans="1:56" x14ac:dyDescent="0.35">
      <c r="A3817">
        <v>12125029</v>
      </c>
      <c r="B3817" t="s">
        <v>2530</v>
      </c>
      <c r="C3817" t="s">
        <v>195</v>
      </c>
      <c r="D3817" t="s">
        <v>57</v>
      </c>
      <c r="E3817" t="s">
        <v>86</v>
      </c>
      <c r="F3817" t="s">
        <v>58</v>
      </c>
      <c r="G3817" t="s">
        <v>59</v>
      </c>
      <c r="H3817" t="s">
        <v>60</v>
      </c>
      <c r="J3817" t="s">
        <v>86</v>
      </c>
      <c r="K3817" t="s">
        <v>61</v>
      </c>
      <c r="L3817" t="s">
        <v>190</v>
      </c>
      <c r="M3817" t="s">
        <v>63</v>
      </c>
      <c r="N3817" t="s">
        <v>64</v>
      </c>
      <c r="O3817">
        <v>8</v>
      </c>
      <c r="P3817" t="s">
        <v>2154</v>
      </c>
      <c r="R3817">
        <v>0.97</v>
      </c>
      <c r="T3817">
        <v>0.84</v>
      </c>
      <c r="V3817">
        <v>1.1100000000000001</v>
      </c>
      <c r="W3817" t="s">
        <v>66</v>
      </c>
      <c r="X3817" t="s">
        <v>67</v>
      </c>
      <c r="Y3817" t="s">
        <v>67</v>
      </c>
      <c r="Z3817" t="s">
        <v>68</v>
      </c>
      <c r="AB3817">
        <v>4</v>
      </c>
      <c r="AC3817" t="s">
        <v>61</v>
      </c>
      <c r="AJ3817" t="s">
        <v>69</v>
      </c>
      <c r="AY3817" t="s">
        <v>2541</v>
      </c>
      <c r="AZ3817">
        <v>86288</v>
      </c>
      <c r="BA3817" t="s">
        <v>2542</v>
      </c>
      <c r="BB3817" t="s">
        <v>2543</v>
      </c>
      <c r="BC3817">
        <v>1987</v>
      </c>
      <c r="BD3817" t="s">
        <v>2544</v>
      </c>
    </row>
    <row r="3818" spans="1:56" x14ac:dyDescent="0.35">
      <c r="A3818">
        <v>12125029</v>
      </c>
      <c r="B3818" t="s">
        <v>2530</v>
      </c>
      <c r="C3818" t="s">
        <v>195</v>
      </c>
      <c r="D3818" t="s">
        <v>57</v>
      </c>
      <c r="E3818" t="s">
        <v>86</v>
      </c>
      <c r="F3818" t="s">
        <v>58</v>
      </c>
      <c r="G3818" t="s">
        <v>59</v>
      </c>
      <c r="H3818" t="s">
        <v>60</v>
      </c>
      <c r="J3818" t="s">
        <v>86</v>
      </c>
      <c r="L3818" t="s">
        <v>62</v>
      </c>
      <c r="M3818" t="s">
        <v>63</v>
      </c>
      <c r="N3818" t="s">
        <v>64</v>
      </c>
      <c r="P3818" t="s">
        <v>2154</v>
      </c>
      <c r="R3818">
        <v>0.51</v>
      </c>
      <c r="T3818">
        <v>0.3</v>
      </c>
      <c r="V3818">
        <v>0.78</v>
      </c>
      <c r="W3818" t="s">
        <v>66</v>
      </c>
      <c r="X3818" t="s">
        <v>67</v>
      </c>
      <c r="Y3818" t="s">
        <v>67</v>
      </c>
      <c r="Z3818" t="s">
        <v>68</v>
      </c>
      <c r="AB3818">
        <v>4</v>
      </c>
      <c r="AC3818" t="s">
        <v>61</v>
      </c>
      <c r="AJ3818" t="s">
        <v>69</v>
      </c>
      <c r="AY3818" t="s">
        <v>2535</v>
      </c>
      <c r="AZ3818">
        <v>60011</v>
      </c>
      <c r="BA3818" t="s">
        <v>2536</v>
      </c>
      <c r="BB3818" t="s">
        <v>2537</v>
      </c>
      <c r="BC3818">
        <v>1985</v>
      </c>
      <c r="BD3818" t="s">
        <v>90</v>
      </c>
    </row>
    <row r="3819" spans="1:56" x14ac:dyDescent="0.35">
      <c r="A3819">
        <v>12125029</v>
      </c>
      <c r="B3819" t="s">
        <v>2530</v>
      </c>
      <c r="D3819" t="s">
        <v>85</v>
      </c>
      <c r="E3819" t="s">
        <v>86</v>
      </c>
      <c r="F3819" t="s">
        <v>58</v>
      </c>
      <c r="G3819" t="s">
        <v>59</v>
      </c>
      <c r="H3819" t="s">
        <v>60</v>
      </c>
      <c r="J3819" t="s">
        <v>86</v>
      </c>
      <c r="L3819" t="s">
        <v>62</v>
      </c>
      <c r="M3819" t="s">
        <v>63</v>
      </c>
      <c r="N3819" t="s">
        <v>64</v>
      </c>
      <c r="P3819" t="s">
        <v>201</v>
      </c>
      <c r="R3819">
        <v>59</v>
      </c>
      <c r="T3819">
        <v>52</v>
      </c>
      <c r="V3819">
        <v>68</v>
      </c>
      <c r="W3819" t="s">
        <v>66</v>
      </c>
      <c r="X3819" t="s">
        <v>67</v>
      </c>
      <c r="Y3819" t="s">
        <v>67</v>
      </c>
      <c r="Z3819" t="s">
        <v>68</v>
      </c>
      <c r="AB3819">
        <v>4</v>
      </c>
      <c r="AC3819" t="s">
        <v>61</v>
      </c>
      <c r="AJ3819" t="s">
        <v>69</v>
      </c>
      <c r="AQ3819" t="s">
        <v>69</v>
      </c>
      <c r="AY3819" t="s">
        <v>2026</v>
      </c>
      <c r="AZ3819">
        <v>165613</v>
      </c>
      <c r="BA3819" t="s">
        <v>2027</v>
      </c>
      <c r="BB3819" t="s">
        <v>2028</v>
      </c>
      <c r="BC3819">
        <v>1980</v>
      </c>
      <c r="BD3819" t="s">
        <v>2554</v>
      </c>
    </row>
    <row r="3820" spans="1:56" x14ac:dyDescent="0.35">
      <c r="A3820">
        <v>12125029</v>
      </c>
      <c r="B3820" t="s">
        <v>2530</v>
      </c>
      <c r="C3820" t="s">
        <v>195</v>
      </c>
      <c r="D3820" t="s">
        <v>57</v>
      </c>
      <c r="E3820" t="s">
        <v>86</v>
      </c>
      <c r="F3820" t="s">
        <v>58</v>
      </c>
      <c r="G3820" t="s">
        <v>59</v>
      </c>
      <c r="H3820" t="s">
        <v>60</v>
      </c>
      <c r="J3820" t="s">
        <v>86</v>
      </c>
      <c r="L3820" t="s">
        <v>74</v>
      </c>
      <c r="M3820" t="s">
        <v>63</v>
      </c>
      <c r="N3820" t="s">
        <v>64</v>
      </c>
      <c r="P3820" t="s">
        <v>201</v>
      </c>
      <c r="R3820">
        <v>42.6</v>
      </c>
      <c r="T3820">
        <v>39.4</v>
      </c>
      <c r="V3820">
        <v>46</v>
      </c>
      <c r="W3820" t="s">
        <v>66</v>
      </c>
      <c r="X3820" t="s">
        <v>67</v>
      </c>
      <c r="Y3820" t="s">
        <v>67</v>
      </c>
      <c r="Z3820" t="s">
        <v>68</v>
      </c>
      <c r="AB3820">
        <v>4</v>
      </c>
      <c r="AC3820" t="s">
        <v>61</v>
      </c>
      <c r="AJ3820" t="s">
        <v>69</v>
      </c>
      <c r="AQ3820" t="s">
        <v>69</v>
      </c>
      <c r="AY3820" t="s">
        <v>2531</v>
      </c>
      <c r="AZ3820">
        <v>10130</v>
      </c>
      <c r="BA3820" t="s">
        <v>2532</v>
      </c>
      <c r="BB3820" t="s">
        <v>2533</v>
      </c>
      <c r="BC3820">
        <v>1983</v>
      </c>
      <c r="BD3820" t="s">
        <v>2555</v>
      </c>
    </row>
    <row r="3821" spans="1:56" x14ac:dyDescent="0.35">
      <c r="A3821">
        <v>12125029</v>
      </c>
      <c r="B3821" t="s">
        <v>2530</v>
      </c>
      <c r="D3821" t="s">
        <v>57</v>
      </c>
      <c r="E3821" t="s">
        <v>86</v>
      </c>
      <c r="F3821" t="s">
        <v>58</v>
      </c>
      <c r="G3821" t="s">
        <v>59</v>
      </c>
      <c r="H3821" t="s">
        <v>60</v>
      </c>
      <c r="J3821" t="s">
        <v>86</v>
      </c>
      <c r="K3821" t="s">
        <v>320</v>
      </c>
      <c r="L3821" t="s">
        <v>74</v>
      </c>
      <c r="M3821" t="s">
        <v>63</v>
      </c>
      <c r="N3821" t="s">
        <v>64</v>
      </c>
      <c r="O3821">
        <v>6</v>
      </c>
      <c r="P3821" t="s">
        <v>2154</v>
      </c>
      <c r="R3821">
        <v>1.4</v>
      </c>
      <c r="T3821">
        <v>1.026</v>
      </c>
      <c r="V3821">
        <v>1.714</v>
      </c>
      <c r="W3821" t="s">
        <v>66</v>
      </c>
      <c r="X3821" t="s">
        <v>67</v>
      </c>
      <c r="Y3821" t="s">
        <v>67</v>
      </c>
      <c r="Z3821" t="s">
        <v>68</v>
      </c>
      <c r="AB3821">
        <v>4</v>
      </c>
      <c r="AC3821" t="s">
        <v>61</v>
      </c>
      <c r="AJ3821" t="s">
        <v>69</v>
      </c>
      <c r="AY3821" t="s">
        <v>2545</v>
      </c>
      <c r="AZ3821">
        <v>88468</v>
      </c>
      <c r="BA3821" t="s">
        <v>2546</v>
      </c>
      <c r="BB3821" t="s">
        <v>2547</v>
      </c>
      <c r="BC3821">
        <v>1987</v>
      </c>
      <c r="BD3821" t="s">
        <v>2548</v>
      </c>
    </row>
    <row r="3822" spans="1:56" x14ac:dyDescent="0.35">
      <c r="A3822">
        <v>12125029</v>
      </c>
      <c r="B3822" t="s">
        <v>2530</v>
      </c>
      <c r="C3822" t="s">
        <v>195</v>
      </c>
      <c r="D3822" t="s">
        <v>57</v>
      </c>
      <c r="E3822" t="s">
        <v>86</v>
      </c>
      <c r="F3822" t="s">
        <v>58</v>
      </c>
      <c r="G3822" t="s">
        <v>59</v>
      </c>
      <c r="H3822" t="s">
        <v>60</v>
      </c>
      <c r="J3822" t="s">
        <v>86</v>
      </c>
      <c r="L3822" t="s">
        <v>74</v>
      </c>
      <c r="M3822" t="s">
        <v>63</v>
      </c>
      <c r="N3822" t="s">
        <v>64</v>
      </c>
      <c r="P3822" t="s">
        <v>201</v>
      </c>
      <c r="R3822">
        <v>54.8</v>
      </c>
      <c r="T3822">
        <v>43.8</v>
      </c>
      <c r="V3822">
        <v>68.599999999999994</v>
      </c>
      <c r="W3822" t="s">
        <v>66</v>
      </c>
      <c r="X3822" t="s">
        <v>67</v>
      </c>
      <c r="Y3822" t="s">
        <v>67</v>
      </c>
      <c r="Z3822" t="s">
        <v>68</v>
      </c>
      <c r="AB3822">
        <v>4</v>
      </c>
      <c r="AC3822" t="s">
        <v>61</v>
      </c>
      <c r="AJ3822" t="s">
        <v>69</v>
      </c>
      <c r="AQ3822" t="s">
        <v>69</v>
      </c>
      <c r="AY3822" t="s">
        <v>2531</v>
      </c>
      <c r="AZ3822">
        <v>10130</v>
      </c>
      <c r="BA3822" t="s">
        <v>2532</v>
      </c>
      <c r="BB3822" t="s">
        <v>2533</v>
      </c>
      <c r="BC3822">
        <v>1983</v>
      </c>
      <c r="BD3822" t="s">
        <v>2556</v>
      </c>
    </row>
    <row r="3823" spans="1:56" x14ac:dyDescent="0.35">
      <c r="A3823">
        <v>12125029</v>
      </c>
      <c r="B3823" t="s">
        <v>2530</v>
      </c>
      <c r="D3823" t="s">
        <v>57</v>
      </c>
      <c r="E3823" t="s">
        <v>86</v>
      </c>
      <c r="F3823" t="s">
        <v>58</v>
      </c>
      <c r="G3823" t="s">
        <v>59</v>
      </c>
      <c r="H3823" t="s">
        <v>60</v>
      </c>
      <c r="J3823" t="s">
        <v>86</v>
      </c>
      <c r="K3823" t="s">
        <v>1027</v>
      </c>
      <c r="L3823" t="s">
        <v>190</v>
      </c>
      <c r="M3823" t="s">
        <v>63</v>
      </c>
      <c r="N3823" t="s">
        <v>64</v>
      </c>
      <c r="O3823" t="s">
        <v>2114</v>
      </c>
      <c r="P3823" t="s">
        <v>201</v>
      </c>
      <c r="R3823">
        <v>14.4</v>
      </c>
      <c r="T3823">
        <v>10.4</v>
      </c>
      <c r="V3823">
        <v>18.5</v>
      </c>
      <c r="W3823" t="s">
        <v>66</v>
      </c>
      <c r="X3823" t="s">
        <v>67</v>
      </c>
      <c r="Y3823" t="s">
        <v>67</v>
      </c>
      <c r="Z3823" t="s">
        <v>68</v>
      </c>
      <c r="AB3823">
        <v>4</v>
      </c>
      <c r="AC3823" t="s">
        <v>61</v>
      </c>
      <c r="AJ3823" t="s">
        <v>69</v>
      </c>
      <c r="AQ3823" t="s">
        <v>69</v>
      </c>
      <c r="AY3823" t="s">
        <v>2115</v>
      </c>
      <c r="AZ3823">
        <v>77828</v>
      </c>
      <c r="BA3823" t="s">
        <v>2116</v>
      </c>
      <c r="BB3823" t="s">
        <v>2117</v>
      </c>
      <c r="BC3823">
        <v>2002</v>
      </c>
      <c r="BD3823" t="s">
        <v>2557</v>
      </c>
    </row>
    <row r="3824" spans="1:56" x14ac:dyDescent="0.35">
      <c r="A3824">
        <v>12125029</v>
      </c>
      <c r="B3824" t="s">
        <v>2530</v>
      </c>
      <c r="C3824" t="s">
        <v>195</v>
      </c>
      <c r="D3824" t="s">
        <v>57</v>
      </c>
      <c r="E3824" t="s">
        <v>86</v>
      </c>
      <c r="F3824" t="s">
        <v>58</v>
      </c>
      <c r="G3824" t="s">
        <v>59</v>
      </c>
      <c r="H3824" t="s">
        <v>60</v>
      </c>
      <c r="J3824" t="s">
        <v>86</v>
      </c>
      <c r="L3824" t="s">
        <v>74</v>
      </c>
      <c r="M3824" t="s">
        <v>63</v>
      </c>
      <c r="N3824" t="s">
        <v>64</v>
      </c>
      <c r="P3824" t="s">
        <v>201</v>
      </c>
      <c r="R3824">
        <v>36.200000000000003</v>
      </c>
      <c r="T3824">
        <v>32.5</v>
      </c>
      <c r="V3824">
        <v>40.200000000000003</v>
      </c>
      <c r="W3824" t="s">
        <v>66</v>
      </c>
      <c r="X3824" t="s">
        <v>67</v>
      </c>
      <c r="Y3824" t="s">
        <v>67</v>
      </c>
      <c r="Z3824" t="s">
        <v>68</v>
      </c>
      <c r="AB3824">
        <v>4</v>
      </c>
      <c r="AC3824" t="s">
        <v>61</v>
      </c>
      <c r="AJ3824" t="s">
        <v>69</v>
      </c>
      <c r="AQ3824" t="s">
        <v>69</v>
      </c>
      <c r="AY3824" t="s">
        <v>2531</v>
      </c>
      <c r="AZ3824">
        <v>10130</v>
      </c>
      <c r="BA3824" t="s">
        <v>2532</v>
      </c>
      <c r="BB3824" t="s">
        <v>2533</v>
      </c>
      <c r="BC3824">
        <v>1983</v>
      </c>
      <c r="BD3824" t="s">
        <v>2558</v>
      </c>
    </row>
    <row r="3825" spans="1:56" x14ac:dyDescent="0.35">
      <c r="A3825">
        <v>12125029</v>
      </c>
      <c r="B3825" t="s">
        <v>2530</v>
      </c>
      <c r="C3825" t="s">
        <v>195</v>
      </c>
      <c r="D3825" t="s">
        <v>57</v>
      </c>
      <c r="E3825" t="s">
        <v>86</v>
      </c>
      <c r="F3825" t="s">
        <v>58</v>
      </c>
      <c r="G3825" t="s">
        <v>59</v>
      </c>
      <c r="H3825" t="s">
        <v>60</v>
      </c>
      <c r="J3825" t="s">
        <v>86</v>
      </c>
      <c r="L3825" t="s">
        <v>74</v>
      </c>
      <c r="M3825" t="s">
        <v>63</v>
      </c>
      <c r="N3825" t="s">
        <v>64</v>
      </c>
      <c r="P3825" t="s">
        <v>201</v>
      </c>
      <c r="R3825">
        <v>92.1</v>
      </c>
      <c r="T3825">
        <v>84.6</v>
      </c>
      <c r="V3825">
        <v>100</v>
      </c>
      <c r="W3825" t="s">
        <v>66</v>
      </c>
      <c r="X3825" t="s">
        <v>67</v>
      </c>
      <c r="Y3825" t="s">
        <v>67</v>
      </c>
      <c r="Z3825" t="s">
        <v>68</v>
      </c>
      <c r="AB3825">
        <v>4</v>
      </c>
      <c r="AC3825" t="s">
        <v>61</v>
      </c>
      <c r="AJ3825" t="s">
        <v>69</v>
      </c>
      <c r="AQ3825" t="s">
        <v>69</v>
      </c>
      <c r="AY3825" t="s">
        <v>2531</v>
      </c>
      <c r="AZ3825">
        <v>10130</v>
      </c>
      <c r="BA3825" t="s">
        <v>2532</v>
      </c>
      <c r="BB3825" t="s">
        <v>2533</v>
      </c>
      <c r="BC3825">
        <v>1983</v>
      </c>
      <c r="BD3825" t="s">
        <v>2559</v>
      </c>
    </row>
    <row r="3826" spans="1:56" x14ac:dyDescent="0.35">
      <c r="A3826">
        <v>12125029</v>
      </c>
      <c r="B3826" t="s">
        <v>2530</v>
      </c>
      <c r="D3826" t="s">
        <v>57</v>
      </c>
      <c r="E3826" t="s">
        <v>86</v>
      </c>
      <c r="F3826" t="s">
        <v>58</v>
      </c>
      <c r="G3826" t="s">
        <v>59</v>
      </c>
      <c r="H3826" t="s">
        <v>60</v>
      </c>
      <c r="I3826" t="s">
        <v>129</v>
      </c>
      <c r="J3826" t="s">
        <v>86</v>
      </c>
      <c r="L3826" t="s">
        <v>74</v>
      </c>
      <c r="M3826" t="s">
        <v>63</v>
      </c>
      <c r="N3826" t="s">
        <v>64</v>
      </c>
      <c r="P3826" t="s">
        <v>2154</v>
      </c>
      <c r="R3826">
        <v>0.43</v>
      </c>
      <c r="T3826">
        <v>0.4</v>
      </c>
      <c r="V3826">
        <v>0.46</v>
      </c>
      <c r="W3826" t="s">
        <v>66</v>
      </c>
      <c r="X3826" t="s">
        <v>67</v>
      </c>
      <c r="Y3826" t="s">
        <v>67</v>
      </c>
      <c r="Z3826" t="s">
        <v>68</v>
      </c>
      <c r="AB3826">
        <v>4</v>
      </c>
      <c r="AC3826" t="s">
        <v>61</v>
      </c>
      <c r="AJ3826" t="s">
        <v>69</v>
      </c>
      <c r="AY3826" t="s">
        <v>2560</v>
      </c>
      <c r="AZ3826">
        <v>69474</v>
      </c>
      <c r="BA3826" t="s">
        <v>2561</v>
      </c>
      <c r="BB3826" t="s">
        <v>2562</v>
      </c>
      <c r="BC3826">
        <v>1989</v>
      </c>
      <c r="BD3826" t="s">
        <v>90</v>
      </c>
    </row>
    <row r="3827" spans="1:56" x14ac:dyDescent="0.35">
      <c r="A3827">
        <v>12125029</v>
      </c>
      <c r="B3827" t="s">
        <v>2530</v>
      </c>
      <c r="C3827" t="s">
        <v>91</v>
      </c>
      <c r="D3827" t="s">
        <v>57</v>
      </c>
      <c r="E3827" t="s">
        <v>79</v>
      </c>
      <c r="F3827" t="s">
        <v>58</v>
      </c>
      <c r="G3827" t="s">
        <v>59</v>
      </c>
      <c r="H3827" t="s">
        <v>60</v>
      </c>
      <c r="J3827" t="s">
        <v>86</v>
      </c>
      <c r="L3827" t="s">
        <v>74</v>
      </c>
      <c r="M3827" t="s">
        <v>63</v>
      </c>
      <c r="N3827" t="s">
        <v>64</v>
      </c>
      <c r="P3827" t="s">
        <v>2154</v>
      </c>
      <c r="R3827">
        <v>1.62</v>
      </c>
      <c r="T3827">
        <v>1.52</v>
      </c>
      <c r="V3827">
        <v>1.74</v>
      </c>
      <c r="W3827" t="s">
        <v>66</v>
      </c>
      <c r="X3827" t="s">
        <v>67</v>
      </c>
      <c r="Y3827" t="s">
        <v>67</v>
      </c>
      <c r="Z3827" t="s">
        <v>68</v>
      </c>
      <c r="AB3827">
        <v>4</v>
      </c>
      <c r="AC3827" t="s">
        <v>61</v>
      </c>
      <c r="AJ3827" t="s">
        <v>69</v>
      </c>
      <c r="AY3827" t="s">
        <v>2538</v>
      </c>
      <c r="AZ3827">
        <v>12116</v>
      </c>
      <c r="BA3827" t="s">
        <v>2539</v>
      </c>
      <c r="BB3827" t="s">
        <v>2540</v>
      </c>
      <c r="BC3827">
        <v>1987</v>
      </c>
      <c r="BD3827" t="s">
        <v>90</v>
      </c>
    </row>
    <row r="3828" spans="1:56" x14ac:dyDescent="0.35">
      <c r="A3828">
        <v>12125029</v>
      </c>
      <c r="B3828" t="s">
        <v>2530</v>
      </c>
      <c r="C3828" t="s">
        <v>195</v>
      </c>
      <c r="D3828" t="s">
        <v>57</v>
      </c>
      <c r="E3828" t="s">
        <v>86</v>
      </c>
      <c r="F3828" t="s">
        <v>58</v>
      </c>
      <c r="G3828" t="s">
        <v>59</v>
      </c>
      <c r="H3828" t="s">
        <v>60</v>
      </c>
      <c r="J3828" t="s">
        <v>86</v>
      </c>
      <c r="K3828" t="s">
        <v>61</v>
      </c>
      <c r="L3828" t="s">
        <v>190</v>
      </c>
      <c r="M3828" t="s">
        <v>63</v>
      </c>
      <c r="N3828" t="s">
        <v>64</v>
      </c>
      <c r="O3828">
        <v>8</v>
      </c>
      <c r="P3828" t="s">
        <v>2154</v>
      </c>
      <c r="R3828">
        <v>1.05</v>
      </c>
      <c r="T3828">
        <v>0.96099999999999997</v>
      </c>
      <c r="V3828">
        <v>1.1499999999999999</v>
      </c>
      <c r="W3828" t="s">
        <v>66</v>
      </c>
      <c r="X3828" t="s">
        <v>67</v>
      </c>
      <c r="Y3828" t="s">
        <v>67</v>
      </c>
      <c r="Z3828" t="s">
        <v>68</v>
      </c>
      <c r="AB3828">
        <v>4</v>
      </c>
      <c r="AC3828" t="s">
        <v>61</v>
      </c>
      <c r="AJ3828" t="s">
        <v>69</v>
      </c>
      <c r="AY3828" t="s">
        <v>2541</v>
      </c>
      <c r="AZ3828">
        <v>86288</v>
      </c>
      <c r="BA3828" t="s">
        <v>2542</v>
      </c>
      <c r="BB3828" t="s">
        <v>2543</v>
      </c>
      <c r="BC3828">
        <v>1987</v>
      </c>
      <c r="BD3828" t="s">
        <v>2544</v>
      </c>
    </row>
    <row r="3829" spans="1:56" x14ac:dyDescent="0.35">
      <c r="A3829">
        <v>12125029</v>
      </c>
      <c r="B3829" t="s">
        <v>2530</v>
      </c>
      <c r="C3829" t="s">
        <v>195</v>
      </c>
      <c r="D3829" t="s">
        <v>57</v>
      </c>
      <c r="E3829" t="s">
        <v>86</v>
      </c>
      <c r="F3829" t="s">
        <v>58</v>
      </c>
      <c r="G3829" t="s">
        <v>59</v>
      </c>
      <c r="H3829" t="s">
        <v>60</v>
      </c>
      <c r="J3829" t="s">
        <v>86</v>
      </c>
      <c r="L3829" t="s">
        <v>74</v>
      </c>
      <c r="M3829" t="s">
        <v>63</v>
      </c>
      <c r="N3829" t="s">
        <v>64</v>
      </c>
      <c r="P3829" t="s">
        <v>201</v>
      </c>
      <c r="R3829">
        <v>74.599999999999994</v>
      </c>
      <c r="T3829">
        <v>68.099999999999994</v>
      </c>
      <c r="V3829">
        <v>81.599999999999994</v>
      </c>
      <c r="W3829" t="s">
        <v>66</v>
      </c>
      <c r="X3829" t="s">
        <v>67</v>
      </c>
      <c r="Y3829" t="s">
        <v>67</v>
      </c>
      <c r="Z3829" t="s">
        <v>68</v>
      </c>
      <c r="AB3829">
        <v>4</v>
      </c>
      <c r="AC3829" t="s">
        <v>61</v>
      </c>
      <c r="AJ3829" t="s">
        <v>69</v>
      </c>
      <c r="AQ3829" t="s">
        <v>69</v>
      </c>
      <c r="AY3829" t="s">
        <v>2531</v>
      </c>
      <c r="AZ3829">
        <v>10130</v>
      </c>
      <c r="BA3829" t="s">
        <v>2532</v>
      </c>
      <c r="BB3829" t="s">
        <v>2533</v>
      </c>
      <c r="BC3829">
        <v>1983</v>
      </c>
      <c r="BD3829" t="s">
        <v>2563</v>
      </c>
    </row>
    <row r="3830" spans="1:56" x14ac:dyDescent="0.35">
      <c r="A3830">
        <v>12125029</v>
      </c>
      <c r="B3830" t="s">
        <v>2530</v>
      </c>
      <c r="D3830" t="s">
        <v>57</v>
      </c>
      <c r="E3830" t="s">
        <v>86</v>
      </c>
      <c r="F3830" t="s">
        <v>58</v>
      </c>
      <c r="G3830" t="s">
        <v>59</v>
      </c>
      <c r="H3830" t="s">
        <v>60</v>
      </c>
      <c r="I3830" t="s">
        <v>188</v>
      </c>
      <c r="J3830" t="s">
        <v>86</v>
      </c>
      <c r="L3830" t="s">
        <v>74</v>
      </c>
      <c r="M3830" t="s">
        <v>63</v>
      </c>
      <c r="N3830" t="s">
        <v>64</v>
      </c>
      <c r="P3830" t="s">
        <v>2154</v>
      </c>
      <c r="R3830">
        <v>1.1200000000000001</v>
      </c>
      <c r="T3830">
        <v>0.96</v>
      </c>
      <c r="V3830">
        <v>1.3</v>
      </c>
      <c r="W3830" t="s">
        <v>66</v>
      </c>
      <c r="X3830" t="s">
        <v>67</v>
      </c>
      <c r="Y3830" t="s">
        <v>67</v>
      </c>
      <c r="Z3830" t="s">
        <v>68</v>
      </c>
      <c r="AB3830">
        <v>4</v>
      </c>
      <c r="AC3830" t="s">
        <v>61</v>
      </c>
      <c r="AJ3830" t="s">
        <v>69</v>
      </c>
      <c r="AY3830" t="s">
        <v>2560</v>
      </c>
      <c r="AZ3830">
        <v>69474</v>
      </c>
      <c r="BA3830" t="s">
        <v>2561</v>
      </c>
      <c r="BB3830" t="s">
        <v>2562</v>
      </c>
      <c r="BC3830">
        <v>1989</v>
      </c>
      <c r="BD3830" t="s">
        <v>90</v>
      </c>
    </row>
    <row r="3831" spans="1:56" x14ac:dyDescent="0.35">
      <c r="A3831">
        <v>12125029</v>
      </c>
      <c r="B3831" t="s">
        <v>2530</v>
      </c>
      <c r="C3831" t="s">
        <v>195</v>
      </c>
      <c r="D3831" t="s">
        <v>57</v>
      </c>
      <c r="E3831" t="s">
        <v>86</v>
      </c>
      <c r="F3831" t="s">
        <v>58</v>
      </c>
      <c r="G3831" t="s">
        <v>59</v>
      </c>
      <c r="H3831" t="s">
        <v>60</v>
      </c>
      <c r="J3831" t="s">
        <v>86</v>
      </c>
      <c r="L3831" t="s">
        <v>74</v>
      </c>
      <c r="M3831" t="s">
        <v>63</v>
      </c>
      <c r="N3831" t="s">
        <v>64</v>
      </c>
      <c r="P3831" t="s">
        <v>201</v>
      </c>
      <c r="R3831">
        <v>51.7</v>
      </c>
      <c r="T3831">
        <v>49.1</v>
      </c>
      <c r="V3831">
        <v>54.5</v>
      </c>
      <c r="W3831" t="s">
        <v>66</v>
      </c>
      <c r="X3831" t="s">
        <v>67</v>
      </c>
      <c r="Y3831" t="s">
        <v>67</v>
      </c>
      <c r="Z3831" t="s">
        <v>68</v>
      </c>
      <c r="AB3831">
        <v>4</v>
      </c>
      <c r="AC3831" t="s">
        <v>61</v>
      </c>
      <c r="AJ3831" t="s">
        <v>69</v>
      </c>
      <c r="AQ3831" t="s">
        <v>69</v>
      </c>
      <c r="AY3831" t="s">
        <v>2531</v>
      </c>
      <c r="AZ3831">
        <v>10130</v>
      </c>
      <c r="BA3831" t="s">
        <v>2532</v>
      </c>
      <c r="BB3831" t="s">
        <v>2533</v>
      </c>
      <c r="BC3831">
        <v>1983</v>
      </c>
      <c r="BD3831" t="s">
        <v>2564</v>
      </c>
    </row>
    <row r="3832" spans="1:56" x14ac:dyDescent="0.35">
      <c r="A3832">
        <v>12125029</v>
      </c>
      <c r="B3832" t="s">
        <v>2530</v>
      </c>
      <c r="D3832" t="s">
        <v>85</v>
      </c>
      <c r="E3832" t="s">
        <v>86</v>
      </c>
      <c r="F3832" t="s">
        <v>58</v>
      </c>
      <c r="G3832" t="s">
        <v>59</v>
      </c>
      <c r="H3832" t="s">
        <v>60</v>
      </c>
      <c r="I3832" t="s">
        <v>129</v>
      </c>
      <c r="J3832">
        <v>8</v>
      </c>
      <c r="K3832" t="s">
        <v>61</v>
      </c>
      <c r="L3832" t="s">
        <v>190</v>
      </c>
      <c r="M3832" t="s">
        <v>63</v>
      </c>
      <c r="N3832" t="s">
        <v>64</v>
      </c>
      <c r="P3832" t="s">
        <v>2154</v>
      </c>
      <c r="R3832">
        <v>0.25</v>
      </c>
      <c r="T3832">
        <v>0.20699999999999999</v>
      </c>
      <c r="V3832">
        <v>0.30399999999999999</v>
      </c>
      <c r="W3832" t="s">
        <v>66</v>
      </c>
      <c r="X3832" t="s">
        <v>67</v>
      </c>
      <c r="Y3832" t="s">
        <v>67</v>
      </c>
      <c r="Z3832" t="s">
        <v>68</v>
      </c>
      <c r="AB3832">
        <v>4</v>
      </c>
      <c r="AC3832" t="s">
        <v>61</v>
      </c>
      <c r="AJ3832" t="s">
        <v>69</v>
      </c>
      <c r="AY3832" t="s">
        <v>2565</v>
      </c>
      <c r="AZ3832">
        <v>6510</v>
      </c>
      <c r="BA3832" t="s">
        <v>2566</v>
      </c>
      <c r="BB3832" t="s">
        <v>2567</v>
      </c>
      <c r="BC3832">
        <v>1993</v>
      </c>
      <c r="BD3832" t="s">
        <v>73</v>
      </c>
    </row>
    <row r="3833" spans="1:56" x14ac:dyDescent="0.35">
      <c r="A3833">
        <v>12125029</v>
      </c>
      <c r="B3833" t="s">
        <v>2530</v>
      </c>
      <c r="D3833" t="s">
        <v>57</v>
      </c>
      <c r="E3833" t="s">
        <v>86</v>
      </c>
      <c r="F3833" t="s">
        <v>58</v>
      </c>
      <c r="G3833" t="s">
        <v>59</v>
      </c>
      <c r="H3833" t="s">
        <v>60</v>
      </c>
      <c r="J3833" t="s">
        <v>86</v>
      </c>
      <c r="L3833" t="s">
        <v>74</v>
      </c>
      <c r="M3833" t="s">
        <v>63</v>
      </c>
      <c r="N3833" t="s">
        <v>64</v>
      </c>
      <c r="P3833" t="s">
        <v>2154</v>
      </c>
      <c r="R3833">
        <v>1.44</v>
      </c>
      <c r="T3833">
        <v>1.36</v>
      </c>
      <c r="V3833">
        <v>1.56</v>
      </c>
      <c r="W3833" t="s">
        <v>66</v>
      </c>
      <c r="X3833" t="s">
        <v>67</v>
      </c>
      <c r="Y3833" t="s">
        <v>67</v>
      </c>
      <c r="Z3833" t="s">
        <v>68</v>
      </c>
      <c r="AB3833">
        <v>4</v>
      </c>
      <c r="AC3833" t="s">
        <v>61</v>
      </c>
      <c r="AJ3833" t="s">
        <v>69</v>
      </c>
      <c r="AY3833" t="s">
        <v>2568</v>
      </c>
      <c r="AZ3833">
        <v>10281</v>
      </c>
      <c r="BA3833" t="s">
        <v>2569</v>
      </c>
      <c r="BB3833" t="s">
        <v>2570</v>
      </c>
      <c r="BC3833">
        <v>1983</v>
      </c>
      <c r="BD3833" t="s">
        <v>90</v>
      </c>
    </row>
    <row r="3834" spans="1:56" x14ac:dyDescent="0.35">
      <c r="A3834">
        <v>12125029</v>
      </c>
      <c r="B3834" t="s">
        <v>2530</v>
      </c>
      <c r="D3834" t="s">
        <v>85</v>
      </c>
      <c r="E3834" t="s">
        <v>86</v>
      </c>
      <c r="F3834" t="s">
        <v>58</v>
      </c>
      <c r="G3834" t="s">
        <v>59</v>
      </c>
      <c r="H3834" t="s">
        <v>60</v>
      </c>
      <c r="J3834" t="s">
        <v>86</v>
      </c>
      <c r="L3834" t="s">
        <v>62</v>
      </c>
      <c r="M3834" t="s">
        <v>63</v>
      </c>
      <c r="N3834" t="s">
        <v>64</v>
      </c>
      <c r="P3834" t="s">
        <v>201</v>
      </c>
      <c r="R3834">
        <v>8</v>
      </c>
      <c r="T3834">
        <v>6</v>
      </c>
      <c r="V3834">
        <v>11</v>
      </c>
      <c r="W3834" t="s">
        <v>66</v>
      </c>
      <c r="X3834" t="s">
        <v>67</v>
      </c>
      <c r="Y3834" t="s">
        <v>67</v>
      </c>
      <c r="Z3834" t="s">
        <v>68</v>
      </c>
      <c r="AB3834">
        <v>4</v>
      </c>
      <c r="AC3834" t="s">
        <v>61</v>
      </c>
      <c r="AJ3834" t="s">
        <v>69</v>
      </c>
      <c r="AQ3834" t="s">
        <v>69</v>
      </c>
      <c r="AY3834" t="s">
        <v>2026</v>
      </c>
      <c r="AZ3834">
        <v>165613</v>
      </c>
      <c r="BA3834" t="s">
        <v>2027</v>
      </c>
      <c r="BB3834" t="s">
        <v>2028</v>
      </c>
      <c r="BC3834">
        <v>1980</v>
      </c>
      <c r="BD3834" t="s">
        <v>2571</v>
      </c>
    </row>
    <row r="3835" spans="1:56" x14ac:dyDescent="0.35">
      <c r="A3835">
        <v>12125029</v>
      </c>
      <c r="B3835" t="s">
        <v>2530</v>
      </c>
      <c r="C3835" t="s">
        <v>195</v>
      </c>
      <c r="D3835" t="s">
        <v>57</v>
      </c>
      <c r="E3835" t="s">
        <v>86</v>
      </c>
      <c r="F3835" t="s">
        <v>58</v>
      </c>
      <c r="G3835" t="s">
        <v>59</v>
      </c>
      <c r="H3835" t="s">
        <v>60</v>
      </c>
      <c r="J3835" t="s">
        <v>86</v>
      </c>
      <c r="L3835" t="s">
        <v>74</v>
      </c>
      <c r="M3835" t="s">
        <v>63</v>
      </c>
      <c r="N3835" t="s">
        <v>64</v>
      </c>
      <c r="P3835" t="s">
        <v>201</v>
      </c>
      <c r="R3835">
        <v>61.2</v>
      </c>
      <c r="T3835">
        <v>53.2</v>
      </c>
      <c r="V3835">
        <v>70.400000000000006</v>
      </c>
      <c r="W3835" t="s">
        <v>66</v>
      </c>
      <c r="X3835" t="s">
        <v>67</v>
      </c>
      <c r="Y3835" t="s">
        <v>67</v>
      </c>
      <c r="Z3835" t="s">
        <v>68</v>
      </c>
      <c r="AB3835">
        <v>4</v>
      </c>
      <c r="AC3835" t="s">
        <v>61</v>
      </c>
      <c r="AJ3835" t="s">
        <v>69</v>
      </c>
      <c r="AQ3835" t="s">
        <v>69</v>
      </c>
      <c r="AY3835" t="s">
        <v>2531</v>
      </c>
      <c r="AZ3835">
        <v>10130</v>
      </c>
      <c r="BA3835" t="s">
        <v>2532</v>
      </c>
      <c r="BB3835" t="s">
        <v>2533</v>
      </c>
      <c r="BC3835">
        <v>1983</v>
      </c>
      <c r="BD3835" t="s">
        <v>2572</v>
      </c>
    </row>
    <row r="3836" spans="1:56" x14ac:dyDescent="0.35">
      <c r="A3836">
        <v>12125029</v>
      </c>
      <c r="B3836" t="s">
        <v>2530</v>
      </c>
      <c r="C3836" t="s">
        <v>195</v>
      </c>
      <c r="D3836" t="s">
        <v>57</v>
      </c>
      <c r="E3836" t="s">
        <v>86</v>
      </c>
      <c r="F3836" t="s">
        <v>58</v>
      </c>
      <c r="G3836" t="s">
        <v>59</v>
      </c>
      <c r="H3836" t="s">
        <v>60</v>
      </c>
      <c r="J3836" t="s">
        <v>86</v>
      </c>
      <c r="K3836" t="s">
        <v>61</v>
      </c>
      <c r="L3836" t="s">
        <v>190</v>
      </c>
      <c r="M3836" t="s">
        <v>63</v>
      </c>
      <c r="N3836" t="s">
        <v>64</v>
      </c>
      <c r="O3836">
        <v>8</v>
      </c>
      <c r="P3836" t="s">
        <v>2154</v>
      </c>
      <c r="R3836">
        <v>1.06</v>
      </c>
      <c r="T3836">
        <v>0.71899999999999997</v>
      </c>
      <c r="V3836">
        <v>1.34</v>
      </c>
      <c r="W3836" t="s">
        <v>66</v>
      </c>
      <c r="X3836" t="s">
        <v>67</v>
      </c>
      <c r="Y3836" t="s">
        <v>67</v>
      </c>
      <c r="Z3836" t="s">
        <v>68</v>
      </c>
      <c r="AB3836">
        <v>4</v>
      </c>
      <c r="AC3836" t="s">
        <v>61</v>
      </c>
      <c r="AJ3836" t="s">
        <v>69</v>
      </c>
      <c r="AY3836" t="s">
        <v>2541</v>
      </c>
      <c r="AZ3836">
        <v>86288</v>
      </c>
      <c r="BA3836" t="s">
        <v>2542</v>
      </c>
      <c r="BB3836" t="s">
        <v>2543</v>
      </c>
      <c r="BC3836">
        <v>1987</v>
      </c>
      <c r="BD3836" t="s">
        <v>2544</v>
      </c>
    </row>
    <row r="3837" spans="1:56" x14ac:dyDescent="0.35">
      <c r="A3837">
        <v>12125029</v>
      </c>
      <c r="B3837" t="s">
        <v>2530</v>
      </c>
      <c r="D3837" t="s">
        <v>85</v>
      </c>
      <c r="E3837" t="s">
        <v>86</v>
      </c>
      <c r="F3837" t="s">
        <v>58</v>
      </c>
      <c r="G3837" t="s">
        <v>59</v>
      </c>
      <c r="H3837" t="s">
        <v>60</v>
      </c>
      <c r="J3837" t="s">
        <v>86</v>
      </c>
      <c r="L3837" t="s">
        <v>62</v>
      </c>
      <c r="M3837" t="s">
        <v>63</v>
      </c>
      <c r="N3837" t="s">
        <v>64</v>
      </c>
      <c r="P3837" t="s">
        <v>201</v>
      </c>
      <c r="R3837">
        <v>31</v>
      </c>
      <c r="T3837">
        <v>28</v>
      </c>
      <c r="V3837">
        <v>33</v>
      </c>
      <c r="W3837" t="s">
        <v>66</v>
      </c>
      <c r="X3837" t="s">
        <v>67</v>
      </c>
      <c r="Y3837" t="s">
        <v>67</v>
      </c>
      <c r="Z3837" t="s">
        <v>68</v>
      </c>
      <c r="AB3837">
        <v>4</v>
      </c>
      <c r="AC3837" t="s">
        <v>61</v>
      </c>
      <c r="AJ3837" t="s">
        <v>69</v>
      </c>
      <c r="AQ3837" t="s">
        <v>69</v>
      </c>
      <c r="AY3837" t="s">
        <v>2026</v>
      </c>
      <c r="AZ3837">
        <v>165613</v>
      </c>
      <c r="BA3837" t="s">
        <v>2027</v>
      </c>
      <c r="BB3837" t="s">
        <v>2028</v>
      </c>
      <c r="BC3837">
        <v>1980</v>
      </c>
      <c r="BD3837" t="s">
        <v>2573</v>
      </c>
    </row>
    <row r="3838" spans="1:56" x14ac:dyDescent="0.35">
      <c r="A3838">
        <v>12125029</v>
      </c>
      <c r="B3838" t="s">
        <v>2530</v>
      </c>
      <c r="C3838" t="s">
        <v>195</v>
      </c>
      <c r="D3838" t="s">
        <v>57</v>
      </c>
      <c r="E3838" t="s">
        <v>86</v>
      </c>
      <c r="F3838" t="s">
        <v>58</v>
      </c>
      <c r="G3838" t="s">
        <v>59</v>
      </c>
      <c r="H3838" t="s">
        <v>60</v>
      </c>
      <c r="J3838" t="s">
        <v>86</v>
      </c>
      <c r="K3838" t="s">
        <v>61</v>
      </c>
      <c r="L3838" t="s">
        <v>190</v>
      </c>
      <c r="M3838" t="s">
        <v>63</v>
      </c>
      <c r="N3838" t="s">
        <v>64</v>
      </c>
      <c r="O3838">
        <v>8</v>
      </c>
      <c r="P3838" t="s">
        <v>2154</v>
      </c>
      <c r="R3838">
        <v>1.05</v>
      </c>
      <c r="T3838">
        <v>0.91400000000000003</v>
      </c>
      <c r="V3838">
        <v>1.21</v>
      </c>
      <c r="W3838" t="s">
        <v>66</v>
      </c>
      <c r="X3838" t="s">
        <v>67</v>
      </c>
      <c r="Y3838" t="s">
        <v>67</v>
      </c>
      <c r="Z3838" t="s">
        <v>68</v>
      </c>
      <c r="AB3838">
        <v>4</v>
      </c>
      <c r="AC3838" t="s">
        <v>61</v>
      </c>
      <c r="AJ3838" t="s">
        <v>69</v>
      </c>
      <c r="AY3838" t="s">
        <v>2541</v>
      </c>
      <c r="AZ3838">
        <v>86288</v>
      </c>
      <c r="BA3838" t="s">
        <v>2542</v>
      </c>
      <c r="BB3838" t="s">
        <v>2543</v>
      </c>
      <c r="BC3838">
        <v>1987</v>
      </c>
      <c r="BD3838" t="s">
        <v>2544</v>
      </c>
    </row>
    <row r="3839" spans="1:56" x14ac:dyDescent="0.35">
      <c r="A3839">
        <v>12125029</v>
      </c>
      <c r="B3839" t="s">
        <v>2530</v>
      </c>
      <c r="D3839" t="s">
        <v>57</v>
      </c>
      <c r="E3839" t="s">
        <v>86</v>
      </c>
      <c r="F3839" t="s">
        <v>58</v>
      </c>
      <c r="G3839" t="s">
        <v>59</v>
      </c>
      <c r="H3839" t="s">
        <v>60</v>
      </c>
      <c r="J3839" t="s">
        <v>86</v>
      </c>
      <c r="L3839" t="s">
        <v>74</v>
      </c>
      <c r="M3839" t="s">
        <v>63</v>
      </c>
      <c r="N3839" t="s">
        <v>64</v>
      </c>
      <c r="P3839" t="s">
        <v>201</v>
      </c>
      <c r="R3839">
        <v>47.1</v>
      </c>
      <c r="T3839">
        <v>42</v>
      </c>
      <c r="V3839">
        <v>52.7</v>
      </c>
      <c r="W3839" t="s">
        <v>66</v>
      </c>
      <c r="X3839" t="s">
        <v>67</v>
      </c>
      <c r="Y3839" t="s">
        <v>67</v>
      </c>
      <c r="Z3839" t="s">
        <v>68</v>
      </c>
      <c r="AB3839">
        <v>4</v>
      </c>
      <c r="AC3839" t="s">
        <v>61</v>
      </c>
      <c r="AJ3839" t="s">
        <v>69</v>
      </c>
      <c r="AQ3839" t="s">
        <v>69</v>
      </c>
      <c r="AY3839" t="s">
        <v>2549</v>
      </c>
      <c r="AZ3839">
        <v>10303</v>
      </c>
      <c r="BA3839" t="s">
        <v>2550</v>
      </c>
      <c r="BB3839" t="s">
        <v>2551</v>
      </c>
      <c r="BC3839">
        <v>1981</v>
      </c>
      <c r="BD3839" t="s">
        <v>2574</v>
      </c>
    </row>
    <row r="3840" spans="1:56" x14ac:dyDescent="0.35">
      <c r="A3840">
        <v>12125029</v>
      </c>
      <c r="B3840" t="s">
        <v>2530</v>
      </c>
      <c r="C3840" t="s">
        <v>195</v>
      </c>
      <c r="D3840" t="s">
        <v>57</v>
      </c>
      <c r="E3840" t="s">
        <v>86</v>
      </c>
      <c r="F3840" t="s">
        <v>58</v>
      </c>
      <c r="G3840" t="s">
        <v>59</v>
      </c>
      <c r="H3840" t="s">
        <v>60</v>
      </c>
      <c r="J3840" t="s">
        <v>86</v>
      </c>
      <c r="L3840" t="s">
        <v>74</v>
      </c>
      <c r="M3840" t="s">
        <v>63</v>
      </c>
      <c r="N3840" t="s">
        <v>64</v>
      </c>
      <c r="P3840" t="s">
        <v>201</v>
      </c>
      <c r="R3840">
        <v>50.6</v>
      </c>
      <c r="T3840">
        <v>47</v>
      </c>
      <c r="V3840">
        <v>54.6</v>
      </c>
      <c r="W3840" t="s">
        <v>66</v>
      </c>
      <c r="X3840" t="s">
        <v>67</v>
      </c>
      <c r="Y3840" t="s">
        <v>67</v>
      </c>
      <c r="Z3840" t="s">
        <v>68</v>
      </c>
      <c r="AB3840">
        <v>4</v>
      </c>
      <c r="AC3840" t="s">
        <v>61</v>
      </c>
      <c r="AJ3840" t="s">
        <v>69</v>
      </c>
      <c r="AQ3840" t="s">
        <v>69</v>
      </c>
      <c r="AY3840" t="s">
        <v>2531</v>
      </c>
      <c r="AZ3840">
        <v>10130</v>
      </c>
      <c r="BA3840" t="s">
        <v>2532</v>
      </c>
      <c r="BB3840" t="s">
        <v>2533</v>
      </c>
      <c r="BC3840">
        <v>1983</v>
      </c>
      <c r="BD3840" t="s">
        <v>2575</v>
      </c>
    </row>
    <row r="3841" spans="1:56" x14ac:dyDescent="0.35">
      <c r="A3841">
        <v>12125029</v>
      </c>
      <c r="B3841" t="s">
        <v>2530</v>
      </c>
      <c r="C3841" t="s">
        <v>195</v>
      </c>
      <c r="D3841" t="s">
        <v>57</v>
      </c>
      <c r="E3841" t="s">
        <v>86</v>
      </c>
      <c r="F3841" t="s">
        <v>58</v>
      </c>
      <c r="G3841" t="s">
        <v>59</v>
      </c>
      <c r="H3841" t="s">
        <v>60</v>
      </c>
      <c r="J3841" t="s">
        <v>86</v>
      </c>
      <c r="L3841" t="s">
        <v>74</v>
      </c>
      <c r="M3841" t="s">
        <v>63</v>
      </c>
      <c r="N3841" t="s">
        <v>64</v>
      </c>
      <c r="P3841" t="s">
        <v>201</v>
      </c>
      <c r="R3841">
        <v>58.4</v>
      </c>
      <c r="T3841">
        <v>52.5</v>
      </c>
      <c r="V3841">
        <v>64.900000000000006</v>
      </c>
      <c r="W3841" t="s">
        <v>66</v>
      </c>
      <c r="X3841" t="s">
        <v>67</v>
      </c>
      <c r="Y3841" t="s">
        <v>67</v>
      </c>
      <c r="Z3841" t="s">
        <v>68</v>
      </c>
      <c r="AB3841">
        <v>4</v>
      </c>
      <c r="AC3841" t="s">
        <v>61</v>
      </c>
      <c r="AJ3841" t="s">
        <v>69</v>
      </c>
      <c r="AQ3841" t="s">
        <v>69</v>
      </c>
      <c r="AY3841" t="s">
        <v>2531</v>
      </c>
      <c r="AZ3841">
        <v>10130</v>
      </c>
      <c r="BA3841" t="s">
        <v>2532</v>
      </c>
      <c r="BB3841" t="s">
        <v>2533</v>
      </c>
      <c r="BC3841">
        <v>1983</v>
      </c>
      <c r="BD3841" t="s">
        <v>2576</v>
      </c>
    </row>
    <row r="3842" spans="1:56" x14ac:dyDescent="0.35">
      <c r="A3842">
        <v>12125029</v>
      </c>
      <c r="B3842" t="s">
        <v>2530</v>
      </c>
      <c r="C3842" t="s">
        <v>195</v>
      </c>
      <c r="D3842" t="s">
        <v>57</v>
      </c>
      <c r="E3842" t="s">
        <v>86</v>
      </c>
      <c r="F3842" t="s">
        <v>58</v>
      </c>
      <c r="G3842" t="s">
        <v>59</v>
      </c>
      <c r="H3842" t="s">
        <v>60</v>
      </c>
      <c r="J3842" t="s">
        <v>86</v>
      </c>
      <c r="L3842" t="s">
        <v>74</v>
      </c>
      <c r="M3842" t="s">
        <v>63</v>
      </c>
      <c r="N3842" t="s">
        <v>64</v>
      </c>
      <c r="P3842" t="s">
        <v>201</v>
      </c>
      <c r="R3842">
        <v>44.5</v>
      </c>
      <c r="T3842">
        <v>42.2</v>
      </c>
      <c r="V3842">
        <v>46.9</v>
      </c>
      <c r="W3842" t="s">
        <v>66</v>
      </c>
      <c r="X3842" t="s">
        <v>67</v>
      </c>
      <c r="Y3842" t="s">
        <v>67</v>
      </c>
      <c r="Z3842" t="s">
        <v>68</v>
      </c>
      <c r="AB3842">
        <v>4</v>
      </c>
      <c r="AC3842" t="s">
        <v>61</v>
      </c>
      <c r="AJ3842" t="s">
        <v>69</v>
      </c>
      <c r="AQ3842" t="s">
        <v>69</v>
      </c>
      <c r="AY3842" t="s">
        <v>2531</v>
      </c>
      <c r="AZ3842">
        <v>10130</v>
      </c>
      <c r="BA3842" t="s">
        <v>2532</v>
      </c>
      <c r="BB3842" t="s">
        <v>2533</v>
      </c>
      <c r="BC3842">
        <v>1983</v>
      </c>
      <c r="BD3842" t="s">
        <v>2577</v>
      </c>
    </row>
    <row r="3843" spans="1:56" x14ac:dyDescent="0.35">
      <c r="A3843">
        <v>12125029</v>
      </c>
      <c r="B3843" t="s">
        <v>2530</v>
      </c>
      <c r="D3843" t="s">
        <v>85</v>
      </c>
      <c r="E3843" t="s">
        <v>86</v>
      </c>
      <c r="F3843" t="s">
        <v>58</v>
      </c>
      <c r="G3843" t="s">
        <v>59</v>
      </c>
      <c r="H3843" t="s">
        <v>60</v>
      </c>
      <c r="J3843" t="s">
        <v>86</v>
      </c>
      <c r="L3843" t="s">
        <v>62</v>
      </c>
      <c r="M3843" t="s">
        <v>63</v>
      </c>
      <c r="N3843" t="s">
        <v>64</v>
      </c>
      <c r="P3843" t="s">
        <v>201</v>
      </c>
      <c r="R3843">
        <v>18</v>
      </c>
      <c r="T3843">
        <v>17</v>
      </c>
      <c r="V3843">
        <v>19</v>
      </c>
      <c r="W3843" t="s">
        <v>66</v>
      </c>
      <c r="X3843" t="s">
        <v>67</v>
      </c>
      <c r="Y3843" t="s">
        <v>67</v>
      </c>
      <c r="Z3843" t="s">
        <v>68</v>
      </c>
      <c r="AB3843">
        <v>4</v>
      </c>
      <c r="AC3843" t="s">
        <v>61</v>
      </c>
      <c r="AJ3843" t="s">
        <v>69</v>
      </c>
      <c r="AQ3843" t="s">
        <v>69</v>
      </c>
      <c r="AY3843" t="s">
        <v>2026</v>
      </c>
      <c r="AZ3843">
        <v>165613</v>
      </c>
      <c r="BA3843" t="s">
        <v>2027</v>
      </c>
      <c r="BB3843" t="s">
        <v>2028</v>
      </c>
      <c r="BC3843">
        <v>1980</v>
      </c>
      <c r="BD3843" t="s">
        <v>2578</v>
      </c>
    </row>
    <row r="3844" spans="1:56" x14ac:dyDescent="0.35">
      <c r="A3844">
        <v>12125029</v>
      </c>
      <c r="B3844" t="s">
        <v>2530</v>
      </c>
      <c r="C3844" t="s">
        <v>195</v>
      </c>
      <c r="D3844" t="s">
        <v>57</v>
      </c>
      <c r="E3844" t="s">
        <v>86</v>
      </c>
      <c r="F3844" t="s">
        <v>58</v>
      </c>
      <c r="G3844" t="s">
        <v>59</v>
      </c>
      <c r="H3844" t="s">
        <v>60</v>
      </c>
      <c r="J3844" t="s">
        <v>86</v>
      </c>
      <c r="L3844" t="s">
        <v>74</v>
      </c>
      <c r="M3844" t="s">
        <v>63</v>
      </c>
      <c r="N3844" t="s">
        <v>64</v>
      </c>
      <c r="P3844" t="s">
        <v>201</v>
      </c>
      <c r="R3844">
        <v>89.7</v>
      </c>
      <c r="T3844">
        <v>78.900000000000006</v>
      </c>
      <c r="V3844">
        <v>102</v>
      </c>
      <c r="W3844" t="s">
        <v>66</v>
      </c>
      <c r="X3844" t="s">
        <v>67</v>
      </c>
      <c r="Y3844" t="s">
        <v>67</v>
      </c>
      <c r="Z3844" t="s">
        <v>68</v>
      </c>
      <c r="AB3844">
        <v>4</v>
      </c>
      <c r="AC3844" t="s">
        <v>61</v>
      </c>
      <c r="AJ3844" t="s">
        <v>69</v>
      </c>
      <c r="AQ3844" t="s">
        <v>69</v>
      </c>
      <c r="AY3844" t="s">
        <v>2531</v>
      </c>
      <c r="AZ3844">
        <v>10130</v>
      </c>
      <c r="BA3844" t="s">
        <v>2532</v>
      </c>
      <c r="BB3844" t="s">
        <v>2533</v>
      </c>
      <c r="BC3844">
        <v>1983</v>
      </c>
      <c r="BD3844" t="s">
        <v>2579</v>
      </c>
    </row>
    <row r="3845" spans="1:56" x14ac:dyDescent="0.35">
      <c r="A3845">
        <v>12125029</v>
      </c>
      <c r="B3845" t="s">
        <v>2530</v>
      </c>
      <c r="C3845" t="s">
        <v>195</v>
      </c>
      <c r="D3845" t="s">
        <v>57</v>
      </c>
      <c r="E3845" t="s">
        <v>86</v>
      </c>
      <c r="F3845" t="s">
        <v>58</v>
      </c>
      <c r="G3845" t="s">
        <v>59</v>
      </c>
      <c r="H3845" t="s">
        <v>60</v>
      </c>
      <c r="J3845" t="s">
        <v>86</v>
      </c>
      <c r="L3845" t="s">
        <v>74</v>
      </c>
      <c r="M3845" t="s">
        <v>63</v>
      </c>
      <c r="N3845" t="s">
        <v>64</v>
      </c>
      <c r="P3845" t="s">
        <v>201</v>
      </c>
      <c r="R3845">
        <v>66.400000000000006</v>
      </c>
      <c r="T3845">
        <v>60.7</v>
      </c>
      <c r="V3845">
        <v>72.7</v>
      </c>
      <c r="W3845" t="s">
        <v>66</v>
      </c>
      <c r="X3845" t="s">
        <v>67</v>
      </c>
      <c r="Y3845" t="s">
        <v>67</v>
      </c>
      <c r="Z3845" t="s">
        <v>68</v>
      </c>
      <c r="AB3845">
        <v>4</v>
      </c>
      <c r="AC3845" t="s">
        <v>61</v>
      </c>
      <c r="AJ3845" t="s">
        <v>69</v>
      </c>
      <c r="AQ3845" t="s">
        <v>69</v>
      </c>
      <c r="AY3845" t="s">
        <v>2531</v>
      </c>
      <c r="AZ3845">
        <v>10130</v>
      </c>
      <c r="BA3845" t="s">
        <v>2532</v>
      </c>
      <c r="BB3845" t="s">
        <v>2533</v>
      </c>
      <c r="BC3845">
        <v>1983</v>
      </c>
      <c r="BD3845" t="s">
        <v>2580</v>
      </c>
    </row>
    <row r="3846" spans="1:56" x14ac:dyDescent="0.35">
      <c r="A3846">
        <v>12125029</v>
      </c>
      <c r="B3846" t="s">
        <v>2530</v>
      </c>
      <c r="C3846" t="s">
        <v>195</v>
      </c>
      <c r="D3846" t="s">
        <v>57</v>
      </c>
      <c r="E3846" t="s">
        <v>86</v>
      </c>
      <c r="F3846" t="s">
        <v>58</v>
      </c>
      <c r="G3846" t="s">
        <v>59</v>
      </c>
      <c r="H3846" t="s">
        <v>60</v>
      </c>
      <c r="J3846" t="s">
        <v>86</v>
      </c>
      <c r="K3846" t="s">
        <v>61</v>
      </c>
      <c r="L3846" t="s">
        <v>190</v>
      </c>
      <c r="M3846" t="s">
        <v>63</v>
      </c>
      <c r="N3846" t="s">
        <v>64</v>
      </c>
      <c r="O3846">
        <v>8</v>
      </c>
      <c r="P3846" t="s">
        <v>2154</v>
      </c>
      <c r="R3846">
        <v>1.18</v>
      </c>
      <c r="T3846">
        <v>1.07</v>
      </c>
      <c r="V3846">
        <v>1.31</v>
      </c>
      <c r="W3846" t="s">
        <v>66</v>
      </c>
      <c r="X3846" t="s">
        <v>67</v>
      </c>
      <c r="Y3846" t="s">
        <v>67</v>
      </c>
      <c r="Z3846" t="s">
        <v>68</v>
      </c>
      <c r="AB3846">
        <v>4</v>
      </c>
      <c r="AC3846" t="s">
        <v>61</v>
      </c>
      <c r="AJ3846" t="s">
        <v>69</v>
      </c>
      <c r="AY3846" t="s">
        <v>2541</v>
      </c>
      <c r="AZ3846">
        <v>86288</v>
      </c>
      <c r="BA3846" t="s">
        <v>2542</v>
      </c>
      <c r="BB3846" t="s">
        <v>2543</v>
      </c>
      <c r="BC3846">
        <v>1987</v>
      </c>
      <c r="BD3846" t="s">
        <v>2544</v>
      </c>
    </row>
    <row r="3847" spans="1:56" x14ac:dyDescent="0.35">
      <c r="A3847">
        <v>12125029</v>
      </c>
      <c r="B3847" t="s">
        <v>2530</v>
      </c>
      <c r="C3847" t="s">
        <v>195</v>
      </c>
      <c r="D3847" t="s">
        <v>57</v>
      </c>
      <c r="E3847" t="s">
        <v>86</v>
      </c>
      <c r="F3847" t="s">
        <v>58</v>
      </c>
      <c r="G3847" t="s">
        <v>59</v>
      </c>
      <c r="H3847" t="s">
        <v>60</v>
      </c>
      <c r="J3847" t="s">
        <v>86</v>
      </c>
      <c r="K3847" t="s">
        <v>61</v>
      </c>
      <c r="L3847" t="s">
        <v>190</v>
      </c>
      <c r="M3847" t="s">
        <v>63</v>
      </c>
      <c r="N3847" t="s">
        <v>64</v>
      </c>
      <c r="O3847">
        <v>8</v>
      </c>
      <c r="P3847" t="s">
        <v>2154</v>
      </c>
      <c r="R3847">
        <v>1.04</v>
      </c>
      <c r="T3847">
        <v>0.91</v>
      </c>
      <c r="V3847">
        <v>1.18</v>
      </c>
      <c r="W3847" t="s">
        <v>66</v>
      </c>
      <c r="X3847" t="s">
        <v>67</v>
      </c>
      <c r="Y3847" t="s">
        <v>67</v>
      </c>
      <c r="Z3847" t="s">
        <v>68</v>
      </c>
      <c r="AB3847">
        <v>4</v>
      </c>
      <c r="AC3847" t="s">
        <v>61</v>
      </c>
      <c r="AJ3847" t="s">
        <v>69</v>
      </c>
      <c r="AY3847" t="s">
        <v>2541</v>
      </c>
      <c r="AZ3847">
        <v>86288</v>
      </c>
      <c r="BA3847" t="s">
        <v>2542</v>
      </c>
      <c r="BB3847" t="s">
        <v>2543</v>
      </c>
      <c r="BC3847">
        <v>1987</v>
      </c>
      <c r="BD3847" t="s">
        <v>2544</v>
      </c>
    </row>
    <row r="3848" spans="1:56" x14ac:dyDescent="0.35">
      <c r="A3848">
        <v>12125029</v>
      </c>
      <c r="B3848" t="s">
        <v>2530</v>
      </c>
      <c r="C3848" t="s">
        <v>195</v>
      </c>
      <c r="D3848" t="s">
        <v>57</v>
      </c>
      <c r="E3848" t="s">
        <v>86</v>
      </c>
      <c r="F3848" t="s">
        <v>58</v>
      </c>
      <c r="G3848" t="s">
        <v>59</v>
      </c>
      <c r="H3848" t="s">
        <v>60</v>
      </c>
      <c r="I3848" t="s">
        <v>129</v>
      </c>
      <c r="J3848" t="s">
        <v>86</v>
      </c>
      <c r="L3848" t="s">
        <v>74</v>
      </c>
      <c r="M3848" t="s">
        <v>63</v>
      </c>
      <c r="N3848" t="s">
        <v>64</v>
      </c>
      <c r="P3848" t="s">
        <v>201</v>
      </c>
      <c r="R3848">
        <v>22.6</v>
      </c>
      <c r="T3848">
        <v>14.43</v>
      </c>
      <c r="V3848">
        <v>32.119999999999997</v>
      </c>
      <c r="W3848" t="s">
        <v>66</v>
      </c>
      <c r="X3848" t="s">
        <v>67</v>
      </c>
      <c r="Y3848" t="s">
        <v>67</v>
      </c>
      <c r="Z3848" t="s">
        <v>68</v>
      </c>
      <c r="AB3848">
        <v>4</v>
      </c>
      <c r="AC3848" t="s">
        <v>61</v>
      </c>
      <c r="AJ3848" t="s">
        <v>69</v>
      </c>
      <c r="AQ3848" t="s">
        <v>69</v>
      </c>
      <c r="AY3848" t="s">
        <v>2581</v>
      </c>
      <c r="AZ3848">
        <v>14556</v>
      </c>
      <c r="BA3848" t="s">
        <v>2582</v>
      </c>
      <c r="BB3848" t="s">
        <v>2583</v>
      </c>
      <c r="BC3848">
        <v>1982</v>
      </c>
      <c r="BD3848" t="s">
        <v>2584</v>
      </c>
    </row>
    <row r="3849" spans="1:56" x14ac:dyDescent="0.35">
      <c r="A3849">
        <v>12125029</v>
      </c>
      <c r="B3849" t="s">
        <v>2530</v>
      </c>
      <c r="D3849" t="s">
        <v>57</v>
      </c>
      <c r="E3849" t="s">
        <v>86</v>
      </c>
      <c r="F3849" t="s">
        <v>58</v>
      </c>
      <c r="G3849" t="s">
        <v>59</v>
      </c>
      <c r="H3849" t="s">
        <v>60</v>
      </c>
      <c r="J3849" t="s">
        <v>86</v>
      </c>
      <c r="L3849" t="s">
        <v>74</v>
      </c>
      <c r="M3849" t="s">
        <v>63</v>
      </c>
      <c r="N3849" t="s">
        <v>64</v>
      </c>
      <c r="P3849" t="s">
        <v>201</v>
      </c>
      <c r="R3849">
        <v>5.93</v>
      </c>
      <c r="T3849">
        <v>5.07</v>
      </c>
      <c r="V3849">
        <v>6.92</v>
      </c>
      <c r="W3849" t="s">
        <v>66</v>
      </c>
      <c r="X3849" t="s">
        <v>67</v>
      </c>
      <c r="Y3849" t="s">
        <v>67</v>
      </c>
      <c r="Z3849" t="s">
        <v>68</v>
      </c>
      <c r="AB3849">
        <v>4</v>
      </c>
      <c r="AC3849" t="s">
        <v>61</v>
      </c>
      <c r="AJ3849" t="s">
        <v>69</v>
      </c>
      <c r="AQ3849" t="s">
        <v>69</v>
      </c>
      <c r="AY3849" t="s">
        <v>2549</v>
      </c>
      <c r="AZ3849">
        <v>10303</v>
      </c>
      <c r="BA3849" t="s">
        <v>2550</v>
      </c>
      <c r="BB3849" t="s">
        <v>2551</v>
      </c>
      <c r="BC3849">
        <v>1981</v>
      </c>
      <c r="BD3849" t="s">
        <v>2585</v>
      </c>
    </row>
    <row r="3850" spans="1:56" x14ac:dyDescent="0.35">
      <c r="A3850">
        <v>12125029</v>
      </c>
      <c r="B3850" t="s">
        <v>2530</v>
      </c>
      <c r="D3850" t="s">
        <v>85</v>
      </c>
      <c r="E3850">
        <v>99.7</v>
      </c>
      <c r="F3850" t="s">
        <v>58</v>
      </c>
      <c r="G3850" t="s">
        <v>59</v>
      </c>
      <c r="H3850" t="s">
        <v>60</v>
      </c>
      <c r="I3850" t="s">
        <v>129</v>
      </c>
      <c r="J3850" t="s">
        <v>86</v>
      </c>
      <c r="L3850" t="s">
        <v>74</v>
      </c>
      <c r="M3850" t="s">
        <v>63</v>
      </c>
      <c r="N3850" t="s">
        <v>64</v>
      </c>
      <c r="P3850" t="s">
        <v>2154</v>
      </c>
      <c r="R3850">
        <v>1.5</v>
      </c>
      <c r="T3850">
        <v>1.37</v>
      </c>
      <c r="V3850">
        <v>1.67</v>
      </c>
      <c r="W3850" t="s">
        <v>66</v>
      </c>
      <c r="X3850" t="s">
        <v>67</v>
      </c>
      <c r="Y3850" t="s">
        <v>67</v>
      </c>
      <c r="Z3850" t="s">
        <v>68</v>
      </c>
      <c r="AB3850">
        <v>4</v>
      </c>
      <c r="AC3850" t="s">
        <v>61</v>
      </c>
      <c r="AJ3850" t="s">
        <v>69</v>
      </c>
      <c r="AY3850" t="s">
        <v>2586</v>
      </c>
      <c r="AZ3850">
        <v>12303</v>
      </c>
      <c r="BA3850" t="s">
        <v>2587</v>
      </c>
      <c r="BB3850" t="s">
        <v>2588</v>
      </c>
      <c r="BC3850">
        <v>1986</v>
      </c>
      <c r="BD3850" t="s">
        <v>90</v>
      </c>
    </row>
    <row r="3851" spans="1:56" x14ac:dyDescent="0.35">
      <c r="A3851">
        <v>12125029</v>
      </c>
      <c r="B3851" t="s">
        <v>2530</v>
      </c>
      <c r="C3851" t="s">
        <v>195</v>
      </c>
      <c r="D3851" t="s">
        <v>57</v>
      </c>
      <c r="E3851" t="s">
        <v>86</v>
      </c>
      <c r="F3851" t="s">
        <v>58</v>
      </c>
      <c r="G3851" t="s">
        <v>59</v>
      </c>
      <c r="H3851" t="s">
        <v>60</v>
      </c>
      <c r="J3851" t="s">
        <v>86</v>
      </c>
      <c r="L3851" t="s">
        <v>74</v>
      </c>
      <c r="M3851" t="s">
        <v>63</v>
      </c>
      <c r="N3851" t="s">
        <v>64</v>
      </c>
      <c r="P3851" t="s">
        <v>201</v>
      </c>
      <c r="R3851">
        <v>67</v>
      </c>
      <c r="T3851">
        <v>61.5</v>
      </c>
      <c r="V3851">
        <v>72.900000000000006</v>
      </c>
      <c r="W3851" t="s">
        <v>66</v>
      </c>
      <c r="X3851" t="s">
        <v>67</v>
      </c>
      <c r="Y3851" t="s">
        <v>67</v>
      </c>
      <c r="Z3851" t="s">
        <v>68</v>
      </c>
      <c r="AB3851">
        <v>4</v>
      </c>
      <c r="AC3851" t="s">
        <v>61</v>
      </c>
      <c r="AJ3851" t="s">
        <v>69</v>
      </c>
      <c r="AQ3851" t="s">
        <v>69</v>
      </c>
      <c r="AY3851" t="s">
        <v>2531</v>
      </c>
      <c r="AZ3851">
        <v>10130</v>
      </c>
      <c r="BA3851" t="s">
        <v>2532</v>
      </c>
      <c r="BB3851" t="s">
        <v>2533</v>
      </c>
      <c r="BC3851">
        <v>1983</v>
      </c>
      <c r="BD3851" t="s">
        <v>2589</v>
      </c>
    </row>
    <row r="3852" spans="1:56" x14ac:dyDescent="0.35">
      <c r="A3852">
        <v>12125029</v>
      </c>
      <c r="B3852" t="s">
        <v>2530</v>
      </c>
      <c r="D3852" t="s">
        <v>85</v>
      </c>
      <c r="E3852" t="s">
        <v>86</v>
      </c>
      <c r="F3852" t="s">
        <v>58</v>
      </c>
      <c r="G3852" t="s">
        <v>59</v>
      </c>
      <c r="H3852" t="s">
        <v>60</v>
      </c>
      <c r="I3852" t="s">
        <v>129</v>
      </c>
      <c r="J3852">
        <v>8</v>
      </c>
      <c r="K3852" t="s">
        <v>61</v>
      </c>
      <c r="L3852" t="s">
        <v>190</v>
      </c>
      <c r="M3852" t="s">
        <v>63</v>
      </c>
      <c r="N3852" t="s">
        <v>64</v>
      </c>
      <c r="P3852" t="s">
        <v>2154</v>
      </c>
      <c r="R3852">
        <v>0.28299999999999997</v>
      </c>
      <c r="T3852">
        <v>0.21199999999999999</v>
      </c>
      <c r="V3852">
        <v>0.35499999999999998</v>
      </c>
      <c r="W3852" t="s">
        <v>66</v>
      </c>
      <c r="X3852" t="s">
        <v>67</v>
      </c>
      <c r="Y3852" t="s">
        <v>67</v>
      </c>
      <c r="Z3852" t="s">
        <v>68</v>
      </c>
      <c r="AB3852">
        <v>4</v>
      </c>
      <c r="AC3852" t="s">
        <v>61</v>
      </c>
      <c r="AJ3852" t="s">
        <v>69</v>
      </c>
      <c r="AY3852" t="s">
        <v>2565</v>
      </c>
      <c r="AZ3852">
        <v>6510</v>
      </c>
      <c r="BA3852" t="s">
        <v>2566</v>
      </c>
      <c r="BB3852" t="s">
        <v>2567</v>
      </c>
      <c r="BC3852">
        <v>1993</v>
      </c>
      <c r="BD3852" t="s">
        <v>73</v>
      </c>
    </row>
    <row r="3853" spans="1:56" x14ac:dyDescent="0.35">
      <c r="A3853">
        <v>12125029</v>
      </c>
      <c r="B3853" t="s">
        <v>2530</v>
      </c>
      <c r="C3853" t="s">
        <v>91</v>
      </c>
      <c r="D3853" t="s">
        <v>57</v>
      </c>
      <c r="E3853" t="s">
        <v>79</v>
      </c>
      <c r="F3853" t="s">
        <v>58</v>
      </c>
      <c r="G3853" t="s">
        <v>59</v>
      </c>
      <c r="H3853" t="s">
        <v>60</v>
      </c>
      <c r="J3853" t="s">
        <v>86</v>
      </c>
      <c r="L3853" t="s">
        <v>74</v>
      </c>
      <c r="M3853" t="s">
        <v>63</v>
      </c>
      <c r="N3853" t="s">
        <v>64</v>
      </c>
      <c r="P3853" t="s">
        <v>2154</v>
      </c>
      <c r="R3853">
        <v>1.51</v>
      </c>
      <c r="W3853" t="s">
        <v>66</v>
      </c>
      <c r="X3853" t="s">
        <v>67</v>
      </c>
      <c r="Y3853" t="s">
        <v>67</v>
      </c>
      <c r="Z3853" t="s">
        <v>68</v>
      </c>
      <c r="AB3853">
        <v>4</v>
      </c>
      <c r="AC3853" t="s">
        <v>61</v>
      </c>
      <c r="AJ3853" t="s">
        <v>69</v>
      </c>
      <c r="AY3853" t="s">
        <v>2538</v>
      </c>
      <c r="AZ3853">
        <v>12116</v>
      </c>
      <c r="BA3853" t="s">
        <v>2539</v>
      </c>
      <c r="BB3853" t="s">
        <v>2540</v>
      </c>
      <c r="BC3853">
        <v>1987</v>
      </c>
      <c r="BD3853" t="s">
        <v>90</v>
      </c>
    </row>
    <row r="3854" spans="1:56" x14ac:dyDescent="0.35">
      <c r="A3854">
        <v>12125029</v>
      </c>
      <c r="B3854" t="s">
        <v>2530</v>
      </c>
      <c r="D3854" t="s">
        <v>57</v>
      </c>
      <c r="E3854" t="s">
        <v>86</v>
      </c>
      <c r="F3854" t="s">
        <v>58</v>
      </c>
      <c r="G3854" t="s">
        <v>59</v>
      </c>
      <c r="H3854" t="s">
        <v>60</v>
      </c>
      <c r="I3854" t="s">
        <v>129</v>
      </c>
      <c r="J3854" t="s">
        <v>86</v>
      </c>
      <c r="L3854" t="s">
        <v>74</v>
      </c>
      <c r="M3854" t="s">
        <v>63</v>
      </c>
      <c r="N3854" t="s">
        <v>64</v>
      </c>
      <c r="P3854" t="s">
        <v>2154</v>
      </c>
      <c r="R3854">
        <v>1.4</v>
      </c>
      <c r="T3854">
        <v>1.33</v>
      </c>
      <c r="V3854">
        <v>1.47</v>
      </c>
      <c r="W3854" t="s">
        <v>66</v>
      </c>
      <c r="X3854" t="s">
        <v>67</v>
      </c>
      <c r="Y3854" t="s">
        <v>67</v>
      </c>
      <c r="Z3854" t="s">
        <v>68</v>
      </c>
      <c r="AB3854">
        <v>4</v>
      </c>
      <c r="AC3854" t="s">
        <v>61</v>
      </c>
      <c r="AJ3854" t="s">
        <v>69</v>
      </c>
      <c r="AY3854" t="s">
        <v>2560</v>
      </c>
      <c r="AZ3854">
        <v>69474</v>
      </c>
      <c r="BA3854" t="s">
        <v>2561</v>
      </c>
      <c r="BB3854" t="s">
        <v>2562</v>
      </c>
      <c r="BC3854">
        <v>1989</v>
      </c>
      <c r="BD3854" t="s">
        <v>90</v>
      </c>
    </row>
    <row r="3855" spans="1:56" x14ac:dyDescent="0.35">
      <c r="A3855">
        <v>12125029</v>
      </c>
      <c r="B3855" t="s">
        <v>2530</v>
      </c>
      <c r="C3855" t="s">
        <v>195</v>
      </c>
      <c r="D3855" t="s">
        <v>57</v>
      </c>
      <c r="E3855" t="s">
        <v>86</v>
      </c>
      <c r="F3855" t="s">
        <v>58</v>
      </c>
      <c r="G3855" t="s">
        <v>59</v>
      </c>
      <c r="H3855" t="s">
        <v>60</v>
      </c>
      <c r="I3855" t="s">
        <v>129</v>
      </c>
      <c r="J3855" t="s">
        <v>86</v>
      </c>
      <c r="L3855" t="s">
        <v>74</v>
      </c>
      <c r="M3855" t="s">
        <v>63</v>
      </c>
      <c r="N3855" t="s">
        <v>64</v>
      </c>
      <c r="P3855" t="s">
        <v>201</v>
      </c>
      <c r="R3855">
        <v>22.48</v>
      </c>
      <c r="T3855">
        <v>18.54</v>
      </c>
      <c r="V3855">
        <v>26.44</v>
      </c>
      <c r="W3855" t="s">
        <v>66</v>
      </c>
      <c r="X3855" t="s">
        <v>67</v>
      </c>
      <c r="Y3855" t="s">
        <v>67</v>
      </c>
      <c r="Z3855" t="s">
        <v>68</v>
      </c>
      <c r="AB3855">
        <v>4</v>
      </c>
      <c r="AC3855" t="s">
        <v>61</v>
      </c>
      <c r="AJ3855" t="s">
        <v>69</v>
      </c>
      <c r="AQ3855" t="s">
        <v>69</v>
      </c>
      <c r="AY3855" t="s">
        <v>2581</v>
      </c>
      <c r="AZ3855">
        <v>14556</v>
      </c>
      <c r="BA3855" t="s">
        <v>2582</v>
      </c>
      <c r="BB3855" t="s">
        <v>2583</v>
      </c>
      <c r="BC3855">
        <v>1982</v>
      </c>
      <c r="BD3855" t="s">
        <v>2590</v>
      </c>
    </row>
    <row r="3856" spans="1:56" x14ac:dyDescent="0.35">
      <c r="A3856">
        <v>12125029</v>
      </c>
      <c r="B3856" t="s">
        <v>2530</v>
      </c>
      <c r="C3856" t="s">
        <v>195</v>
      </c>
      <c r="D3856" t="s">
        <v>57</v>
      </c>
      <c r="E3856" t="s">
        <v>86</v>
      </c>
      <c r="F3856" t="s">
        <v>58</v>
      </c>
      <c r="G3856" t="s">
        <v>59</v>
      </c>
      <c r="H3856" t="s">
        <v>60</v>
      </c>
      <c r="J3856" t="s">
        <v>86</v>
      </c>
      <c r="L3856" t="s">
        <v>74</v>
      </c>
      <c r="M3856" t="s">
        <v>63</v>
      </c>
      <c r="N3856" t="s">
        <v>64</v>
      </c>
      <c r="P3856" t="s">
        <v>201</v>
      </c>
      <c r="R3856">
        <v>49.3</v>
      </c>
      <c r="T3856">
        <v>44.8</v>
      </c>
      <c r="V3856">
        <v>54.4</v>
      </c>
      <c r="W3856" t="s">
        <v>66</v>
      </c>
      <c r="X3856" t="s">
        <v>67</v>
      </c>
      <c r="Y3856" t="s">
        <v>67</v>
      </c>
      <c r="Z3856" t="s">
        <v>68</v>
      </c>
      <c r="AB3856">
        <v>4</v>
      </c>
      <c r="AC3856" t="s">
        <v>61</v>
      </c>
      <c r="AJ3856" t="s">
        <v>69</v>
      </c>
      <c r="AQ3856" t="s">
        <v>69</v>
      </c>
      <c r="AY3856" t="s">
        <v>2531</v>
      </c>
      <c r="AZ3856">
        <v>10130</v>
      </c>
      <c r="BA3856" t="s">
        <v>2532</v>
      </c>
      <c r="BB3856" t="s">
        <v>2533</v>
      </c>
      <c r="BC3856">
        <v>1983</v>
      </c>
      <c r="BD3856" t="s">
        <v>2591</v>
      </c>
    </row>
    <row r="3857" spans="1:56" x14ac:dyDescent="0.35">
      <c r="A3857">
        <v>12125029</v>
      </c>
      <c r="B3857" t="s">
        <v>2530</v>
      </c>
      <c r="C3857" t="s">
        <v>195</v>
      </c>
      <c r="D3857" t="s">
        <v>57</v>
      </c>
      <c r="E3857" t="s">
        <v>86</v>
      </c>
      <c r="F3857" t="s">
        <v>58</v>
      </c>
      <c r="G3857" t="s">
        <v>59</v>
      </c>
      <c r="H3857" t="s">
        <v>60</v>
      </c>
      <c r="J3857" t="s">
        <v>86</v>
      </c>
      <c r="L3857" t="s">
        <v>74</v>
      </c>
      <c r="M3857" t="s">
        <v>63</v>
      </c>
      <c r="N3857" t="s">
        <v>64</v>
      </c>
      <c r="P3857" t="s">
        <v>201</v>
      </c>
      <c r="R3857">
        <v>59</v>
      </c>
      <c r="T3857">
        <v>55</v>
      </c>
      <c r="V3857">
        <v>63.3</v>
      </c>
      <c r="W3857" t="s">
        <v>66</v>
      </c>
      <c r="X3857" t="s">
        <v>67</v>
      </c>
      <c r="Y3857" t="s">
        <v>67</v>
      </c>
      <c r="Z3857" t="s">
        <v>68</v>
      </c>
      <c r="AB3857">
        <v>4</v>
      </c>
      <c r="AC3857" t="s">
        <v>61</v>
      </c>
      <c r="AJ3857" t="s">
        <v>69</v>
      </c>
      <c r="AQ3857" t="s">
        <v>69</v>
      </c>
      <c r="AY3857" t="s">
        <v>2531</v>
      </c>
      <c r="AZ3857">
        <v>10130</v>
      </c>
      <c r="BA3857" t="s">
        <v>2532</v>
      </c>
      <c r="BB3857" t="s">
        <v>2533</v>
      </c>
      <c r="BC3857">
        <v>1983</v>
      </c>
      <c r="BD3857" t="s">
        <v>2592</v>
      </c>
    </row>
    <row r="3858" spans="1:56" x14ac:dyDescent="0.35">
      <c r="A3858">
        <v>12125029</v>
      </c>
      <c r="B3858" t="s">
        <v>2530</v>
      </c>
      <c r="D3858" t="s">
        <v>57</v>
      </c>
      <c r="E3858" t="s">
        <v>86</v>
      </c>
      <c r="F3858" t="s">
        <v>58</v>
      </c>
      <c r="G3858" t="s">
        <v>59</v>
      </c>
      <c r="H3858" t="s">
        <v>60</v>
      </c>
      <c r="J3858" t="s">
        <v>86</v>
      </c>
      <c r="K3858" t="s">
        <v>320</v>
      </c>
      <c r="L3858" t="s">
        <v>74</v>
      </c>
      <c r="M3858" t="s">
        <v>63</v>
      </c>
      <c r="N3858" t="s">
        <v>64</v>
      </c>
      <c r="O3858">
        <v>6</v>
      </c>
      <c r="P3858" t="s">
        <v>2154</v>
      </c>
      <c r="R3858">
        <v>0.9</v>
      </c>
      <c r="T3858">
        <v>0.68</v>
      </c>
      <c r="V3858">
        <v>1.05</v>
      </c>
      <c r="W3858" t="s">
        <v>66</v>
      </c>
      <c r="X3858" t="s">
        <v>67</v>
      </c>
      <c r="Y3858" t="s">
        <v>67</v>
      </c>
      <c r="Z3858" t="s">
        <v>68</v>
      </c>
      <c r="AB3858">
        <v>4</v>
      </c>
      <c r="AC3858" t="s">
        <v>61</v>
      </c>
      <c r="AJ3858" t="s">
        <v>69</v>
      </c>
      <c r="AY3858" t="s">
        <v>2545</v>
      </c>
      <c r="AZ3858">
        <v>88468</v>
      </c>
      <c r="BA3858" t="s">
        <v>2546</v>
      </c>
      <c r="BB3858" t="s">
        <v>2547</v>
      </c>
      <c r="BC3858">
        <v>1987</v>
      </c>
      <c r="BD3858" t="s">
        <v>2548</v>
      </c>
    </row>
    <row r="3859" spans="1:56" x14ac:dyDescent="0.35">
      <c r="A3859">
        <v>12125029</v>
      </c>
      <c r="B3859" t="s">
        <v>2530</v>
      </c>
      <c r="C3859" t="s">
        <v>195</v>
      </c>
      <c r="D3859" t="s">
        <v>57</v>
      </c>
      <c r="E3859" t="s">
        <v>86</v>
      </c>
      <c r="F3859" t="s">
        <v>58</v>
      </c>
      <c r="G3859" t="s">
        <v>59</v>
      </c>
      <c r="H3859" t="s">
        <v>60</v>
      </c>
      <c r="J3859" t="s">
        <v>86</v>
      </c>
      <c r="L3859" t="s">
        <v>74</v>
      </c>
      <c r="M3859" t="s">
        <v>63</v>
      </c>
      <c r="N3859" t="s">
        <v>64</v>
      </c>
      <c r="P3859" t="s">
        <v>201</v>
      </c>
      <c r="R3859">
        <v>42.2</v>
      </c>
      <c r="T3859">
        <v>39.4</v>
      </c>
      <c r="V3859">
        <v>45.2</v>
      </c>
      <c r="W3859" t="s">
        <v>66</v>
      </c>
      <c r="X3859" t="s">
        <v>67</v>
      </c>
      <c r="Y3859" t="s">
        <v>67</v>
      </c>
      <c r="Z3859" t="s">
        <v>68</v>
      </c>
      <c r="AB3859">
        <v>4</v>
      </c>
      <c r="AC3859" t="s">
        <v>61</v>
      </c>
      <c r="AJ3859" t="s">
        <v>69</v>
      </c>
      <c r="AQ3859" t="s">
        <v>69</v>
      </c>
      <c r="AY3859" t="s">
        <v>2531</v>
      </c>
      <c r="AZ3859">
        <v>10130</v>
      </c>
      <c r="BA3859" t="s">
        <v>2532</v>
      </c>
      <c r="BB3859" t="s">
        <v>2533</v>
      </c>
      <c r="BC3859">
        <v>1983</v>
      </c>
      <c r="BD3859" t="s">
        <v>2593</v>
      </c>
    </row>
    <row r="3860" spans="1:56" x14ac:dyDescent="0.35">
      <c r="A3860">
        <v>12125029</v>
      </c>
      <c r="B3860" t="s">
        <v>2530</v>
      </c>
      <c r="C3860" t="s">
        <v>195</v>
      </c>
      <c r="D3860" t="s">
        <v>57</v>
      </c>
      <c r="E3860" t="s">
        <v>86</v>
      </c>
      <c r="F3860" t="s">
        <v>58</v>
      </c>
      <c r="G3860" t="s">
        <v>59</v>
      </c>
      <c r="H3860" t="s">
        <v>60</v>
      </c>
      <c r="J3860" t="s">
        <v>86</v>
      </c>
      <c r="L3860" t="s">
        <v>74</v>
      </c>
      <c r="M3860" t="s">
        <v>63</v>
      </c>
      <c r="N3860" t="s">
        <v>64</v>
      </c>
      <c r="P3860" t="s">
        <v>201</v>
      </c>
      <c r="R3860">
        <v>52.2</v>
      </c>
      <c r="T3860">
        <v>45.7</v>
      </c>
      <c r="V3860">
        <v>59.6</v>
      </c>
      <c r="W3860" t="s">
        <v>66</v>
      </c>
      <c r="X3860" t="s">
        <v>67</v>
      </c>
      <c r="Y3860" t="s">
        <v>67</v>
      </c>
      <c r="Z3860" t="s">
        <v>68</v>
      </c>
      <c r="AB3860">
        <v>4</v>
      </c>
      <c r="AC3860" t="s">
        <v>61</v>
      </c>
      <c r="AJ3860" t="s">
        <v>69</v>
      </c>
      <c r="AQ3860" t="s">
        <v>69</v>
      </c>
      <c r="AY3860" t="s">
        <v>2531</v>
      </c>
      <c r="AZ3860">
        <v>10130</v>
      </c>
      <c r="BA3860" t="s">
        <v>2532</v>
      </c>
      <c r="BB3860" t="s">
        <v>2533</v>
      </c>
      <c r="BC3860">
        <v>1983</v>
      </c>
      <c r="BD3860" t="s">
        <v>2594</v>
      </c>
    </row>
    <row r="3861" spans="1:56" x14ac:dyDescent="0.35">
      <c r="A3861">
        <v>12125029</v>
      </c>
      <c r="B3861" t="s">
        <v>2530</v>
      </c>
      <c r="D3861" t="s">
        <v>57</v>
      </c>
      <c r="E3861" t="s">
        <v>86</v>
      </c>
      <c r="F3861" t="s">
        <v>58</v>
      </c>
      <c r="G3861" t="s">
        <v>59</v>
      </c>
      <c r="H3861" t="s">
        <v>60</v>
      </c>
      <c r="J3861" t="s">
        <v>86</v>
      </c>
      <c r="K3861" t="s">
        <v>320</v>
      </c>
      <c r="L3861" t="s">
        <v>74</v>
      </c>
      <c r="M3861" t="s">
        <v>63</v>
      </c>
      <c r="N3861" t="s">
        <v>64</v>
      </c>
      <c r="P3861" t="s">
        <v>2154</v>
      </c>
      <c r="R3861">
        <v>1.59</v>
      </c>
      <c r="W3861" t="s">
        <v>66</v>
      </c>
      <c r="X3861" t="s">
        <v>67</v>
      </c>
      <c r="Y3861" t="s">
        <v>67</v>
      </c>
      <c r="Z3861" t="s">
        <v>68</v>
      </c>
      <c r="AB3861">
        <v>4</v>
      </c>
      <c r="AC3861" t="s">
        <v>61</v>
      </c>
      <c r="AJ3861" t="s">
        <v>69</v>
      </c>
      <c r="AY3861" t="s">
        <v>1041</v>
      </c>
      <c r="AZ3861">
        <v>492</v>
      </c>
      <c r="BA3861" t="s">
        <v>1042</v>
      </c>
      <c r="BB3861" t="s">
        <v>1043</v>
      </c>
      <c r="BC3861">
        <v>1980</v>
      </c>
      <c r="BD3861" t="s">
        <v>1044</v>
      </c>
    </row>
    <row r="3862" spans="1:56" x14ac:dyDescent="0.35">
      <c r="A3862">
        <v>12125029</v>
      </c>
      <c r="B3862" t="s">
        <v>2530</v>
      </c>
      <c r="C3862" t="s">
        <v>195</v>
      </c>
      <c r="D3862" t="s">
        <v>57</v>
      </c>
      <c r="E3862" t="s">
        <v>86</v>
      </c>
      <c r="F3862" t="s">
        <v>58</v>
      </c>
      <c r="G3862" t="s">
        <v>59</v>
      </c>
      <c r="H3862" t="s">
        <v>60</v>
      </c>
      <c r="I3862" t="s">
        <v>129</v>
      </c>
      <c r="J3862" t="s">
        <v>86</v>
      </c>
      <c r="L3862" t="s">
        <v>74</v>
      </c>
      <c r="M3862" t="s">
        <v>63</v>
      </c>
      <c r="N3862" t="s">
        <v>64</v>
      </c>
      <c r="P3862" t="s">
        <v>201</v>
      </c>
      <c r="R3862">
        <v>24.43</v>
      </c>
      <c r="T3862">
        <v>1.0199999999999999E-11</v>
      </c>
      <c r="V3862">
        <v>126.26</v>
      </c>
      <c r="W3862" t="s">
        <v>66</v>
      </c>
      <c r="X3862" t="s">
        <v>67</v>
      </c>
      <c r="Y3862" t="s">
        <v>67</v>
      </c>
      <c r="Z3862" t="s">
        <v>68</v>
      </c>
      <c r="AB3862">
        <v>4</v>
      </c>
      <c r="AC3862" t="s">
        <v>61</v>
      </c>
      <c r="AJ3862" t="s">
        <v>69</v>
      </c>
      <c r="AQ3862" t="s">
        <v>69</v>
      </c>
      <c r="AY3862" t="s">
        <v>2581</v>
      </c>
      <c r="AZ3862">
        <v>14556</v>
      </c>
      <c r="BA3862" t="s">
        <v>2582</v>
      </c>
      <c r="BB3862" t="s">
        <v>2583</v>
      </c>
      <c r="BC3862">
        <v>1982</v>
      </c>
      <c r="BD3862" t="s">
        <v>2595</v>
      </c>
    </row>
    <row r="3863" spans="1:56" x14ac:dyDescent="0.35">
      <c r="A3863">
        <v>12125029</v>
      </c>
      <c r="B3863" t="s">
        <v>2530</v>
      </c>
      <c r="D3863" t="s">
        <v>85</v>
      </c>
      <c r="E3863" t="s">
        <v>86</v>
      </c>
      <c r="F3863" t="s">
        <v>58</v>
      </c>
      <c r="G3863" t="s">
        <v>59</v>
      </c>
      <c r="H3863" t="s">
        <v>60</v>
      </c>
      <c r="J3863" t="s">
        <v>86</v>
      </c>
      <c r="L3863" t="s">
        <v>62</v>
      </c>
      <c r="M3863" t="s">
        <v>63</v>
      </c>
      <c r="N3863" t="s">
        <v>64</v>
      </c>
      <c r="P3863" t="s">
        <v>201</v>
      </c>
      <c r="R3863">
        <v>13</v>
      </c>
      <c r="T3863">
        <v>10</v>
      </c>
      <c r="V3863">
        <v>15</v>
      </c>
      <c r="W3863" t="s">
        <v>66</v>
      </c>
      <c r="X3863" t="s">
        <v>67</v>
      </c>
      <c r="Y3863" t="s">
        <v>67</v>
      </c>
      <c r="Z3863" t="s">
        <v>68</v>
      </c>
      <c r="AB3863">
        <v>4</v>
      </c>
      <c r="AC3863" t="s">
        <v>61</v>
      </c>
      <c r="AJ3863" t="s">
        <v>69</v>
      </c>
      <c r="AQ3863" t="s">
        <v>69</v>
      </c>
      <c r="AY3863" t="s">
        <v>2026</v>
      </c>
      <c r="AZ3863">
        <v>165613</v>
      </c>
      <c r="BA3863" t="s">
        <v>2027</v>
      </c>
      <c r="BB3863" t="s">
        <v>2028</v>
      </c>
      <c r="BC3863">
        <v>1980</v>
      </c>
      <c r="BD3863" t="s">
        <v>2596</v>
      </c>
    </row>
    <row r="3864" spans="1:56" x14ac:dyDescent="0.35">
      <c r="A3864">
        <v>12125029</v>
      </c>
      <c r="B3864" t="s">
        <v>2530</v>
      </c>
      <c r="C3864" t="s">
        <v>195</v>
      </c>
      <c r="D3864" t="s">
        <v>57</v>
      </c>
      <c r="E3864" t="s">
        <v>86</v>
      </c>
      <c r="F3864" t="s">
        <v>58</v>
      </c>
      <c r="G3864" t="s">
        <v>59</v>
      </c>
      <c r="H3864" t="s">
        <v>60</v>
      </c>
      <c r="J3864" t="s">
        <v>86</v>
      </c>
      <c r="L3864" t="s">
        <v>74</v>
      </c>
      <c r="M3864" t="s">
        <v>63</v>
      </c>
      <c r="N3864" t="s">
        <v>64</v>
      </c>
      <c r="P3864" t="s">
        <v>201</v>
      </c>
      <c r="R3864">
        <v>42.3</v>
      </c>
      <c r="T3864">
        <v>40.6</v>
      </c>
      <c r="V3864">
        <v>44.1</v>
      </c>
      <c r="W3864" t="s">
        <v>66</v>
      </c>
      <c r="X3864" t="s">
        <v>67</v>
      </c>
      <c r="Y3864" t="s">
        <v>67</v>
      </c>
      <c r="Z3864" t="s">
        <v>68</v>
      </c>
      <c r="AB3864">
        <v>4</v>
      </c>
      <c r="AC3864" t="s">
        <v>61</v>
      </c>
      <c r="AJ3864" t="s">
        <v>69</v>
      </c>
      <c r="AQ3864" t="s">
        <v>69</v>
      </c>
      <c r="AY3864" t="s">
        <v>2531</v>
      </c>
      <c r="AZ3864">
        <v>10130</v>
      </c>
      <c r="BA3864" t="s">
        <v>2532</v>
      </c>
      <c r="BB3864" t="s">
        <v>2533</v>
      </c>
      <c r="BC3864">
        <v>1983</v>
      </c>
      <c r="BD3864" t="s">
        <v>2597</v>
      </c>
    </row>
    <row r="3865" spans="1:56" x14ac:dyDescent="0.35">
      <c r="A3865">
        <v>12125029</v>
      </c>
      <c r="B3865" t="s">
        <v>2530</v>
      </c>
      <c r="C3865" t="s">
        <v>195</v>
      </c>
      <c r="D3865" t="s">
        <v>57</v>
      </c>
      <c r="E3865" t="s">
        <v>86</v>
      </c>
      <c r="F3865" t="s">
        <v>58</v>
      </c>
      <c r="G3865" t="s">
        <v>59</v>
      </c>
      <c r="H3865" t="s">
        <v>60</v>
      </c>
      <c r="J3865" t="s">
        <v>86</v>
      </c>
      <c r="L3865" t="s">
        <v>74</v>
      </c>
      <c r="M3865" t="s">
        <v>63</v>
      </c>
      <c r="N3865" t="s">
        <v>64</v>
      </c>
      <c r="P3865" t="s">
        <v>201</v>
      </c>
      <c r="R3865">
        <v>50.9</v>
      </c>
      <c r="T3865">
        <v>46.1</v>
      </c>
      <c r="V3865">
        <v>56.1</v>
      </c>
      <c r="W3865" t="s">
        <v>66</v>
      </c>
      <c r="X3865" t="s">
        <v>67</v>
      </c>
      <c r="Y3865" t="s">
        <v>67</v>
      </c>
      <c r="Z3865" t="s">
        <v>68</v>
      </c>
      <c r="AB3865">
        <v>4</v>
      </c>
      <c r="AC3865" t="s">
        <v>61</v>
      </c>
      <c r="AJ3865" t="s">
        <v>69</v>
      </c>
      <c r="AQ3865" t="s">
        <v>69</v>
      </c>
      <c r="AY3865" t="s">
        <v>2531</v>
      </c>
      <c r="AZ3865">
        <v>10130</v>
      </c>
      <c r="BA3865" t="s">
        <v>2532</v>
      </c>
      <c r="BB3865" t="s">
        <v>2533</v>
      </c>
      <c r="BC3865">
        <v>1983</v>
      </c>
      <c r="BD3865" t="s">
        <v>2598</v>
      </c>
    </row>
    <row r="3866" spans="1:56" x14ac:dyDescent="0.35">
      <c r="A3866">
        <v>12125029</v>
      </c>
      <c r="B3866" t="s">
        <v>2530</v>
      </c>
      <c r="C3866" t="s">
        <v>195</v>
      </c>
      <c r="D3866" t="s">
        <v>57</v>
      </c>
      <c r="E3866" t="s">
        <v>86</v>
      </c>
      <c r="F3866" t="s">
        <v>58</v>
      </c>
      <c r="G3866" t="s">
        <v>59</v>
      </c>
      <c r="H3866" t="s">
        <v>60</v>
      </c>
      <c r="I3866" t="s">
        <v>129</v>
      </c>
      <c r="J3866" t="s">
        <v>86</v>
      </c>
      <c r="L3866" t="s">
        <v>74</v>
      </c>
      <c r="M3866" t="s">
        <v>63</v>
      </c>
      <c r="N3866" t="s">
        <v>64</v>
      </c>
      <c r="P3866" t="s">
        <v>201</v>
      </c>
      <c r="R3866">
        <v>15.66</v>
      </c>
      <c r="T3866">
        <v>13.14</v>
      </c>
      <c r="V3866">
        <v>20.95</v>
      </c>
      <c r="W3866" t="s">
        <v>66</v>
      </c>
      <c r="X3866" t="s">
        <v>67</v>
      </c>
      <c r="Y3866" t="s">
        <v>67</v>
      </c>
      <c r="Z3866" t="s">
        <v>68</v>
      </c>
      <c r="AB3866">
        <v>4</v>
      </c>
      <c r="AC3866" t="s">
        <v>61</v>
      </c>
      <c r="AJ3866" t="s">
        <v>69</v>
      </c>
      <c r="AQ3866" t="s">
        <v>69</v>
      </c>
      <c r="AY3866" t="s">
        <v>2581</v>
      </c>
      <c r="AZ3866">
        <v>14556</v>
      </c>
      <c r="BA3866" t="s">
        <v>2582</v>
      </c>
      <c r="BB3866" t="s">
        <v>2583</v>
      </c>
      <c r="BC3866">
        <v>1982</v>
      </c>
      <c r="BD3866" t="s">
        <v>2599</v>
      </c>
    </row>
    <row r="3867" spans="1:56" x14ac:dyDescent="0.35">
      <c r="A3867">
        <v>12125029</v>
      </c>
      <c r="B3867" t="s">
        <v>2530</v>
      </c>
      <c r="D3867" t="s">
        <v>57</v>
      </c>
      <c r="E3867" t="s">
        <v>86</v>
      </c>
      <c r="F3867" t="s">
        <v>58</v>
      </c>
      <c r="G3867" t="s">
        <v>59</v>
      </c>
      <c r="H3867" t="s">
        <v>60</v>
      </c>
      <c r="J3867" t="s">
        <v>86</v>
      </c>
      <c r="K3867" t="s">
        <v>320</v>
      </c>
      <c r="L3867" t="s">
        <v>74</v>
      </c>
      <c r="M3867" t="s">
        <v>63</v>
      </c>
      <c r="N3867" t="s">
        <v>64</v>
      </c>
      <c r="O3867">
        <v>6</v>
      </c>
      <c r="P3867" t="s">
        <v>2154</v>
      </c>
      <c r="R3867">
        <v>1.6</v>
      </c>
      <c r="T3867">
        <v>0.86599999999999999</v>
      </c>
      <c r="V3867">
        <v>2.4089999999999998</v>
      </c>
      <c r="W3867" t="s">
        <v>66</v>
      </c>
      <c r="X3867" t="s">
        <v>67</v>
      </c>
      <c r="Y3867" t="s">
        <v>67</v>
      </c>
      <c r="Z3867" t="s">
        <v>68</v>
      </c>
      <c r="AB3867">
        <v>4</v>
      </c>
      <c r="AC3867" t="s">
        <v>61</v>
      </c>
      <c r="AJ3867" t="s">
        <v>69</v>
      </c>
      <c r="AY3867" t="s">
        <v>2545</v>
      </c>
      <c r="AZ3867">
        <v>88468</v>
      </c>
      <c r="BA3867" t="s">
        <v>2546</v>
      </c>
      <c r="BB3867" t="s">
        <v>2547</v>
      </c>
      <c r="BC3867">
        <v>1987</v>
      </c>
      <c r="BD3867" t="s">
        <v>2548</v>
      </c>
    </row>
    <row r="3868" spans="1:56" x14ac:dyDescent="0.35">
      <c r="A3868">
        <v>12125029</v>
      </c>
      <c r="B3868" t="s">
        <v>2530</v>
      </c>
      <c r="D3868" t="s">
        <v>85</v>
      </c>
      <c r="E3868" t="s">
        <v>86</v>
      </c>
      <c r="F3868" t="s">
        <v>58</v>
      </c>
      <c r="G3868" t="s">
        <v>59</v>
      </c>
      <c r="H3868" t="s">
        <v>60</v>
      </c>
      <c r="J3868" t="s">
        <v>86</v>
      </c>
      <c r="L3868" t="s">
        <v>62</v>
      </c>
      <c r="M3868" t="s">
        <v>63</v>
      </c>
      <c r="N3868" t="s">
        <v>64</v>
      </c>
      <c r="P3868" t="s">
        <v>201</v>
      </c>
      <c r="R3868">
        <v>21</v>
      </c>
      <c r="T3868">
        <v>18</v>
      </c>
      <c r="V3868">
        <v>23</v>
      </c>
      <c r="W3868" t="s">
        <v>66</v>
      </c>
      <c r="X3868" t="s">
        <v>67</v>
      </c>
      <c r="Y3868" t="s">
        <v>67</v>
      </c>
      <c r="Z3868" t="s">
        <v>68</v>
      </c>
      <c r="AB3868">
        <v>4</v>
      </c>
      <c r="AC3868" t="s">
        <v>61</v>
      </c>
      <c r="AJ3868" t="s">
        <v>69</v>
      </c>
      <c r="AQ3868" t="s">
        <v>69</v>
      </c>
      <c r="AY3868" t="s">
        <v>2026</v>
      </c>
      <c r="AZ3868">
        <v>165613</v>
      </c>
      <c r="BA3868" t="s">
        <v>2027</v>
      </c>
      <c r="BB3868" t="s">
        <v>2028</v>
      </c>
      <c r="BC3868">
        <v>1980</v>
      </c>
      <c r="BD3868" t="s">
        <v>2600</v>
      </c>
    </row>
    <row r="3869" spans="1:56" x14ac:dyDescent="0.35">
      <c r="A3869">
        <v>12125029</v>
      </c>
      <c r="B3869" t="s">
        <v>2530</v>
      </c>
      <c r="D3869" t="s">
        <v>85</v>
      </c>
      <c r="E3869" t="s">
        <v>86</v>
      </c>
      <c r="F3869" t="s">
        <v>58</v>
      </c>
      <c r="G3869" t="s">
        <v>59</v>
      </c>
      <c r="H3869" t="s">
        <v>60</v>
      </c>
      <c r="J3869" t="s">
        <v>86</v>
      </c>
      <c r="L3869" t="s">
        <v>62</v>
      </c>
      <c r="M3869" t="s">
        <v>63</v>
      </c>
      <c r="N3869" t="s">
        <v>64</v>
      </c>
      <c r="P3869" t="s">
        <v>201</v>
      </c>
      <c r="R3869">
        <v>25</v>
      </c>
      <c r="T3869">
        <v>23</v>
      </c>
      <c r="V3869">
        <v>27</v>
      </c>
      <c r="W3869" t="s">
        <v>66</v>
      </c>
      <c r="X3869" t="s">
        <v>67</v>
      </c>
      <c r="Y3869" t="s">
        <v>67</v>
      </c>
      <c r="Z3869" t="s">
        <v>68</v>
      </c>
      <c r="AB3869">
        <v>4</v>
      </c>
      <c r="AC3869" t="s">
        <v>61</v>
      </c>
      <c r="AJ3869" t="s">
        <v>69</v>
      </c>
      <c r="AQ3869" t="s">
        <v>69</v>
      </c>
      <c r="AY3869" t="s">
        <v>2026</v>
      </c>
      <c r="AZ3869">
        <v>165613</v>
      </c>
      <c r="BA3869" t="s">
        <v>2027</v>
      </c>
      <c r="BB3869" t="s">
        <v>2028</v>
      </c>
      <c r="BC3869">
        <v>1980</v>
      </c>
      <c r="BD3869" t="s">
        <v>2601</v>
      </c>
    </row>
    <row r="3870" spans="1:56" x14ac:dyDescent="0.35">
      <c r="A3870">
        <v>12125029</v>
      </c>
      <c r="B3870" t="s">
        <v>2530</v>
      </c>
      <c r="D3870" t="s">
        <v>57</v>
      </c>
      <c r="E3870" t="s">
        <v>86</v>
      </c>
      <c r="F3870" t="s">
        <v>58</v>
      </c>
      <c r="G3870" t="s">
        <v>59</v>
      </c>
      <c r="H3870" t="s">
        <v>60</v>
      </c>
      <c r="I3870" t="s">
        <v>188</v>
      </c>
      <c r="J3870" t="s">
        <v>86</v>
      </c>
      <c r="L3870" t="s">
        <v>74</v>
      </c>
      <c r="M3870" t="s">
        <v>63</v>
      </c>
      <c r="N3870" t="s">
        <v>64</v>
      </c>
      <c r="P3870" t="s">
        <v>2154</v>
      </c>
      <c r="R3870">
        <v>0.56000000000000005</v>
      </c>
      <c r="T3870">
        <v>0.52</v>
      </c>
      <c r="V3870">
        <v>0.61</v>
      </c>
      <c r="W3870" t="s">
        <v>66</v>
      </c>
      <c r="X3870" t="s">
        <v>67</v>
      </c>
      <c r="Y3870" t="s">
        <v>67</v>
      </c>
      <c r="Z3870" t="s">
        <v>68</v>
      </c>
      <c r="AB3870">
        <v>4</v>
      </c>
      <c r="AC3870" t="s">
        <v>61</v>
      </c>
      <c r="AJ3870" t="s">
        <v>69</v>
      </c>
      <c r="AY3870" t="s">
        <v>2560</v>
      </c>
      <c r="AZ3870">
        <v>69474</v>
      </c>
      <c r="BA3870" t="s">
        <v>2561</v>
      </c>
      <c r="BB3870" t="s">
        <v>2562</v>
      </c>
      <c r="BC3870">
        <v>1989</v>
      </c>
      <c r="BD3870" t="s">
        <v>90</v>
      </c>
    </row>
    <row r="3871" spans="1:56" x14ac:dyDescent="0.35">
      <c r="A3871">
        <v>12125029</v>
      </c>
      <c r="B3871" t="s">
        <v>2530</v>
      </c>
      <c r="C3871" t="s">
        <v>195</v>
      </c>
      <c r="D3871" t="s">
        <v>57</v>
      </c>
      <c r="E3871" t="s">
        <v>86</v>
      </c>
      <c r="F3871" t="s">
        <v>58</v>
      </c>
      <c r="G3871" t="s">
        <v>59</v>
      </c>
      <c r="H3871" t="s">
        <v>60</v>
      </c>
      <c r="J3871" t="s">
        <v>86</v>
      </c>
      <c r="L3871" t="s">
        <v>74</v>
      </c>
      <c r="M3871" t="s">
        <v>63</v>
      </c>
      <c r="N3871" t="s">
        <v>64</v>
      </c>
      <c r="P3871" t="s">
        <v>2154</v>
      </c>
      <c r="R3871">
        <v>1.68</v>
      </c>
      <c r="W3871" t="s">
        <v>66</v>
      </c>
      <c r="X3871" t="s">
        <v>67</v>
      </c>
      <c r="Y3871" t="s">
        <v>67</v>
      </c>
      <c r="Z3871" t="s">
        <v>68</v>
      </c>
      <c r="AB3871">
        <v>4</v>
      </c>
      <c r="AC3871" t="s">
        <v>61</v>
      </c>
      <c r="AJ3871" t="s">
        <v>69</v>
      </c>
      <c r="AY3871" t="s">
        <v>2602</v>
      </c>
      <c r="AZ3871">
        <v>14553</v>
      </c>
      <c r="BA3871" t="s">
        <v>2603</v>
      </c>
      <c r="BB3871" t="s">
        <v>2604</v>
      </c>
      <c r="BC3871">
        <v>1975</v>
      </c>
      <c r="BD3871" t="s">
        <v>90</v>
      </c>
    </row>
    <row r="3872" spans="1:56" x14ac:dyDescent="0.35">
      <c r="A3872">
        <v>12125029</v>
      </c>
      <c r="B3872" t="s">
        <v>2530</v>
      </c>
      <c r="D3872" t="s">
        <v>57</v>
      </c>
      <c r="E3872" t="s">
        <v>86</v>
      </c>
      <c r="F3872" t="s">
        <v>58</v>
      </c>
      <c r="G3872" t="s">
        <v>59</v>
      </c>
      <c r="H3872" t="s">
        <v>60</v>
      </c>
      <c r="J3872" t="s">
        <v>86</v>
      </c>
      <c r="K3872" t="s">
        <v>320</v>
      </c>
      <c r="L3872" t="s">
        <v>74</v>
      </c>
      <c r="M3872" t="s">
        <v>63</v>
      </c>
      <c r="N3872" t="s">
        <v>64</v>
      </c>
      <c r="O3872">
        <v>6</v>
      </c>
      <c r="P3872" t="s">
        <v>2154</v>
      </c>
      <c r="R3872">
        <v>1.69</v>
      </c>
      <c r="T3872">
        <v>1.4670000000000001</v>
      </c>
      <c r="V3872">
        <v>2.0270000000000001</v>
      </c>
      <c r="W3872" t="s">
        <v>66</v>
      </c>
      <c r="X3872" t="s">
        <v>67</v>
      </c>
      <c r="Y3872" t="s">
        <v>67</v>
      </c>
      <c r="Z3872" t="s">
        <v>68</v>
      </c>
      <c r="AB3872">
        <v>4</v>
      </c>
      <c r="AC3872" t="s">
        <v>61</v>
      </c>
      <c r="AJ3872" t="s">
        <v>69</v>
      </c>
      <c r="AY3872" t="s">
        <v>2545</v>
      </c>
      <c r="AZ3872">
        <v>88468</v>
      </c>
      <c r="BA3872" t="s">
        <v>2546</v>
      </c>
      <c r="BB3872" t="s">
        <v>2547</v>
      </c>
      <c r="BC3872">
        <v>1987</v>
      </c>
      <c r="BD3872" t="s">
        <v>2548</v>
      </c>
    </row>
    <row r="3873" spans="1:56" x14ac:dyDescent="0.35">
      <c r="A3873">
        <v>12125029</v>
      </c>
      <c r="B3873" t="s">
        <v>2530</v>
      </c>
      <c r="C3873" t="s">
        <v>195</v>
      </c>
      <c r="D3873" t="s">
        <v>57</v>
      </c>
      <c r="E3873" t="s">
        <v>86</v>
      </c>
      <c r="F3873" t="s">
        <v>58</v>
      </c>
      <c r="G3873" t="s">
        <v>59</v>
      </c>
      <c r="H3873" t="s">
        <v>60</v>
      </c>
      <c r="J3873" t="s">
        <v>86</v>
      </c>
      <c r="L3873" t="s">
        <v>74</v>
      </c>
      <c r="M3873" t="s">
        <v>63</v>
      </c>
      <c r="N3873" t="s">
        <v>64</v>
      </c>
      <c r="P3873" t="s">
        <v>201</v>
      </c>
      <c r="R3873">
        <v>47.3</v>
      </c>
      <c r="W3873" t="s">
        <v>66</v>
      </c>
      <c r="X3873" t="s">
        <v>67</v>
      </c>
      <c r="Y3873" t="s">
        <v>67</v>
      </c>
      <c r="Z3873" t="s">
        <v>68</v>
      </c>
      <c r="AB3873">
        <v>4</v>
      </c>
      <c r="AC3873" t="s">
        <v>61</v>
      </c>
      <c r="AJ3873" t="s">
        <v>69</v>
      </c>
      <c r="AQ3873" t="s">
        <v>69</v>
      </c>
      <c r="AY3873" t="s">
        <v>2531</v>
      </c>
      <c r="AZ3873">
        <v>10130</v>
      </c>
      <c r="BA3873" t="s">
        <v>2532</v>
      </c>
      <c r="BB3873" t="s">
        <v>2533</v>
      </c>
      <c r="BC3873">
        <v>1983</v>
      </c>
      <c r="BD3873" t="s">
        <v>2605</v>
      </c>
    </row>
    <row r="3874" spans="1:56" x14ac:dyDescent="0.35">
      <c r="A3874">
        <v>12125029</v>
      </c>
      <c r="B3874" t="s">
        <v>2530</v>
      </c>
      <c r="C3874" t="s">
        <v>195</v>
      </c>
      <c r="D3874" t="s">
        <v>57</v>
      </c>
      <c r="E3874" t="s">
        <v>86</v>
      </c>
      <c r="F3874" t="s">
        <v>58</v>
      </c>
      <c r="G3874" t="s">
        <v>59</v>
      </c>
      <c r="H3874" t="s">
        <v>60</v>
      </c>
      <c r="J3874" t="s">
        <v>86</v>
      </c>
      <c r="L3874" t="s">
        <v>74</v>
      </c>
      <c r="M3874" t="s">
        <v>63</v>
      </c>
      <c r="N3874" t="s">
        <v>64</v>
      </c>
      <c r="P3874" t="s">
        <v>201</v>
      </c>
      <c r="R3874">
        <v>72.900000000000006</v>
      </c>
      <c r="T3874">
        <v>67.8</v>
      </c>
      <c r="V3874">
        <v>78.3</v>
      </c>
      <c r="W3874" t="s">
        <v>66</v>
      </c>
      <c r="X3874" t="s">
        <v>67</v>
      </c>
      <c r="Y3874" t="s">
        <v>67</v>
      </c>
      <c r="Z3874" t="s">
        <v>68</v>
      </c>
      <c r="AB3874">
        <v>4</v>
      </c>
      <c r="AC3874" t="s">
        <v>61</v>
      </c>
      <c r="AJ3874" t="s">
        <v>69</v>
      </c>
      <c r="AQ3874" t="s">
        <v>69</v>
      </c>
      <c r="AY3874" t="s">
        <v>2531</v>
      </c>
      <c r="AZ3874">
        <v>10130</v>
      </c>
      <c r="BA3874" t="s">
        <v>2532</v>
      </c>
      <c r="BB3874" t="s">
        <v>2533</v>
      </c>
      <c r="BC3874">
        <v>1983</v>
      </c>
      <c r="BD3874" t="s">
        <v>2606</v>
      </c>
    </row>
    <row r="3875" spans="1:56" x14ac:dyDescent="0.35">
      <c r="A3875">
        <v>12125029</v>
      </c>
      <c r="B3875" t="s">
        <v>2530</v>
      </c>
      <c r="D3875" t="s">
        <v>57</v>
      </c>
      <c r="E3875" t="s">
        <v>86</v>
      </c>
      <c r="F3875" t="s">
        <v>58</v>
      </c>
      <c r="G3875" t="s">
        <v>59</v>
      </c>
      <c r="H3875" t="s">
        <v>60</v>
      </c>
      <c r="I3875" t="s">
        <v>188</v>
      </c>
      <c r="J3875" t="s">
        <v>86</v>
      </c>
      <c r="L3875" t="s">
        <v>74</v>
      </c>
      <c r="M3875" t="s">
        <v>63</v>
      </c>
      <c r="N3875" t="s">
        <v>64</v>
      </c>
      <c r="P3875" t="s">
        <v>2154</v>
      </c>
      <c r="R3875">
        <v>0.94</v>
      </c>
      <c r="T3875">
        <v>0.87</v>
      </c>
      <c r="V3875">
        <v>1.02</v>
      </c>
      <c r="W3875" t="s">
        <v>66</v>
      </c>
      <c r="X3875" t="s">
        <v>67</v>
      </c>
      <c r="Y3875" t="s">
        <v>67</v>
      </c>
      <c r="Z3875" t="s">
        <v>68</v>
      </c>
      <c r="AB3875">
        <v>4</v>
      </c>
      <c r="AC3875" t="s">
        <v>61</v>
      </c>
      <c r="AJ3875" t="s">
        <v>69</v>
      </c>
      <c r="AY3875" t="s">
        <v>2560</v>
      </c>
      <c r="AZ3875">
        <v>69474</v>
      </c>
      <c r="BA3875" t="s">
        <v>2561</v>
      </c>
      <c r="BB3875" t="s">
        <v>2562</v>
      </c>
      <c r="BC3875">
        <v>1989</v>
      </c>
      <c r="BD3875" t="s">
        <v>90</v>
      </c>
    </row>
    <row r="3876" spans="1:56" x14ac:dyDescent="0.35">
      <c r="A3876">
        <v>12125029</v>
      </c>
      <c r="B3876" t="s">
        <v>2530</v>
      </c>
      <c r="D3876" t="s">
        <v>57</v>
      </c>
      <c r="E3876" t="s">
        <v>86</v>
      </c>
      <c r="F3876" t="s">
        <v>58</v>
      </c>
      <c r="G3876" t="s">
        <v>59</v>
      </c>
      <c r="H3876" t="s">
        <v>60</v>
      </c>
      <c r="J3876" t="s">
        <v>86</v>
      </c>
      <c r="L3876" t="s">
        <v>74</v>
      </c>
      <c r="M3876" t="s">
        <v>63</v>
      </c>
      <c r="N3876" t="s">
        <v>64</v>
      </c>
      <c r="P3876" t="s">
        <v>2154</v>
      </c>
      <c r="R3876">
        <v>1.54</v>
      </c>
      <c r="T3876">
        <v>1.44</v>
      </c>
      <c r="V3876">
        <v>1.63</v>
      </c>
      <c r="W3876" t="s">
        <v>66</v>
      </c>
      <c r="X3876" t="s">
        <v>67</v>
      </c>
      <c r="Y3876" t="s">
        <v>67</v>
      </c>
      <c r="Z3876" t="s">
        <v>68</v>
      </c>
      <c r="AB3876">
        <v>4</v>
      </c>
      <c r="AC3876" t="s">
        <v>61</v>
      </c>
      <c r="AJ3876" t="s">
        <v>69</v>
      </c>
      <c r="AY3876" t="s">
        <v>2568</v>
      </c>
      <c r="AZ3876">
        <v>10281</v>
      </c>
      <c r="BA3876" t="s">
        <v>2569</v>
      </c>
      <c r="BB3876" t="s">
        <v>2570</v>
      </c>
      <c r="BC3876">
        <v>1983</v>
      </c>
      <c r="BD3876" t="s">
        <v>90</v>
      </c>
    </row>
    <row r="3877" spans="1:56" x14ac:dyDescent="0.35">
      <c r="A3877">
        <v>12125029</v>
      </c>
      <c r="B3877" t="s">
        <v>2530</v>
      </c>
      <c r="D3877" t="s">
        <v>85</v>
      </c>
      <c r="E3877" t="s">
        <v>86</v>
      </c>
      <c r="F3877" t="s">
        <v>58</v>
      </c>
      <c r="G3877" t="s">
        <v>59</v>
      </c>
      <c r="H3877" t="s">
        <v>60</v>
      </c>
      <c r="J3877" t="s">
        <v>86</v>
      </c>
      <c r="L3877" t="s">
        <v>62</v>
      </c>
      <c r="M3877" t="s">
        <v>63</v>
      </c>
      <c r="N3877" t="s">
        <v>64</v>
      </c>
      <c r="P3877" t="s">
        <v>201</v>
      </c>
      <c r="R3877">
        <v>14</v>
      </c>
      <c r="T3877">
        <v>12</v>
      </c>
      <c r="V3877">
        <v>15</v>
      </c>
      <c r="W3877" t="s">
        <v>66</v>
      </c>
      <c r="X3877" t="s">
        <v>67</v>
      </c>
      <c r="Y3877" t="s">
        <v>67</v>
      </c>
      <c r="Z3877" t="s">
        <v>68</v>
      </c>
      <c r="AB3877">
        <v>4</v>
      </c>
      <c r="AC3877" t="s">
        <v>61</v>
      </c>
      <c r="AJ3877" t="s">
        <v>69</v>
      </c>
      <c r="AQ3877" t="s">
        <v>69</v>
      </c>
      <c r="AY3877" t="s">
        <v>2026</v>
      </c>
      <c r="AZ3877">
        <v>165613</v>
      </c>
      <c r="BA3877" t="s">
        <v>2027</v>
      </c>
      <c r="BB3877" t="s">
        <v>2028</v>
      </c>
      <c r="BC3877">
        <v>1980</v>
      </c>
      <c r="BD3877" t="s">
        <v>2607</v>
      </c>
    </row>
    <row r="3878" spans="1:56" x14ac:dyDescent="0.35">
      <c r="A3878">
        <v>12125029</v>
      </c>
      <c r="B3878" t="s">
        <v>2530</v>
      </c>
      <c r="C3878" t="s">
        <v>195</v>
      </c>
      <c r="D3878" t="s">
        <v>57</v>
      </c>
      <c r="E3878" t="s">
        <v>86</v>
      </c>
      <c r="F3878" t="s">
        <v>58</v>
      </c>
      <c r="G3878" t="s">
        <v>59</v>
      </c>
      <c r="H3878" t="s">
        <v>60</v>
      </c>
      <c r="J3878" t="s">
        <v>86</v>
      </c>
      <c r="L3878" t="s">
        <v>74</v>
      </c>
      <c r="M3878" t="s">
        <v>63</v>
      </c>
      <c r="N3878" t="s">
        <v>64</v>
      </c>
      <c r="P3878" t="s">
        <v>201</v>
      </c>
      <c r="R3878">
        <v>90.4</v>
      </c>
      <c r="T3878">
        <v>79</v>
      </c>
      <c r="V3878">
        <v>103</v>
      </c>
      <c r="W3878" t="s">
        <v>66</v>
      </c>
      <c r="X3878" t="s">
        <v>67</v>
      </c>
      <c r="Y3878" t="s">
        <v>67</v>
      </c>
      <c r="Z3878" t="s">
        <v>68</v>
      </c>
      <c r="AB3878">
        <v>4</v>
      </c>
      <c r="AC3878" t="s">
        <v>61</v>
      </c>
      <c r="AJ3878" t="s">
        <v>69</v>
      </c>
      <c r="AQ3878" t="s">
        <v>69</v>
      </c>
      <c r="AY3878" t="s">
        <v>2531</v>
      </c>
      <c r="AZ3878">
        <v>10130</v>
      </c>
      <c r="BA3878" t="s">
        <v>2532</v>
      </c>
      <c r="BB3878" t="s">
        <v>2533</v>
      </c>
      <c r="BC3878">
        <v>1983</v>
      </c>
      <c r="BD3878" t="s">
        <v>2608</v>
      </c>
    </row>
    <row r="3879" spans="1:56" x14ac:dyDescent="0.35">
      <c r="A3879">
        <v>12125029</v>
      </c>
      <c r="B3879" t="s">
        <v>2530</v>
      </c>
      <c r="C3879" t="s">
        <v>195</v>
      </c>
      <c r="D3879" t="s">
        <v>57</v>
      </c>
      <c r="E3879" t="s">
        <v>86</v>
      </c>
      <c r="F3879" t="s">
        <v>58</v>
      </c>
      <c r="G3879" t="s">
        <v>59</v>
      </c>
      <c r="H3879" t="s">
        <v>60</v>
      </c>
      <c r="J3879" t="s">
        <v>86</v>
      </c>
      <c r="L3879" t="s">
        <v>74</v>
      </c>
      <c r="M3879" t="s">
        <v>63</v>
      </c>
      <c r="N3879" t="s">
        <v>64</v>
      </c>
      <c r="P3879" t="s">
        <v>201</v>
      </c>
      <c r="R3879">
        <v>55.3</v>
      </c>
      <c r="T3879">
        <v>52.5</v>
      </c>
      <c r="V3879">
        <v>58.3</v>
      </c>
      <c r="W3879" t="s">
        <v>66</v>
      </c>
      <c r="X3879" t="s">
        <v>67</v>
      </c>
      <c r="Y3879" t="s">
        <v>67</v>
      </c>
      <c r="Z3879" t="s">
        <v>68</v>
      </c>
      <c r="AB3879">
        <v>4</v>
      </c>
      <c r="AC3879" t="s">
        <v>61</v>
      </c>
      <c r="AJ3879" t="s">
        <v>69</v>
      </c>
      <c r="AQ3879" t="s">
        <v>69</v>
      </c>
      <c r="AY3879" t="s">
        <v>2531</v>
      </c>
      <c r="AZ3879">
        <v>10130</v>
      </c>
      <c r="BA3879" t="s">
        <v>2532</v>
      </c>
      <c r="BB3879" t="s">
        <v>2533</v>
      </c>
      <c r="BC3879">
        <v>1983</v>
      </c>
      <c r="BD3879" t="s">
        <v>2609</v>
      </c>
    </row>
    <row r="3880" spans="1:56" x14ac:dyDescent="0.35">
      <c r="A3880">
        <v>12125029</v>
      </c>
      <c r="B3880" t="s">
        <v>2530</v>
      </c>
      <c r="C3880" t="s">
        <v>195</v>
      </c>
      <c r="D3880" t="s">
        <v>57</v>
      </c>
      <c r="E3880" t="s">
        <v>86</v>
      </c>
      <c r="F3880" t="s">
        <v>58</v>
      </c>
      <c r="G3880" t="s">
        <v>59</v>
      </c>
      <c r="H3880" t="s">
        <v>60</v>
      </c>
      <c r="J3880" t="s">
        <v>86</v>
      </c>
      <c r="L3880" t="s">
        <v>74</v>
      </c>
      <c r="M3880" t="s">
        <v>63</v>
      </c>
      <c r="N3880" t="s">
        <v>64</v>
      </c>
      <c r="P3880" t="s">
        <v>201</v>
      </c>
      <c r="R3880">
        <v>48.6</v>
      </c>
      <c r="T3880">
        <v>45.8</v>
      </c>
      <c r="V3880">
        <v>51.6</v>
      </c>
      <c r="W3880" t="s">
        <v>66</v>
      </c>
      <c r="X3880" t="s">
        <v>67</v>
      </c>
      <c r="Y3880" t="s">
        <v>67</v>
      </c>
      <c r="Z3880" t="s">
        <v>68</v>
      </c>
      <c r="AB3880">
        <v>4</v>
      </c>
      <c r="AC3880" t="s">
        <v>61</v>
      </c>
      <c r="AJ3880" t="s">
        <v>69</v>
      </c>
      <c r="AQ3880" t="s">
        <v>69</v>
      </c>
      <c r="AY3880" t="s">
        <v>2531</v>
      </c>
      <c r="AZ3880">
        <v>10130</v>
      </c>
      <c r="BA3880" t="s">
        <v>2532</v>
      </c>
      <c r="BB3880" t="s">
        <v>2533</v>
      </c>
      <c r="BC3880">
        <v>1983</v>
      </c>
      <c r="BD3880" t="s">
        <v>2610</v>
      </c>
    </row>
    <row r="3881" spans="1:56" x14ac:dyDescent="0.35">
      <c r="A3881">
        <v>12125029</v>
      </c>
      <c r="B3881" t="s">
        <v>2530</v>
      </c>
      <c r="C3881" t="s">
        <v>195</v>
      </c>
      <c r="D3881" t="s">
        <v>57</v>
      </c>
      <c r="E3881" t="s">
        <v>86</v>
      </c>
      <c r="F3881" t="s">
        <v>58</v>
      </c>
      <c r="G3881" t="s">
        <v>59</v>
      </c>
      <c r="H3881" t="s">
        <v>60</v>
      </c>
      <c r="I3881" t="s">
        <v>129</v>
      </c>
      <c r="J3881" t="s">
        <v>86</v>
      </c>
      <c r="L3881" t="s">
        <v>74</v>
      </c>
      <c r="M3881" t="s">
        <v>63</v>
      </c>
      <c r="N3881" t="s">
        <v>64</v>
      </c>
      <c r="P3881" t="s">
        <v>201</v>
      </c>
      <c r="R3881">
        <v>30.3</v>
      </c>
      <c r="T3881">
        <v>14.63</v>
      </c>
      <c r="V3881">
        <v>44.46</v>
      </c>
      <c r="W3881" t="s">
        <v>66</v>
      </c>
      <c r="X3881" t="s">
        <v>67</v>
      </c>
      <c r="Y3881" t="s">
        <v>67</v>
      </c>
      <c r="Z3881" t="s">
        <v>68</v>
      </c>
      <c r="AB3881">
        <v>4</v>
      </c>
      <c r="AC3881" t="s">
        <v>61</v>
      </c>
      <c r="AJ3881" t="s">
        <v>69</v>
      </c>
      <c r="AQ3881" t="s">
        <v>69</v>
      </c>
      <c r="AY3881" t="s">
        <v>2581</v>
      </c>
      <c r="AZ3881">
        <v>14556</v>
      </c>
      <c r="BA3881" t="s">
        <v>2582</v>
      </c>
      <c r="BB3881" t="s">
        <v>2583</v>
      </c>
      <c r="BC3881">
        <v>1982</v>
      </c>
      <c r="BD3881" t="s">
        <v>2611</v>
      </c>
    </row>
    <row r="3882" spans="1:56" x14ac:dyDescent="0.35">
      <c r="A3882">
        <v>12125029</v>
      </c>
      <c r="B3882" t="s">
        <v>2530</v>
      </c>
      <c r="D3882" t="s">
        <v>57</v>
      </c>
      <c r="E3882" t="s">
        <v>86</v>
      </c>
      <c r="F3882" t="s">
        <v>58</v>
      </c>
      <c r="G3882" t="s">
        <v>59</v>
      </c>
      <c r="H3882" t="s">
        <v>60</v>
      </c>
      <c r="I3882" t="s">
        <v>188</v>
      </c>
      <c r="J3882" t="s">
        <v>86</v>
      </c>
      <c r="L3882" t="s">
        <v>74</v>
      </c>
      <c r="M3882" t="s">
        <v>63</v>
      </c>
      <c r="N3882" t="s">
        <v>64</v>
      </c>
      <c r="P3882" t="s">
        <v>2154</v>
      </c>
      <c r="R3882">
        <v>0.19</v>
      </c>
      <c r="W3882" t="s">
        <v>66</v>
      </c>
      <c r="X3882" t="s">
        <v>67</v>
      </c>
      <c r="Y3882" t="s">
        <v>67</v>
      </c>
      <c r="Z3882" t="s">
        <v>68</v>
      </c>
      <c r="AB3882">
        <v>4</v>
      </c>
      <c r="AC3882" t="s">
        <v>61</v>
      </c>
      <c r="AJ3882" t="s">
        <v>69</v>
      </c>
      <c r="AY3882" t="s">
        <v>2560</v>
      </c>
      <c r="AZ3882">
        <v>69474</v>
      </c>
      <c r="BA3882" t="s">
        <v>2561</v>
      </c>
      <c r="BB3882" t="s">
        <v>2562</v>
      </c>
      <c r="BC3882">
        <v>1989</v>
      </c>
      <c r="BD3882" t="s">
        <v>90</v>
      </c>
    </row>
    <row r="3883" spans="1:56" x14ac:dyDescent="0.35">
      <c r="A3883">
        <v>12125029</v>
      </c>
      <c r="B3883" t="s">
        <v>2530</v>
      </c>
      <c r="D3883" t="s">
        <v>57</v>
      </c>
      <c r="E3883" t="s">
        <v>86</v>
      </c>
      <c r="F3883" t="s">
        <v>58</v>
      </c>
      <c r="G3883" t="s">
        <v>59</v>
      </c>
      <c r="H3883" t="s">
        <v>60</v>
      </c>
      <c r="I3883" t="s">
        <v>129</v>
      </c>
      <c r="J3883" t="s">
        <v>86</v>
      </c>
      <c r="L3883" t="s">
        <v>74</v>
      </c>
      <c r="M3883" t="s">
        <v>63</v>
      </c>
      <c r="N3883" t="s">
        <v>64</v>
      </c>
      <c r="P3883" t="s">
        <v>2154</v>
      </c>
      <c r="R3883">
        <v>0.3</v>
      </c>
      <c r="T3883">
        <v>0.27</v>
      </c>
      <c r="V3883">
        <v>0.33</v>
      </c>
      <c r="W3883" t="s">
        <v>66</v>
      </c>
      <c r="X3883" t="s">
        <v>67</v>
      </c>
      <c r="Y3883" t="s">
        <v>67</v>
      </c>
      <c r="Z3883" t="s">
        <v>68</v>
      </c>
      <c r="AB3883">
        <v>4</v>
      </c>
      <c r="AC3883" t="s">
        <v>61</v>
      </c>
      <c r="AJ3883" t="s">
        <v>69</v>
      </c>
      <c r="AY3883" t="s">
        <v>2560</v>
      </c>
      <c r="AZ3883">
        <v>69474</v>
      </c>
      <c r="BA3883" t="s">
        <v>2561</v>
      </c>
      <c r="BB3883" t="s">
        <v>2562</v>
      </c>
      <c r="BC3883">
        <v>1989</v>
      </c>
      <c r="BD3883" t="s">
        <v>90</v>
      </c>
    </row>
    <row r="3884" spans="1:56" x14ac:dyDescent="0.35">
      <c r="A3884">
        <v>12125029</v>
      </c>
      <c r="B3884" t="s">
        <v>2530</v>
      </c>
      <c r="D3884" t="s">
        <v>57</v>
      </c>
      <c r="E3884" t="s">
        <v>86</v>
      </c>
      <c r="F3884" t="s">
        <v>58</v>
      </c>
      <c r="G3884" t="s">
        <v>59</v>
      </c>
      <c r="H3884" t="s">
        <v>60</v>
      </c>
      <c r="J3884" t="s">
        <v>86</v>
      </c>
      <c r="L3884" t="s">
        <v>74</v>
      </c>
      <c r="M3884" t="s">
        <v>63</v>
      </c>
      <c r="N3884" t="s">
        <v>64</v>
      </c>
      <c r="P3884" t="s">
        <v>201</v>
      </c>
      <c r="R3884">
        <v>148</v>
      </c>
      <c r="T3884">
        <v>138</v>
      </c>
      <c r="V3884">
        <v>159</v>
      </c>
      <c r="W3884" t="s">
        <v>66</v>
      </c>
      <c r="X3884" t="s">
        <v>67</v>
      </c>
      <c r="Y3884" t="s">
        <v>67</v>
      </c>
      <c r="Z3884" t="s">
        <v>68</v>
      </c>
      <c r="AB3884">
        <v>4</v>
      </c>
      <c r="AC3884" t="s">
        <v>61</v>
      </c>
      <c r="AJ3884" t="s">
        <v>69</v>
      </c>
      <c r="AQ3884" t="s">
        <v>69</v>
      </c>
      <c r="AY3884" t="s">
        <v>2549</v>
      </c>
      <c r="AZ3884">
        <v>10303</v>
      </c>
      <c r="BA3884" t="s">
        <v>2550</v>
      </c>
      <c r="BB3884" t="s">
        <v>2551</v>
      </c>
      <c r="BC3884">
        <v>1981</v>
      </c>
      <c r="BD3884" t="s">
        <v>2612</v>
      </c>
    </row>
    <row r="3885" spans="1:56" x14ac:dyDescent="0.35">
      <c r="A3885">
        <v>12125029</v>
      </c>
      <c r="B3885" t="s">
        <v>2530</v>
      </c>
      <c r="D3885" t="s">
        <v>57</v>
      </c>
      <c r="E3885" t="s">
        <v>86</v>
      </c>
      <c r="F3885" t="s">
        <v>58</v>
      </c>
      <c r="G3885" t="s">
        <v>59</v>
      </c>
      <c r="H3885" t="s">
        <v>60</v>
      </c>
      <c r="J3885" t="s">
        <v>86</v>
      </c>
      <c r="L3885" t="s">
        <v>74</v>
      </c>
      <c r="M3885" t="s">
        <v>63</v>
      </c>
      <c r="N3885" t="s">
        <v>64</v>
      </c>
      <c r="P3885" t="s">
        <v>201</v>
      </c>
      <c r="R3885">
        <v>67</v>
      </c>
      <c r="T3885">
        <v>59.3</v>
      </c>
      <c r="V3885">
        <v>75.7</v>
      </c>
      <c r="W3885" t="s">
        <v>66</v>
      </c>
      <c r="X3885" t="s">
        <v>67</v>
      </c>
      <c r="Y3885" t="s">
        <v>67</v>
      </c>
      <c r="Z3885" t="s">
        <v>68</v>
      </c>
      <c r="AB3885">
        <v>4</v>
      </c>
      <c r="AC3885" t="s">
        <v>61</v>
      </c>
      <c r="AJ3885" t="s">
        <v>69</v>
      </c>
      <c r="AQ3885" t="s">
        <v>69</v>
      </c>
      <c r="AY3885" t="s">
        <v>2549</v>
      </c>
      <c r="AZ3885">
        <v>10303</v>
      </c>
      <c r="BA3885" t="s">
        <v>2550</v>
      </c>
      <c r="BB3885" t="s">
        <v>2551</v>
      </c>
      <c r="BC3885">
        <v>1981</v>
      </c>
      <c r="BD3885" t="s">
        <v>2613</v>
      </c>
    </row>
    <row r="3886" spans="1:56" x14ac:dyDescent="0.35">
      <c r="A3886">
        <v>12125029</v>
      </c>
      <c r="B3886" t="s">
        <v>2530</v>
      </c>
      <c r="C3886" t="s">
        <v>195</v>
      </c>
      <c r="D3886" t="s">
        <v>57</v>
      </c>
      <c r="E3886" t="s">
        <v>86</v>
      </c>
      <c r="F3886" t="s">
        <v>58</v>
      </c>
      <c r="G3886" t="s">
        <v>59</v>
      </c>
      <c r="H3886" t="s">
        <v>60</v>
      </c>
      <c r="J3886" t="s">
        <v>86</v>
      </c>
      <c r="L3886" t="s">
        <v>74</v>
      </c>
      <c r="M3886" t="s">
        <v>63</v>
      </c>
      <c r="N3886" t="s">
        <v>64</v>
      </c>
      <c r="P3886" t="s">
        <v>201</v>
      </c>
      <c r="R3886">
        <v>66.7</v>
      </c>
      <c r="W3886" t="s">
        <v>66</v>
      </c>
      <c r="X3886" t="s">
        <v>67</v>
      </c>
      <c r="Y3886" t="s">
        <v>67</v>
      </c>
      <c r="Z3886" t="s">
        <v>68</v>
      </c>
      <c r="AB3886">
        <v>4</v>
      </c>
      <c r="AC3886" t="s">
        <v>61</v>
      </c>
      <c r="AJ3886" t="s">
        <v>69</v>
      </c>
      <c r="AQ3886" t="s">
        <v>69</v>
      </c>
      <c r="AY3886" t="s">
        <v>2531</v>
      </c>
      <c r="AZ3886">
        <v>10130</v>
      </c>
      <c r="BA3886" t="s">
        <v>2532</v>
      </c>
      <c r="BB3886" t="s">
        <v>2533</v>
      </c>
      <c r="BC3886">
        <v>1983</v>
      </c>
      <c r="BD3886" t="s">
        <v>2614</v>
      </c>
    </row>
    <row r="3887" spans="1:56" x14ac:dyDescent="0.35">
      <c r="A3887">
        <v>12125029</v>
      </c>
      <c r="B3887" t="s">
        <v>2530</v>
      </c>
      <c r="C3887" t="s">
        <v>195</v>
      </c>
      <c r="D3887" t="s">
        <v>57</v>
      </c>
      <c r="E3887" t="s">
        <v>86</v>
      </c>
      <c r="F3887" t="s">
        <v>58</v>
      </c>
      <c r="G3887" t="s">
        <v>59</v>
      </c>
      <c r="H3887" t="s">
        <v>60</v>
      </c>
      <c r="J3887" t="s">
        <v>86</v>
      </c>
      <c r="L3887" t="s">
        <v>74</v>
      </c>
      <c r="M3887" t="s">
        <v>63</v>
      </c>
      <c r="N3887" t="s">
        <v>64</v>
      </c>
      <c r="P3887" t="s">
        <v>201</v>
      </c>
      <c r="R3887">
        <v>108</v>
      </c>
      <c r="T3887">
        <v>94.1</v>
      </c>
      <c r="V3887">
        <v>123</v>
      </c>
      <c r="W3887" t="s">
        <v>66</v>
      </c>
      <c r="X3887" t="s">
        <v>67</v>
      </c>
      <c r="Y3887" t="s">
        <v>67</v>
      </c>
      <c r="Z3887" t="s">
        <v>68</v>
      </c>
      <c r="AB3887">
        <v>4</v>
      </c>
      <c r="AC3887" t="s">
        <v>61</v>
      </c>
      <c r="AJ3887" t="s">
        <v>69</v>
      </c>
      <c r="AQ3887" t="s">
        <v>69</v>
      </c>
      <c r="AY3887" t="s">
        <v>2531</v>
      </c>
      <c r="AZ3887">
        <v>10130</v>
      </c>
      <c r="BA3887" t="s">
        <v>2532</v>
      </c>
      <c r="BB3887" t="s">
        <v>2533</v>
      </c>
      <c r="BC3887">
        <v>1983</v>
      </c>
      <c r="BD3887" t="s">
        <v>2615</v>
      </c>
    </row>
    <row r="3888" spans="1:56" x14ac:dyDescent="0.35">
      <c r="A3888">
        <v>12125029</v>
      </c>
      <c r="B3888" t="s">
        <v>2530</v>
      </c>
      <c r="C3888" t="s">
        <v>195</v>
      </c>
      <c r="D3888" t="s">
        <v>57</v>
      </c>
      <c r="E3888" t="s">
        <v>86</v>
      </c>
      <c r="F3888" t="s">
        <v>58</v>
      </c>
      <c r="G3888" t="s">
        <v>59</v>
      </c>
      <c r="H3888" t="s">
        <v>60</v>
      </c>
      <c r="I3888" t="s">
        <v>129</v>
      </c>
      <c r="J3888" t="s">
        <v>86</v>
      </c>
      <c r="L3888" t="s">
        <v>74</v>
      </c>
      <c r="M3888" t="s">
        <v>63</v>
      </c>
      <c r="N3888" t="s">
        <v>64</v>
      </c>
      <c r="P3888" t="s">
        <v>201</v>
      </c>
      <c r="R3888">
        <v>14.57</v>
      </c>
      <c r="W3888" t="s">
        <v>66</v>
      </c>
      <c r="X3888" t="s">
        <v>67</v>
      </c>
      <c r="Y3888" t="s">
        <v>67</v>
      </c>
      <c r="Z3888" t="s">
        <v>68</v>
      </c>
      <c r="AB3888">
        <v>4</v>
      </c>
      <c r="AC3888" t="s">
        <v>61</v>
      </c>
      <c r="AJ3888" t="s">
        <v>69</v>
      </c>
      <c r="AQ3888" t="s">
        <v>69</v>
      </c>
      <c r="AY3888" t="s">
        <v>2581</v>
      </c>
      <c r="AZ3888">
        <v>14556</v>
      </c>
      <c r="BA3888" t="s">
        <v>2582</v>
      </c>
      <c r="BB3888" t="s">
        <v>2583</v>
      </c>
      <c r="BC3888">
        <v>1982</v>
      </c>
      <c r="BD3888" t="s">
        <v>2616</v>
      </c>
    </row>
    <row r="3889" spans="1:56" x14ac:dyDescent="0.35">
      <c r="A3889">
        <v>12125029</v>
      </c>
      <c r="B3889" t="s">
        <v>2530</v>
      </c>
      <c r="C3889" t="s">
        <v>195</v>
      </c>
      <c r="D3889" t="s">
        <v>57</v>
      </c>
      <c r="E3889" t="s">
        <v>86</v>
      </c>
      <c r="F3889" t="s">
        <v>58</v>
      </c>
      <c r="G3889" t="s">
        <v>59</v>
      </c>
      <c r="H3889" t="s">
        <v>60</v>
      </c>
      <c r="J3889" t="s">
        <v>86</v>
      </c>
      <c r="L3889" t="s">
        <v>74</v>
      </c>
      <c r="M3889" t="s">
        <v>63</v>
      </c>
      <c r="N3889" t="s">
        <v>64</v>
      </c>
      <c r="P3889" t="s">
        <v>201</v>
      </c>
      <c r="R3889">
        <v>50.4</v>
      </c>
      <c r="T3889">
        <v>46.9</v>
      </c>
      <c r="V3889">
        <v>54</v>
      </c>
      <c r="W3889" t="s">
        <v>66</v>
      </c>
      <c r="X3889" t="s">
        <v>67</v>
      </c>
      <c r="Y3889" t="s">
        <v>67</v>
      </c>
      <c r="Z3889" t="s">
        <v>68</v>
      </c>
      <c r="AB3889">
        <v>4</v>
      </c>
      <c r="AC3889" t="s">
        <v>61</v>
      </c>
      <c r="AJ3889" t="s">
        <v>69</v>
      </c>
      <c r="AQ3889" t="s">
        <v>69</v>
      </c>
      <c r="AY3889" t="s">
        <v>2531</v>
      </c>
      <c r="AZ3889">
        <v>10130</v>
      </c>
      <c r="BA3889" t="s">
        <v>2532</v>
      </c>
      <c r="BB3889" t="s">
        <v>2533</v>
      </c>
      <c r="BC3889">
        <v>1983</v>
      </c>
      <c r="BD3889" t="s">
        <v>2617</v>
      </c>
    </row>
    <row r="3890" spans="1:56" x14ac:dyDescent="0.35">
      <c r="A3890">
        <v>12125029</v>
      </c>
      <c r="B3890" t="s">
        <v>2530</v>
      </c>
      <c r="D3890" t="s">
        <v>57</v>
      </c>
      <c r="E3890" t="s">
        <v>86</v>
      </c>
      <c r="F3890" t="s">
        <v>58</v>
      </c>
      <c r="G3890" t="s">
        <v>59</v>
      </c>
      <c r="H3890" t="s">
        <v>60</v>
      </c>
      <c r="J3890" t="s">
        <v>86</v>
      </c>
      <c r="K3890" t="s">
        <v>320</v>
      </c>
      <c r="L3890" t="s">
        <v>74</v>
      </c>
      <c r="M3890" t="s">
        <v>63</v>
      </c>
      <c r="N3890" t="s">
        <v>64</v>
      </c>
      <c r="O3890">
        <v>6</v>
      </c>
      <c r="P3890" t="s">
        <v>2154</v>
      </c>
      <c r="R3890">
        <v>0.96</v>
      </c>
      <c r="T3890">
        <v>0.72499999999999998</v>
      </c>
      <c r="V3890">
        <v>1.278</v>
      </c>
      <c r="W3890" t="s">
        <v>66</v>
      </c>
      <c r="X3890" t="s">
        <v>67</v>
      </c>
      <c r="Y3890" t="s">
        <v>67</v>
      </c>
      <c r="Z3890" t="s">
        <v>68</v>
      </c>
      <c r="AB3890">
        <v>4</v>
      </c>
      <c r="AC3890" t="s">
        <v>61</v>
      </c>
      <c r="AJ3890" t="s">
        <v>69</v>
      </c>
      <c r="AY3890" t="s">
        <v>2545</v>
      </c>
      <c r="AZ3890">
        <v>88468</v>
      </c>
      <c r="BA3890" t="s">
        <v>2546</v>
      </c>
      <c r="BB3890" t="s">
        <v>2547</v>
      </c>
      <c r="BC3890">
        <v>1987</v>
      </c>
      <c r="BD3890" t="s">
        <v>2548</v>
      </c>
    </row>
    <row r="3891" spans="1:56" x14ac:dyDescent="0.35">
      <c r="A3891">
        <v>12125029</v>
      </c>
      <c r="B3891" t="s">
        <v>2530</v>
      </c>
      <c r="D3891" t="s">
        <v>57</v>
      </c>
      <c r="E3891" t="s">
        <v>86</v>
      </c>
      <c r="F3891" t="s">
        <v>58</v>
      </c>
      <c r="G3891" t="s">
        <v>59</v>
      </c>
      <c r="H3891" t="s">
        <v>60</v>
      </c>
      <c r="J3891" t="s">
        <v>86</v>
      </c>
      <c r="L3891" t="s">
        <v>74</v>
      </c>
      <c r="M3891" t="s">
        <v>63</v>
      </c>
      <c r="N3891" t="s">
        <v>64</v>
      </c>
      <c r="P3891" t="s">
        <v>201</v>
      </c>
      <c r="R3891">
        <v>18.399999999999999</v>
      </c>
      <c r="T3891">
        <v>16.3</v>
      </c>
      <c r="V3891">
        <v>20.8</v>
      </c>
      <c r="W3891" t="s">
        <v>66</v>
      </c>
      <c r="X3891" t="s">
        <v>67</v>
      </c>
      <c r="Y3891" t="s">
        <v>67</v>
      </c>
      <c r="Z3891" t="s">
        <v>68</v>
      </c>
      <c r="AB3891">
        <v>4</v>
      </c>
      <c r="AC3891" t="s">
        <v>61</v>
      </c>
      <c r="AJ3891" t="s">
        <v>69</v>
      </c>
      <c r="AQ3891" t="s">
        <v>69</v>
      </c>
      <c r="AY3891" t="s">
        <v>2549</v>
      </c>
      <c r="AZ3891">
        <v>10303</v>
      </c>
      <c r="BA3891" t="s">
        <v>2550</v>
      </c>
      <c r="BB3891" t="s">
        <v>2551</v>
      </c>
      <c r="BC3891">
        <v>1981</v>
      </c>
      <c r="BD3891" t="s">
        <v>2618</v>
      </c>
    </row>
    <row r="3892" spans="1:56" x14ac:dyDescent="0.35">
      <c r="A3892">
        <v>12125029</v>
      </c>
      <c r="B3892" t="s">
        <v>2530</v>
      </c>
      <c r="C3892" t="s">
        <v>195</v>
      </c>
      <c r="D3892" t="s">
        <v>57</v>
      </c>
      <c r="E3892" t="s">
        <v>86</v>
      </c>
      <c r="F3892" t="s">
        <v>58</v>
      </c>
      <c r="G3892" t="s">
        <v>59</v>
      </c>
      <c r="H3892" t="s">
        <v>60</v>
      </c>
      <c r="J3892" t="s">
        <v>86</v>
      </c>
      <c r="L3892" t="s">
        <v>62</v>
      </c>
      <c r="M3892" t="s">
        <v>63</v>
      </c>
      <c r="N3892" t="s">
        <v>64</v>
      </c>
      <c r="P3892" t="s">
        <v>2154</v>
      </c>
      <c r="R3892">
        <v>0.49</v>
      </c>
      <c r="T3892">
        <v>0.43</v>
      </c>
      <c r="V3892">
        <v>0.54</v>
      </c>
      <c r="W3892" t="s">
        <v>66</v>
      </c>
      <c r="X3892" t="s">
        <v>67</v>
      </c>
      <c r="Y3892" t="s">
        <v>67</v>
      </c>
      <c r="Z3892" t="s">
        <v>68</v>
      </c>
      <c r="AB3892">
        <v>4</v>
      </c>
      <c r="AC3892" t="s">
        <v>61</v>
      </c>
      <c r="AJ3892" t="s">
        <v>69</v>
      </c>
      <c r="AY3892" t="s">
        <v>2535</v>
      </c>
      <c r="AZ3892">
        <v>60011</v>
      </c>
      <c r="BA3892" t="s">
        <v>2536</v>
      </c>
      <c r="BB3892" t="s">
        <v>2537</v>
      </c>
      <c r="BC3892">
        <v>1985</v>
      </c>
      <c r="BD3892" t="s">
        <v>90</v>
      </c>
    </row>
    <row r="3893" spans="1:56" x14ac:dyDescent="0.35">
      <c r="A3893">
        <v>12125029</v>
      </c>
      <c r="B3893" t="s">
        <v>2530</v>
      </c>
      <c r="C3893" t="s">
        <v>195</v>
      </c>
      <c r="D3893" t="s">
        <v>57</v>
      </c>
      <c r="E3893" t="s">
        <v>86</v>
      </c>
      <c r="F3893" t="s">
        <v>58</v>
      </c>
      <c r="G3893" t="s">
        <v>59</v>
      </c>
      <c r="H3893" t="s">
        <v>60</v>
      </c>
      <c r="I3893" t="s">
        <v>188</v>
      </c>
      <c r="J3893">
        <v>4</v>
      </c>
      <c r="K3893" t="s">
        <v>1027</v>
      </c>
      <c r="L3893" t="s">
        <v>190</v>
      </c>
      <c r="M3893" t="s">
        <v>63</v>
      </c>
      <c r="N3893" t="s">
        <v>64</v>
      </c>
      <c r="O3893">
        <v>5</v>
      </c>
      <c r="P3893" t="s">
        <v>2154</v>
      </c>
      <c r="R3893">
        <v>0.87</v>
      </c>
      <c r="T3893">
        <v>0.8</v>
      </c>
      <c r="V3893">
        <v>0.97</v>
      </c>
      <c r="W3893" t="s">
        <v>66</v>
      </c>
      <c r="X3893" t="s">
        <v>67</v>
      </c>
      <c r="Y3893" t="s">
        <v>67</v>
      </c>
      <c r="Z3893" t="s">
        <v>68</v>
      </c>
      <c r="AB3893">
        <v>4</v>
      </c>
      <c r="AC3893" t="s">
        <v>61</v>
      </c>
      <c r="AJ3893" t="s">
        <v>69</v>
      </c>
      <c r="AY3893" t="s">
        <v>2619</v>
      </c>
      <c r="AZ3893">
        <v>87170</v>
      </c>
      <c r="BA3893" t="s">
        <v>2620</v>
      </c>
      <c r="BB3893" t="s">
        <v>2621</v>
      </c>
      <c r="BC3893">
        <v>2005</v>
      </c>
      <c r="BD3893" t="s">
        <v>1028</v>
      </c>
    </row>
    <row r="3894" spans="1:56" x14ac:dyDescent="0.35">
      <c r="A3894">
        <v>12125029</v>
      </c>
      <c r="B3894" t="s">
        <v>2530</v>
      </c>
      <c r="C3894" t="s">
        <v>195</v>
      </c>
      <c r="D3894" t="s">
        <v>57</v>
      </c>
      <c r="E3894" t="s">
        <v>86</v>
      </c>
      <c r="F3894" t="s">
        <v>58</v>
      </c>
      <c r="G3894" t="s">
        <v>59</v>
      </c>
      <c r="H3894" t="s">
        <v>60</v>
      </c>
      <c r="J3894" t="s">
        <v>86</v>
      </c>
      <c r="L3894" t="s">
        <v>74</v>
      </c>
      <c r="M3894" t="s">
        <v>63</v>
      </c>
      <c r="N3894" t="s">
        <v>64</v>
      </c>
      <c r="P3894" t="s">
        <v>201</v>
      </c>
      <c r="R3894">
        <v>91.8</v>
      </c>
      <c r="T3894">
        <v>82.8</v>
      </c>
      <c r="V3894">
        <v>102</v>
      </c>
      <c r="W3894" t="s">
        <v>66</v>
      </c>
      <c r="X3894" t="s">
        <v>67</v>
      </c>
      <c r="Y3894" t="s">
        <v>67</v>
      </c>
      <c r="Z3894" t="s">
        <v>68</v>
      </c>
      <c r="AB3894">
        <v>4</v>
      </c>
      <c r="AC3894" t="s">
        <v>61</v>
      </c>
      <c r="AJ3894" t="s">
        <v>69</v>
      </c>
      <c r="AQ3894" t="s">
        <v>69</v>
      </c>
      <c r="AY3894" t="s">
        <v>2531</v>
      </c>
      <c r="AZ3894">
        <v>10130</v>
      </c>
      <c r="BA3894" t="s">
        <v>2532</v>
      </c>
      <c r="BB3894" t="s">
        <v>2533</v>
      </c>
      <c r="BC3894">
        <v>1983</v>
      </c>
      <c r="BD3894" t="s">
        <v>2622</v>
      </c>
    </row>
    <row r="3895" spans="1:56" x14ac:dyDescent="0.35">
      <c r="A3895">
        <v>12125029</v>
      </c>
      <c r="B3895" t="s">
        <v>2530</v>
      </c>
      <c r="C3895" t="s">
        <v>195</v>
      </c>
      <c r="D3895" t="s">
        <v>57</v>
      </c>
      <c r="E3895" t="s">
        <v>86</v>
      </c>
      <c r="F3895" t="s">
        <v>58</v>
      </c>
      <c r="G3895" t="s">
        <v>59</v>
      </c>
      <c r="H3895" t="s">
        <v>60</v>
      </c>
      <c r="J3895" t="s">
        <v>86</v>
      </c>
      <c r="L3895" t="s">
        <v>74</v>
      </c>
      <c r="M3895" t="s">
        <v>63</v>
      </c>
      <c r="N3895" t="s">
        <v>64</v>
      </c>
      <c r="P3895" t="s">
        <v>201</v>
      </c>
      <c r="R3895">
        <v>50.2</v>
      </c>
      <c r="T3895">
        <v>45.7</v>
      </c>
      <c r="V3895">
        <v>55.1</v>
      </c>
      <c r="W3895" t="s">
        <v>66</v>
      </c>
      <c r="X3895" t="s">
        <v>67</v>
      </c>
      <c r="Y3895" t="s">
        <v>67</v>
      </c>
      <c r="Z3895" t="s">
        <v>68</v>
      </c>
      <c r="AB3895">
        <v>4</v>
      </c>
      <c r="AC3895" t="s">
        <v>61</v>
      </c>
      <c r="AJ3895" t="s">
        <v>69</v>
      </c>
      <c r="AQ3895" t="s">
        <v>69</v>
      </c>
      <c r="AY3895" t="s">
        <v>2531</v>
      </c>
      <c r="AZ3895">
        <v>10130</v>
      </c>
      <c r="BA3895" t="s">
        <v>2532</v>
      </c>
      <c r="BB3895" t="s">
        <v>2533</v>
      </c>
      <c r="BC3895">
        <v>1983</v>
      </c>
      <c r="BD3895" t="s">
        <v>2623</v>
      </c>
    </row>
    <row r="3896" spans="1:56" x14ac:dyDescent="0.35">
      <c r="A3896">
        <v>12125029</v>
      </c>
      <c r="B3896" t="s">
        <v>2530</v>
      </c>
      <c r="D3896" t="s">
        <v>57</v>
      </c>
      <c r="E3896" t="s">
        <v>86</v>
      </c>
      <c r="F3896" t="s">
        <v>58</v>
      </c>
      <c r="G3896" t="s">
        <v>59</v>
      </c>
      <c r="H3896" t="s">
        <v>60</v>
      </c>
      <c r="I3896" t="s">
        <v>129</v>
      </c>
      <c r="J3896" t="s">
        <v>86</v>
      </c>
      <c r="L3896" t="s">
        <v>74</v>
      </c>
      <c r="M3896" t="s">
        <v>63</v>
      </c>
      <c r="N3896" t="s">
        <v>64</v>
      </c>
      <c r="P3896" t="s">
        <v>2154</v>
      </c>
      <c r="R3896">
        <v>0.4</v>
      </c>
      <c r="T3896">
        <v>0.35</v>
      </c>
      <c r="V3896">
        <v>0.45</v>
      </c>
      <c r="W3896" t="s">
        <v>66</v>
      </c>
      <c r="X3896" t="s">
        <v>67</v>
      </c>
      <c r="Y3896" t="s">
        <v>67</v>
      </c>
      <c r="Z3896" t="s">
        <v>68</v>
      </c>
      <c r="AB3896">
        <v>4</v>
      </c>
      <c r="AC3896" t="s">
        <v>61</v>
      </c>
      <c r="AJ3896" t="s">
        <v>69</v>
      </c>
      <c r="AY3896" t="s">
        <v>2560</v>
      </c>
      <c r="AZ3896">
        <v>69474</v>
      </c>
      <c r="BA3896" t="s">
        <v>2561</v>
      </c>
      <c r="BB3896" t="s">
        <v>2562</v>
      </c>
      <c r="BC3896">
        <v>1989</v>
      </c>
      <c r="BD3896" t="s">
        <v>90</v>
      </c>
    </row>
    <row r="3897" spans="1:56" x14ac:dyDescent="0.35">
      <c r="A3897">
        <v>12125029</v>
      </c>
      <c r="B3897" t="s">
        <v>2530</v>
      </c>
      <c r="D3897" t="s">
        <v>85</v>
      </c>
      <c r="E3897" t="s">
        <v>86</v>
      </c>
      <c r="F3897" t="s">
        <v>58</v>
      </c>
      <c r="G3897" t="s">
        <v>59</v>
      </c>
      <c r="H3897" t="s">
        <v>60</v>
      </c>
      <c r="J3897" t="s">
        <v>86</v>
      </c>
      <c r="L3897" t="s">
        <v>62</v>
      </c>
      <c r="M3897" t="s">
        <v>63</v>
      </c>
      <c r="N3897" t="s">
        <v>64</v>
      </c>
      <c r="P3897" t="s">
        <v>201</v>
      </c>
      <c r="R3897">
        <v>22</v>
      </c>
      <c r="T3897">
        <v>20</v>
      </c>
      <c r="V3897">
        <v>23</v>
      </c>
      <c r="W3897" t="s">
        <v>66</v>
      </c>
      <c r="X3897" t="s">
        <v>67</v>
      </c>
      <c r="Y3897" t="s">
        <v>67</v>
      </c>
      <c r="Z3897" t="s">
        <v>68</v>
      </c>
      <c r="AB3897">
        <v>4</v>
      </c>
      <c r="AC3897" t="s">
        <v>61</v>
      </c>
      <c r="AJ3897" t="s">
        <v>69</v>
      </c>
      <c r="AQ3897" t="s">
        <v>69</v>
      </c>
      <c r="AY3897" t="s">
        <v>2026</v>
      </c>
      <c r="AZ3897">
        <v>165613</v>
      </c>
      <c r="BA3897" t="s">
        <v>2027</v>
      </c>
      <c r="BB3897" t="s">
        <v>2028</v>
      </c>
      <c r="BC3897">
        <v>1980</v>
      </c>
      <c r="BD3897" t="s">
        <v>2624</v>
      </c>
    </row>
    <row r="3898" spans="1:56" x14ac:dyDescent="0.35">
      <c r="A3898">
        <v>12125029</v>
      </c>
      <c r="B3898" t="s">
        <v>2530</v>
      </c>
      <c r="D3898" t="s">
        <v>85</v>
      </c>
      <c r="E3898" t="s">
        <v>86</v>
      </c>
      <c r="F3898" t="s">
        <v>58</v>
      </c>
      <c r="G3898" t="s">
        <v>59</v>
      </c>
      <c r="H3898" t="s">
        <v>60</v>
      </c>
      <c r="J3898" t="s">
        <v>86</v>
      </c>
      <c r="L3898" t="s">
        <v>62</v>
      </c>
      <c r="M3898" t="s">
        <v>63</v>
      </c>
      <c r="N3898" t="s">
        <v>64</v>
      </c>
      <c r="P3898" t="s">
        <v>201</v>
      </c>
      <c r="R3898">
        <v>285</v>
      </c>
      <c r="T3898">
        <v>266</v>
      </c>
      <c r="V3898">
        <v>304</v>
      </c>
      <c r="W3898" t="s">
        <v>66</v>
      </c>
      <c r="X3898" t="s">
        <v>67</v>
      </c>
      <c r="Y3898" t="s">
        <v>67</v>
      </c>
      <c r="Z3898" t="s">
        <v>68</v>
      </c>
      <c r="AB3898">
        <v>4</v>
      </c>
      <c r="AC3898" t="s">
        <v>61</v>
      </c>
      <c r="AJ3898" t="s">
        <v>69</v>
      </c>
      <c r="AQ3898" t="s">
        <v>69</v>
      </c>
      <c r="AY3898" t="s">
        <v>2026</v>
      </c>
      <c r="AZ3898">
        <v>165613</v>
      </c>
      <c r="BA3898" t="s">
        <v>2027</v>
      </c>
      <c r="BB3898" t="s">
        <v>2028</v>
      </c>
      <c r="BC3898">
        <v>1980</v>
      </c>
      <c r="BD3898" t="s">
        <v>2625</v>
      </c>
    </row>
    <row r="3899" spans="1:56" x14ac:dyDescent="0.35">
      <c r="A3899">
        <v>12125029</v>
      </c>
      <c r="B3899" t="s">
        <v>2530</v>
      </c>
      <c r="D3899" t="s">
        <v>57</v>
      </c>
      <c r="E3899" t="s">
        <v>86</v>
      </c>
      <c r="F3899" t="s">
        <v>58</v>
      </c>
      <c r="G3899" t="s">
        <v>59</v>
      </c>
      <c r="H3899" t="s">
        <v>60</v>
      </c>
      <c r="I3899" t="s">
        <v>129</v>
      </c>
      <c r="J3899" t="s">
        <v>86</v>
      </c>
      <c r="L3899" t="s">
        <v>74</v>
      </c>
      <c r="M3899" t="s">
        <v>63</v>
      </c>
      <c r="N3899" t="s">
        <v>64</v>
      </c>
      <c r="P3899" t="s">
        <v>2154</v>
      </c>
      <c r="R3899">
        <v>0.77</v>
      </c>
      <c r="W3899" t="s">
        <v>66</v>
      </c>
      <c r="X3899" t="s">
        <v>67</v>
      </c>
      <c r="Y3899" t="s">
        <v>67</v>
      </c>
      <c r="Z3899" t="s">
        <v>68</v>
      </c>
      <c r="AB3899">
        <v>4</v>
      </c>
      <c r="AC3899" t="s">
        <v>61</v>
      </c>
      <c r="AJ3899" t="s">
        <v>69</v>
      </c>
      <c r="AY3899" t="s">
        <v>2560</v>
      </c>
      <c r="AZ3899">
        <v>69474</v>
      </c>
      <c r="BA3899" t="s">
        <v>2561</v>
      </c>
      <c r="BB3899" t="s">
        <v>2562</v>
      </c>
      <c r="BC3899">
        <v>1989</v>
      </c>
      <c r="BD3899" t="s">
        <v>90</v>
      </c>
    </row>
    <row r="3900" spans="1:56" x14ac:dyDescent="0.35">
      <c r="A3900">
        <v>12125029</v>
      </c>
      <c r="B3900" t="s">
        <v>2530</v>
      </c>
      <c r="D3900" t="s">
        <v>57</v>
      </c>
      <c r="E3900" t="s">
        <v>86</v>
      </c>
      <c r="F3900" t="s">
        <v>58</v>
      </c>
      <c r="G3900" t="s">
        <v>59</v>
      </c>
      <c r="H3900" t="s">
        <v>60</v>
      </c>
      <c r="J3900" t="s">
        <v>86</v>
      </c>
      <c r="K3900" t="s">
        <v>320</v>
      </c>
      <c r="L3900" t="s">
        <v>74</v>
      </c>
      <c r="M3900" t="s">
        <v>63</v>
      </c>
      <c r="N3900" t="s">
        <v>64</v>
      </c>
      <c r="O3900">
        <v>6</v>
      </c>
      <c r="P3900" t="s">
        <v>2154</v>
      </c>
      <c r="R3900">
        <v>0.66</v>
      </c>
      <c r="T3900">
        <v>0.54100000000000004</v>
      </c>
      <c r="V3900">
        <v>1.01</v>
      </c>
      <c r="W3900" t="s">
        <v>66</v>
      </c>
      <c r="X3900" t="s">
        <v>67</v>
      </c>
      <c r="Y3900" t="s">
        <v>67</v>
      </c>
      <c r="Z3900" t="s">
        <v>68</v>
      </c>
      <c r="AB3900">
        <v>4</v>
      </c>
      <c r="AC3900" t="s">
        <v>61</v>
      </c>
      <c r="AJ3900" t="s">
        <v>69</v>
      </c>
      <c r="AY3900" t="s">
        <v>2545</v>
      </c>
      <c r="AZ3900">
        <v>88468</v>
      </c>
      <c r="BA3900" t="s">
        <v>2546</v>
      </c>
      <c r="BB3900" t="s">
        <v>2547</v>
      </c>
      <c r="BC3900">
        <v>1987</v>
      </c>
      <c r="BD3900" t="s">
        <v>2548</v>
      </c>
    </row>
    <row r="3901" spans="1:56" x14ac:dyDescent="0.35">
      <c r="A3901">
        <v>12125029</v>
      </c>
      <c r="B3901" t="s">
        <v>2530</v>
      </c>
      <c r="C3901" t="s">
        <v>195</v>
      </c>
      <c r="D3901" t="s">
        <v>57</v>
      </c>
      <c r="E3901" t="s">
        <v>86</v>
      </c>
      <c r="F3901" t="s">
        <v>58</v>
      </c>
      <c r="G3901" t="s">
        <v>59</v>
      </c>
      <c r="H3901" t="s">
        <v>60</v>
      </c>
      <c r="J3901" t="s">
        <v>86</v>
      </c>
      <c r="L3901" t="s">
        <v>62</v>
      </c>
      <c r="M3901" t="s">
        <v>63</v>
      </c>
      <c r="N3901" t="s">
        <v>64</v>
      </c>
      <c r="P3901" t="s">
        <v>2154</v>
      </c>
      <c r="R3901">
        <v>0.49</v>
      </c>
      <c r="T3901">
        <v>0.33</v>
      </c>
      <c r="V3901">
        <v>0.78</v>
      </c>
      <c r="W3901" t="s">
        <v>66</v>
      </c>
      <c r="X3901" t="s">
        <v>67</v>
      </c>
      <c r="Y3901" t="s">
        <v>67</v>
      </c>
      <c r="Z3901" t="s">
        <v>68</v>
      </c>
      <c r="AB3901">
        <v>4</v>
      </c>
      <c r="AC3901" t="s">
        <v>61</v>
      </c>
      <c r="AJ3901" t="s">
        <v>69</v>
      </c>
      <c r="AY3901" t="s">
        <v>2535</v>
      </c>
      <c r="AZ3901">
        <v>60011</v>
      </c>
      <c r="BA3901" t="s">
        <v>2536</v>
      </c>
      <c r="BB3901" t="s">
        <v>2537</v>
      </c>
      <c r="BC3901">
        <v>1985</v>
      </c>
      <c r="BD3901" t="s">
        <v>90</v>
      </c>
    </row>
    <row r="3902" spans="1:56" x14ac:dyDescent="0.35">
      <c r="A3902">
        <v>12125029</v>
      </c>
      <c r="B3902" t="s">
        <v>2530</v>
      </c>
      <c r="C3902" t="s">
        <v>195</v>
      </c>
      <c r="D3902" t="s">
        <v>57</v>
      </c>
      <c r="E3902" t="s">
        <v>86</v>
      </c>
      <c r="F3902" t="s">
        <v>58</v>
      </c>
      <c r="G3902" t="s">
        <v>59</v>
      </c>
      <c r="H3902" t="s">
        <v>60</v>
      </c>
      <c r="I3902" t="s">
        <v>129</v>
      </c>
      <c r="J3902" t="s">
        <v>86</v>
      </c>
      <c r="L3902" t="s">
        <v>74</v>
      </c>
      <c r="M3902" t="s">
        <v>63</v>
      </c>
      <c r="N3902" t="s">
        <v>64</v>
      </c>
      <c r="P3902" t="s">
        <v>201</v>
      </c>
      <c r="R3902">
        <v>17.89</v>
      </c>
      <c r="T3902">
        <v>16.13</v>
      </c>
      <c r="V3902">
        <v>25.75</v>
      </c>
      <c r="W3902" t="s">
        <v>66</v>
      </c>
      <c r="X3902" t="s">
        <v>67</v>
      </c>
      <c r="Y3902" t="s">
        <v>67</v>
      </c>
      <c r="Z3902" t="s">
        <v>68</v>
      </c>
      <c r="AB3902">
        <v>4</v>
      </c>
      <c r="AC3902" t="s">
        <v>61</v>
      </c>
      <c r="AJ3902" t="s">
        <v>69</v>
      </c>
      <c r="AQ3902" t="s">
        <v>69</v>
      </c>
      <c r="AY3902" t="s">
        <v>2581</v>
      </c>
      <c r="AZ3902">
        <v>14556</v>
      </c>
      <c r="BA3902" t="s">
        <v>2582</v>
      </c>
      <c r="BB3902" t="s">
        <v>2583</v>
      </c>
      <c r="BC3902">
        <v>1982</v>
      </c>
      <c r="BD3902" t="s">
        <v>2626</v>
      </c>
    </row>
    <row r="3903" spans="1:56" x14ac:dyDescent="0.35">
      <c r="A3903">
        <v>12125029</v>
      </c>
      <c r="B3903" t="s">
        <v>2530</v>
      </c>
      <c r="C3903" t="s">
        <v>195</v>
      </c>
      <c r="D3903" t="s">
        <v>57</v>
      </c>
      <c r="E3903" t="s">
        <v>86</v>
      </c>
      <c r="F3903" t="s">
        <v>58</v>
      </c>
      <c r="G3903" t="s">
        <v>59</v>
      </c>
      <c r="H3903" t="s">
        <v>60</v>
      </c>
      <c r="J3903" t="s">
        <v>86</v>
      </c>
      <c r="L3903" t="s">
        <v>74</v>
      </c>
      <c r="M3903" t="s">
        <v>63</v>
      </c>
      <c r="N3903" t="s">
        <v>64</v>
      </c>
      <c r="P3903" t="s">
        <v>201</v>
      </c>
      <c r="R3903">
        <v>64.7</v>
      </c>
      <c r="T3903">
        <v>59</v>
      </c>
      <c r="V3903">
        <v>70.8</v>
      </c>
      <c r="W3903" t="s">
        <v>66</v>
      </c>
      <c r="X3903" t="s">
        <v>67</v>
      </c>
      <c r="Y3903" t="s">
        <v>67</v>
      </c>
      <c r="Z3903" t="s">
        <v>68</v>
      </c>
      <c r="AB3903">
        <v>4</v>
      </c>
      <c r="AC3903" t="s">
        <v>61</v>
      </c>
      <c r="AJ3903" t="s">
        <v>69</v>
      </c>
      <c r="AQ3903" t="s">
        <v>69</v>
      </c>
      <c r="AY3903" t="s">
        <v>2531</v>
      </c>
      <c r="AZ3903">
        <v>10130</v>
      </c>
      <c r="BA3903" t="s">
        <v>2532</v>
      </c>
      <c r="BB3903" t="s">
        <v>2533</v>
      </c>
      <c r="BC3903">
        <v>1983</v>
      </c>
      <c r="BD3903" t="s">
        <v>2627</v>
      </c>
    </row>
    <row r="3904" spans="1:56" x14ac:dyDescent="0.35">
      <c r="A3904">
        <v>12125029</v>
      </c>
      <c r="B3904" t="s">
        <v>2530</v>
      </c>
      <c r="C3904" t="s">
        <v>195</v>
      </c>
      <c r="D3904" t="s">
        <v>57</v>
      </c>
      <c r="E3904" t="s">
        <v>86</v>
      </c>
      <c r="F3904" t="s">
        <v>58</v>
      </c>
      <c r="G3904" t="s">
        <v>59</v>
      </c>
      <c r="H3904" t="s">
        <v>60</v>
      </c>
      <c r="J3904" t="s">
        <v>86</v>
      </c>
      <c r="L3904" t="s">
        <v>74</v>
      </c>
      <c r="M3904" t="s">
        <v>63</v>
      </c>
      <c r="N3904" t="s">
        <v>64</v>
      </c>
      <c r="P3904" t="s">
        <v>201</v>
      </c>
      <c r="R3904">
        <v>34.200000000000003</v>
      </c>
      <c r="T3904">
        <v>29</v>
      </c>
      <c r="V3904">
        <v>40.4</v>
      </c>
      <c r="W3904" t="s">
        <v>66</v>
      </c>
      <c r="X3904" t="s">
        <v>67</v>
      </c>
      <c r="Y3904" t="s">
        <v>67</v>
      </c>
      <c r="Z3904" t="s">
        <v>68</v>
      </c>
      <c r="AB3904">
        <v>4</v>
      </c>
      <c r="AC3904" t="s">
        <v>61</v>
      </c>
      <c r="AJ3904" t="s">
        <v>69</v>
      </c>
      <c r="AQ3904" t="s">
        <v>69</v>
      </c>
      <c r="AY3904" t="s">
        <v>2531</v>
      </c>
      <c r="AZ3904">
        <v>10130</v>
      </c>
      <c r="BA3904" t="s">
        <v>2532</v>
      </c>
      <c r="BB3904" t="s">
        <v>2533</v>
      </c>
      <c r="BC3904">
        <v>1983</v>
      </c>
      <c r="BD3904" t="s">
        <v>2628</v>
      </c>
    </row>
    <row r="3905" spans="1:56" x14ac:dyDescent="0.35">
      <c r="A3905">
        <v>12125029</v>
      </c>
      <c r="B3905" t="s">
        <v>2530</v>
      </c>
      <c r="C3905" t="s">
        <v>195</v>
      </c>
      <c r="D3905" t="s">
        <v>57</v>
      </c>
      <c r="E3905" t="s">
        <v>86</v>
      </c>
      <c r="F3905" t="s">
        <v>58</v>
      </c>
      <c r="G3905" t="s">
        <v>59</v>
      </c>
      <c r="H3905" t="s">
        <v>60</v>
      </c>
      <c r="I3905" t="s">
        <v>129</v>
      </c>
      <c r="J3905" t="s">
        <v>86</v>
      </c>
      <c r="L3905" t="s">
        <v>74</v>
      </c>
      <c r="M3905" t="s">
        <v>63</v>
      </c>
      <c r="N3905" t="s">
        <v>64</v>
      </c>
      <c r="P3905" t="s">
        <v>201</v>
      </c>
      <c r="R3905">
        <v>13.98</v>
      </c>
      <c r="T3905">
        <v>12.8</v>
      </c>
      <c r="V3905">
        <v>15.18</v>
      </c>
      <c r="W3905" t="s">
        <v>66</v>
      </c>
      <c r="X3905" t="s">
        <v>67</v>
      </c>
      <c r="Y3905" t="s">
        <v>67</v>
      </c>
      <c r="Z3905" t="s">
        <v>68</v>
      </c>
      <c r="AB3905">
        <v>4</v>
      </c>
      <c r="AC3905" t="s">
        <v>61</v>
      </c>
      <c r="AJ3905" t="s">
        <v>69</v>
      </c>
      <c r="AQ3905" t="s">
        <v>69</v>
      </c>
      <c r="AY3905" t="s">
        <v>2581</v>
      </c>
      <c r="AZ3905">
        <v>14556</v>
      </c>
      <c r="BA3905" t="s">
        <v>2582</v>
      </c>
      <c r="BB3905" t="s">
        <v>2583</v>
      </c>
      <c r="BC3905">
        <v>1982</v>
      </c>
      <c r="BD3905" t="s">
        <v>2629</v>
      </c>
    </row>
    <row r="3906" spans="1:56" x14ac:dyDescent="0.35">
      <c r="A3906">
        <v>12125029</v>
      </c>
      <c r="B3906" t="s">
        <v>2530</v>
      </c>
      <c r="C3906" t="s">
        <v>195</v>
      </c>
      <c r="D3906" t="s">
        <v>57</v>
      </c>
      <c r="E3906" t="s">
        <v>86</v>
      </c>
      <c r="F3906" t="s">
        <v>58</v>
      </c>
      <c r="G3906" t="s">
        <v>59</v>
      </c>
      <c r="H3906" t="s">
        <v>60</v>
      </c>
      <c r="J3906" t="s">
        <v>86</v>
      </c>
      <c r="L3906" t="s">
        <v>74</v>
      </c>
      <c r="M3906" t="s">
        <v>63</v>
      </c>
      <c r="N3906" t="s">
        <v>64</v>
      </c>
      <c r="P3906" t="s">
        <v>201</v>
      </c>
      <c r="R3906">
        <v>44.8</v>
      </c>
      <c r="T3906">
        <v>38.799999999999997</v>
      </c>
      <c r="V3906">
        <v>51.7</v>
      </c>
      <c r="W3906" t="s">
        <v>66</v>
      </c>
      <c r="X3906" t="s">
        <v>67</v>
      </c>
      <c r="Y3906" t="s">
        <v>67</v>
      </c>
      <c r="Z3906" t="s">
        <v>68</v>
      </c>
      <c r="AB3906">
        <v>4</v>
      </c>
      <c r="AC3906" t="s">
        <v>61</v>
      </c>
      <c r="AJ3906" t="s">
        <v>69</v>
      </c>
      <c r="AQ3906" t="s">
        <v>69</v>
      </c>
      <c r="AY3906" t="s">
        <v>2531</v>
      </c>
      <c r="AZ3906">
        <v>10130</v>
      </c>
      <c r="BA3906" t="s">
        <v>2532</v>
      </c>
      <c r="BB3906" t="s">
        <v>2533</v>
      </c>
      <c r="BC3906">
        <v>1983</v>
      </c>
      <c r="BD3906" t="s">
        <v>2630</v>
      </c>
    </row>
    <row r="3907" spans="1:56" x14ac:dyDescent="0.35">
      <c r="A3907">
        <v>12125029</v>
      </c>
      <c r="B3907" t="s">
        <v>2530</v>
      </c>
      <c r="C3907" t="s">
        <v>91</v>
      </c>
      <c r="D3907" t="s">
        <v>57</v>
      </c>
      <c r="E3907" t="s">
        <v>79</v>
      </c>
      <c r="F3907" t="s">
        <v>58</v>
      </c>
      <c r="G3907" t="s">
        <v>59</v>
      </c>
      <c r="H3907" t="s">
        <v>60</v>
      </c>
      <c r="J3907" t="s">
        <v>86</v>
      </c>
      <c r="L3907" t="s">
        <v>74</v>
      </c>
      <c r="M3907" t="s">
        <v>63</v>
      </c>
      <c r="N3907" t="s">
        <v>64</v>
      </c>
      <c r="P3907" t="s">
        <v>2154</v>
      </c>
      <c r="R3907">
        <v>1.98</v>
      </c>
      <c r="T3907">
        <v>1.67</v>
      </c>
      <c r="V3907">
        <v>2.36</v>
      </c>
      <c r="W3907" t="s">
        <v>66</v>
      </c>
      <c r="X3907" t="s">
        <v>67</v>
      </c>
      <c r="Y3907" t="s">
        <v>67</v>
      </c>
      <c r="Z3907" t="s">
        <v>68</v>
      </c>
      <c r="AB3907">
        <v>4</v>
      </c>
      <c r="AC3907" t="s">
        <v>61</v>
      </c>
      <c r="AJ3907" t="s">
        <v>69</v>
      </c>
      <c r="AY3907" t="s">
        <v>2538</v>
      </c>
      <c r="AZ3907">
        <v>12116</v>
      </c>
      <c r="BA3907" t="s">
        <v>2539</v>
      </c>
      <c r="BB3907" t="s">
        <v>2540</v>
      </c>
      <c r="BC3907">
        <v>1987</v>
      </c>
      <c r="BD3907" t="s">
        <v>90</v>
      </c>
    </row>
    <row r="3908" spans="1:56" x14ac:dyDescent="0.35">
      <c r="A3908">
        <v>12125029</v>
      </c>
      <c r="B3908" t="s">
        <v>2530</v>
      </c>
      <c r="C3908" t="s">
        <v>195</v>
      </c>
      <c r="D3908" t="s">
        <v>57</v>
      </c>
      <c r="E3908" t="s">
        <v>86</v>
      </c>
      <c r="F3908" t="s">
        <v>58</v>
      </c>
      <c r="G3908" t="s">
        <v>59</v>
      </c>
      <c r="H3908" t="s">
        <v>60</v>
      </c>
      <c r="J3908" t="s">
        <v>86</v>
      </c>
      <c r="K3908" t="s">
        <v>61</v>
      </c>
      <c r="L3908" t="s">
        <v>190</v>
      </c>
      <c r="M3908" t="s">
        <v>63</v>
      </c>
      <c r="N3908" t="s">
        <v>64</v>
      </c>
      <c r="O3908">
        <v>8</v>
      </c>
      <c r="P3908" t="s">
        <v>2154</v>
      </c>
      <c r="R3908">
        <v>1.1399999999999999</v>
      </c>
      <c r="T3908">
        <v>1.03</v>
      </c>
      <c r="V3908">
        <v>1.28</v>
      </c>
      <c r="W3908" t="s">
        <v>66</v>
      </c>
      <c r="X3908" t="s">
        <v>67</v>
      </c>
      <c r="Y3908" t="s">
        <v>67</v>
      </c>
      <c r="Z3908" t="s">
        <v>68</v>
      </c>
      <c r="AB3908">
        <v>4</v>
      </c>
      <c r="AC3908" t="s">
        <v>61</v>
      </c>
      <c r="AJ3908" t="s">
        <v>69</v>
      </c>
      <c r="AY3908" t="s">
        <v>2541</v>
      </c>
      <c r="AZ3908">
        <v>86288</v>
      </c>
      <c r="BA3908" t="s">
        <v>2542</v>
      </c>
      <c r="BB3908" t="s">
        <v>2543</v>
      </c>
      <c r="BC3908">
        <v>1987</v>
      </c>
      <c r="BD3908" t="s">
        <v>2544</v>
      </c>
    </row>
    <row r="3909" spans="1:56" x14ac:dyDescent="0.35">
      <c r="A3909">
        <v>12125029</v>
      </c>
      <c r="B3909" t="s">
        <v>2530</v>
      </c>
      <c r="C3909" t="s">
        <v>195</v>
      </c>
      <c r="D3909" t="s">
        <v>57</v>
      </c>
      <c r="E3909" t="s">
        <v>86</v>
      </c>
      <c r="F3909" t="s">
        <v>58</v>
      </c>
      <c r="G3909" t="s">
        <v>59</v>
      </c>
      <c r="H3909" t="s">
        <v>60</v>
      </c>
      <c r="J3909" t="s">
        <v>86</v>
      </c>
      <c r="L3909" t="s">
        <v>74</v>
      </c>
      <c r="M3909" t="s">
        <v>63</v>
      </c>
      <c r="N3909" t="s">
        <v>64</v>
      </c>
      <c r="P3909" t="s">
        <v>201</v>
      </c>
      <c r="R3909">
        <v>58.2</v>
      </c>
      <c r="T3909">
        <v>52.6</v>
      </c>
      <c r="V3909">
        <v>64.400000000000006</v>
      </c>
      <c r="W3909" t="s">
        <v>66</v>
      </c>
      <c r="X3909" t="s">
        <v>67</v>
      </c>
      <c r="Y3909" t="s">
        <v>67</v>
      </c>
      <c r="Z3909" t="s">
        <v>68</v>
      </c>
      <c r="AB3909">
        <v>4</v>
      </c>
      <c r="AC3909" t="s">
        <v>61</v>
      </c>
      <c r="AJ3909" t="s">
        <v>69</v>
      </c>
      <c r="AQ3909" t="s">
        <v>69</v>
      </c>
      <c r="AY3909" t="s">
        <v>2531</v>
      </c>
      <c r="AZ3909">
        <v>10130</v>
      </c>
      <c r="BA3909" t="s">
        <v>2532</v>
      </c>
      <c r="BB3909" t="s">
        <v>2533</v>
      </c>
      <c r="BC3909">
        <v>1983</v>
      </c>
      <c r="BD3909" t="s">
        <v>2631</v>
      </c>
    </row>
    <row r="3910" spans="1:56" x14ac:dyDescent="0.35">
      <c r="A3910">
        <v>12125029</v>
      </c>
      <c r="B3910" t="s">
        <v>2530</v>
      </c>
      <c r="C3910" t="s">
        <v>195</v>
      </c>
      <c r="D3910" t="s">
        <v>57</v>
      </c>
      <c r="E3910" t="s">
        <v>86</v>
      </c>
      <c r="F3910" t="s">
        <v>58</v>
      </c>
      <c r="G3910" t="s">
        <v>59</v>
      </c>
      <c r="H3910" t="s">
        <v>60</v>
      </c>
      <c r="J3910" t="s">
        <v>86</v>
      </c>
      <c r="L3910" t="s">
        <v>62</v>
      </c>
      <c r="M3910" t="s">
        <v>63</v>
      </c>
      <c r="N3910" t="s">
        <v>64</v>
      </c>
      <c r="P3910" t="s">
        <v>2154</v>
      </c>
      <c r="R3910">
        <v>0.48</v>
      </c>
      <c r="T3910">
        <v>0.43</v>
      </c>
      <c r="V3910">
        <v>0.54</v>
      </c>
      <c r="W3910" t="s">
        <v>66</v>
      </c>
      <c r="X3910" t="s">
        <v>67</v>
      </c>
      <c r="Y3910" t="s">
        <v>67</v>
      </c>
      <c r="Z3910" t="s">
        <v>68</v>
      </c>
      <c r="AB3910">
        <v>4</v>
      </c>
      <c r="AC3910" t="s">
        <v>61</v>
      </c>
      <c r="AJ3910" t="s">
        <v>69</v>
      </c>
      <c r="AY3910" t="s">
        <v>2535</v>
      </c>
      <c r="AZ3910">
        <v>60011</v>
      </c>
      <c r="BA3910" t="s">
        <v>2536</v>
      </c>
      <c r="BB3910" t="s">
        <v>2537</v>
      </c>
      <c r="BC3910">
        <v>1985</v>
      </c>
      <c r="BD3910" t="s">
        <v>90</v>
      </c>
    </row>
    <row r="3911" spans="1:56" x14ac:dyDescent="0.35">
      <c r="A3911">
        <v>12222605</v>
      </c>
      <c r="B3911" t="s">
        <v>2632</v>
      </c>
      <c r="D3911" t="s">
        <v>85</v>
      </c>
      <c r="E3911">
        <v>15</v>
      </c>
      <c r="F3911" t="s">
        <v>58</v>
      </c>
      <c r="G3911" t="s">
        <v>59</v>
      </c>
      <c r="H3911" t="s">
        <v>60</v>
      </c>
      <c r="J3911" t="s">
        <v>86</v>
      </c>
      <c r="L3911" t="s">
        <v>62</v>
      </c>
      <c r="M3911" t="s">
        <v>63</v>
      </c>
      <c r="N3911" t="s">
        <v>64</v>
      </c>
      <c r="P3911" t="s">
        <v>100</v>
      </c>
      <c r="Q3911" t="s">
        <v>153</v>
      </c>
      <c r="R3911">
        <v>180</v>
      </c>
      <c r="W3911" t="s">
        <v>66</v>
      </c>
      <c r="X3911" t="s">
        <v>67</v>
      </c>
      <c r="Y3911" t="s">
        <v>67</v>
      </c>
      <c r="Z3911" t="s">
        <v>68</v>
      </c>
      <c r="AB3911">
        <v>4</v>
      </c>
      <c r="AC3911" t="s">
        <v>61</v>
      </c>
      <c r="AJ3911" t="s">
        <v>69</v>
      </c>
      <c r="AY3911" t="s">
        <v>1246</v>
      </c>
      <c r="AZ3911">
        <v>6969</v>
      </c>
      <c r="BA3911" t="s">
        <v>1247</v>
      </c>
      <c r="BB3911" t="s">
        <v>1248</v>
      </c>
      <c r="BC3911">
        <v>1973</v>
      </c>
      <c r="BD3911" t="s">
        <v>90</v>
      </c>
    </row>
    <row r="3912" spans="1:56" x14ac:dyDescent="0.35">
      <c r="A3912">
        <v>12222605</v>
      </c>
      <c r="B3912" t="s">
        <v>2632</v>
      </c>
      <c r="D3912" t="s">
        <v>85</v>
      </c>
      <c r="E3912" t="s">
        <v>86</v>
      </c>
      <c r="F3912" t="s">
        <v>58</v>
      </c>
      <c r="G3912" t="s">
        <v>59</v>
      </c>
      <c r="H3912" t="s">
        <v>60</v>
      </c>
      <c r="J3912" t="s">
        <v>86</v>
      </c>
      <c r="L3912" t="s">
        <v>62</v>
      </c>
      <c r="M3912" t="s">
        <v>63</v>
      </c>
      <c r="N3912" t="s">
        <v>64</v>
      </c>
      <c r="P3912" t="s">
        <v>100</v>
      </c>
      <c r="Q3912" t="s">
        <v>153</v>
      </c>
      <c r="R3912">
        <v>180</v>
      </c>
      <c r="W3912" t="s">
        <v>66</v>
      </c>
      <c r="X3912" t="s">
        <v>67</v>
      </c>
      <c r="Y3912" t="s">
        <v>67</v>
      </c>
      <c r="Z3912" t="s">
        <v>68</v>
      </c>
      <c r="AB3912">
        <v>4</v>
      </c>
      <c r="AC3912" t="s">
        <v>61</v>
      </c>
      <c r="AJ3912" t="s">
        <v>69</v>
      </c>
      <c r="AY3912" t="s">
        <v>1243</v>
      </c>
      <c r="AZ3912">
        <v>5789</v>
      </c>
      <c r="BA3912" t="s">
        <v>1244</v>
      </c>
      <c r="BB3912" t="s">
        <v>1245</v>
      </c>
      <c r="BC3912">
        <v>1974</v>
      </c>
      <c r="BD3912" t="s">
        <v>90</v>
      </c>
    </row>
    <row r="3913" spans="1:56" x14ac:dyDescent="0.35">
      <c r="A3913">
        <v>12715616</v>
      </c>
      <c r="B3913" t="s">
        <v>2633</v>
      </c>
      <c r="D3913" t="s">
        <v>85</v>
      </c>
      <c r="E3913" t="s">
        <v>86</v>
      </c>
      <c r="F3913" t="s">
        <v>58</v>
      </c>
      <c r="G3913" t="s">
        <v>59</v>
      </c>
      <c r="H3913" t="s">
        <v>60</v>
      </c>
      <c r="J3913" t="s">
        <v>86</v>
      </c>
      <c r="L3913" t="s">
        <v>62</v>
      </c>
      <c r="M3913" t="s">
        <v>63</v>
      </c>
      <c r="N3913" t="s">
        <v>64</v>
      </c>
      <c r="P3913" t="s">
        <v>100</v>
      </c>
      <c r="R3913">
        <v>29</v>
      </c>
      <c r="W3913" t="s">
        <v>66</v>
      </c>
      <c r="X3913" t="s">
        <v>67</v>
      </c>
      <c r="Y3913" t="s">
        <v>67</v>
      </c>
      <c r="Z3913" t="s">
        <v>68</v>
      </c>
      <c r="AB3913">
        <v>4</v>
      </c>
      <c r="AC3913" t="s">
        <v>61</v>
      </c>
      <c r="AJ3913" t="s">
        <v>69</v>
      </c>
      <c r="AY3913" t="s">
        <v>1243</v>
      </c>
      <c r="AZ3913">
        <v>5789</v>
      </c>
      <c r="BA3913" t="s">
        <v>1244</v>
      </c>
      <c r="BB3913" t="s">
        <v>1245</v>
      </c>
      <c r="BC3913">
        <v>1974</v>
      </c>
      <c r="BD3913" t="s">
        <v>90</v>
      </c>
    </row>
    <row r="3914" spans="1:56" x14ac:dyDescent="0.35">
      <c r="A3914">
        <v>12715616</v>
      </c>
      <c r="B3914" t="s">
        <v>2633</v>
      </c>
      <c r="D3914" t="s">
        <v>85</v>
      </c>
      <c r="E3914">
        <v>15</v>
      </c>
      <c r="F3914" t="s">
        <v>58</v>
      </c>
      <c r="G3914" t="s">
        <v>59</v>
      </c>
      <c r="H3914" t="s">
        <v>60</v>
      </c>
      <c r="J3914" t="s">
        <v>86</v>
      </c>
      <c r="L3914" t="s">
        <v>62</v>
      </c>
      <c r="M3914" t="s">
        <v>63</v>
      </c>
      <c r="N3914" t="s">
        <v>64</v>
      </c>
      <c r="P3914" t="s">
        <v>100</v>
      </c>
      <c r="R3914">
        <v>29</v>
      </c>
      <c r="W3914" t="s">
        <v>66</v>
      </c>
      <c r="X3914" t="s">
        <v>67</v>
      </c>
      <c r="Y3914" t="s">
        <v>67</v>
      </c>
      <c r="Z3914" t="s">
        <v>68</v>
      </c>
      <c r="AB3914">
        <v>4</v>
      </c>
      <c r="AC3914" t="s">
        <v>61</v>
      </c>
      <c r="AJ3914" t="s">
        <v>69</v>
      </c>
      <c r="AY3914" t="s">
        <v>1246</v>
      </c>
      <c r="AZ3914">
        <v>6969</v>
      </c>
      <c r="BA3914" t="s">
        <v>1247</v>
      </c>
      <c r="BB3914" t="s">
        <v>1248</v>
      </c>
      <c r="BC3914">
        <v>1973</v>
      </c>
      <c r="BD3914" t="s">
        <v>90</v>
      </c>
    </row>
    <row r="3915" spans="1:56" x14ac:dyDescent="0.35">
      <c r="A3915">
        <v>12751154</v>
      </c>
      <c r="B3915" t="s">
        <v>2634</v>
      </c>
      <c r="D3915" t="s">
        <v>85</v>
      </c>
      <c r="E3915" t="s">
        <v>86</v>
      </c>
      <c r="F3915" t="s">
        <v>58</v>
      </c>
      <c r="G3915" t="s">
        <v>59</v>
      </c>
      <c r="H3915" t="s">
        <v>60</v>
      </c>
      <c r="J3915" t="s">
        <v>505</v>
      </c>
      <c r="K3915" t="s">
        <v>506</v>
      </c>
      <c r="L3915" t="s">
        <v>62</v>
      </c>
      <c r="M3915" t="s">
        <v>63</v>
      </c>
      <c r="N3915" t="s">
        <v>64</v>
      </c>
      <c r="P3915" t="s">
        <v>100</v>
      </c>
      <c r="T3915">
        <v>4.2</v>
      </c>
      <c r="V3915">
        <v>20.8</v>
      </c>
      <c r="W3915" t="s">
        <v>66</v>
      </c>
      <c r="X3915" t="s">
        <v>67</v>
      </c>
      <c r="Y3915" t="s">
        <v>67</v>
      </c>
      <c r="Z3915" t="s">
        <v>68</v>
      </c>
      <c r="AB3915">
        <v>4</v>
      </c>
      <c r="AC3915" t="s">
        <v>61</v>
      </c>
      <c r="AJ3915" t="s">
        <v>69</v>
      </c>
      <c r="AY3915" t="s">
        <v>507</v>
      </c>
      <c r="AZ3915">
        <v>5894</v>
      </c>
      <c r="BA3915" t="s">
        <v>508</v>
      </c>
      <c r="BB3915" t="s">
        <v>509</v>
      </c>
      <c r="BC3915">
        <v>1979</v>
      </c>
      <c r="BD3915" t="s">
        <v>510</v>
      </c>
    </row>
    <row r="3916" spans="1:56" x14ac:dyDescent="0.35">
      <c r="A3916">
        <v>12751154</v>
      </c>
      <c r="B3916" t="s">
        <v>2634</v>
      </c>
      <c r="D3916" t="s">
        <v>85</v>
      </c>
      <c r="E3916">
        <v>48.2</v>
      </c>
      <c r="F3916" t="s">
        <v>58</v>
      </c>
      <c r="G3916" t="s">
        <v>59</v>
      </c>
      <c r="H3916" t="s">
        <v>60</v>
      </c>
      <c r="J3916" t="s">
        <v>505</v>
      </c>
      <c r="K3916" t="s">
        <v>506</v>
      </c>
      <c r="L3916" t="s">
        <v>62</v>
      </c>
      <c r="M3916" t="s">
        <v>63</v>
      </c>
      <c r="N3916" t="s">
        <v>64</v>
      </c>
      <c r="P3916" t="s">
        <v>100</v>
      </c>
      <c r="T3916">
        <v>4.2</v>
      </c>
      <c r="V3916">
        <v>20.8</v>
      </c>
      <c r="W3916" t="s">
        <v>66</v>
      </c>
      <c r="X3916" t="s">
        <v>67</v>
      </c>
      <c r="Y3916" t="s">
        <v>67</v>
      </c>
      <c r="Z3916" t="s">
        <v>68</v>
      </c>
      <c r="AB3916">
        <v>4</v>
      </c>
      <c r="AC3916" t="s">
        <v>61</v>
      </c>
      <c r="AJ3916" t="s">
        <v>69</v>
      </c>
      <c r="AY3916" t="s">
        <v>511</v>
      </c>
      <c r="AZ3916">
        <v>866</v>
      </c>
      <c r="BA3916" t="s">
        <v>512</v>
      </c>
      <c r="BB3916" t="s">
        <v>513</v>
      </c>
      <c r="BC3916">
        <v>1979</v>
      </c>
      <c r="BD3916" t="s">
        <v>510</v>
      </c>
    </row>
    <row r="3917" spans="1:56" x14ac:dyDescent="0.35">
      <c r="A3917">
        <v>12772064</v>
      </c>
      <c r="B3917" t="s">
        <v>2635</v>
      </c>
      <c r="D3917" t="s">
        <v>85</v>
      </c>
      <c r="E3917" t="s">
        <v>86</v>
      </c>
      <c r="F3917" t="s">
        <v>58</v>
      </c>
      <c r="G3917" t="s">
        <v>59</v>
      </c>
      <c r="H3917" t="s">
        <v>60</v>
      </c>
      <c r="J3917" t="s">
        <v>86</v>
      </c>
      <c r="L3917" t="s">
        <v>62</v>
      </c>
      <c r="M3917" t="s">
        <v>63</v>
      </c>
      <c r="N3917" t="s">
        <v>64</v>
      </c>
      <c r="P3917" t="s">
        <v>201</v>
      </c>
      <c r="R3917">
        <v>1.3</v>
      </c>
      <c r="W3917" t="s">
        <v>706</v>
      </c>
      <c r="X3917" t="s">
        <v>67</v>
      </c>
      <c r="Y3917" t="s">
        <v>67</v>
      </c>
      <c r="Z3917" t="s">
        <v>68</v>
      </c>
      <c r="AB3917">
        <v>4</v>
      </c>
      <c r="AC3917" t="s">
        <v>61</v>
      </c>
      <c r="AJ3917" t="s">
        <v>69</v>
      </c>
      <c r="AY3917" t="s">
        <v>2636</v>
      </c>
      <c r="AZ3917">
        <v>590</v>
      </c>
      <c r="BA3917" t="s">
        <v>2637</v>
      </c>
      <c r="BB3917" t="s">
        <v>2638</v>
      </c>
      <c r="BC3917">
        <v>1979</v>
      </c>
      <c r="BD3917" t="s">
        <v>90</v>
      </c>
    </row>
    <row r="3918" spans="1:56" x14ac:dyDescent="0.35">
      <c r="A3918">
        <v>12772064</v>
      </c>
      <c r="B3918" t="s">
        <v>2635</v>
      </c>
      <c r="D3918" t="s">
        <v>85</v>
      </c>
      <c r="E3918" t="s">
        <v>86</v>
      </c>
      <c r="F3918" t="s">
        <v>58</v>
      </c>
      <c r="G3918" t="s">
        <v>59</v>
      </c>
      <c r="H3918" t="s">
        <v>60</v>
      </c>
      <c r="J3918" t="s">
        <v>86</v>
      </c>
      <c r="L3918" t="s">
        <v>62</v>
      </c>
      <c r="M3918" t="s">
        <v>63</v>
      </c>
      <c r="N3918" t="s">
        <v>64</v>
      </c>
      <c r="P3918" t="s">
        <v>201</v>
      </c>
      <c r="R3918">
        <v>2.2999999999999998</v>
      </c>
      <c r="W3918" t="s">
        <v>706</v>
      </c>
      <c r="X3918" t="s">
        <v>67</v>
      </c>
      <c r="Y3918" t="s">
        <v>67</v>
      </c>
      <c r="Z3918" t="s">
        <v>68</v>
      </c>
      <c r="AB3918">
        <v>4</v>
      </c>
      <c r="AC3918" t="s">
        <v>61</v>
      </c>
      <c r="AJ3918" t="s">
        <v>69</v>
      </c>
      <c r="AY3918" t="s">
        <v>2636</v>
      </c>
      <c r="AZ3918">
        <v>590</v>
      </c>
      <c r="BA3918" t="s">
        <v>2637</v>
      </c>
      <c r="BB3918" t="s">
        <v>2638</v>
      </c>
      <c r="BC3918">
        <v>1979</v>
      </c>
      <c r="BD3918" t="s">
        <v>90</v>
      </c>
    </row>
    <row r="3919" spans="1:56" x14ac:dyDescent="0.35">
      <c r="A3919">
        <v>12774300</v>
      </c>
      <c r="B3919" t="s">
        <v>2639</v>
      </c>
      <c r="D3919" t="s">
        <v>85</v>
      </c>
      <c r="E3919" t="s">
        <v>86</v>
      </c>
      <c r="F3919" t="s">
        <v>58</v>
      </c>
      <c r="G3919" t="s">
        <v>59</v>
      </c>
      <c r="H3919" t="s">
        <v>60</v>
      </c>
      <c r="J3919" t="s">
        <v>86</v>
      </c>
      <c r="L3919" t="s">
        <v>62</v>
      </c>
      <c r="M3919" t="s">
        <v>63</v>
      </c>
      <c r="N3919" t="s">
        <v>64</v>
      </c>
      <c r="P3919" t="s">
        <v>100</v>
      </c>
      <c r="R3919">
        <v>3200</v>
      </c>
      <c r="W3919" t="s">
        <v>66</v>
      </c>
      <c r="X3919" t="s">
        <v>67</v>
      </c>
      <c r="Y3919" t="s">
        <v>67</v>
      </c>
      <c r="Z3919" t="s">
        <v>68</v>
      </c>
      <c r="AB3919">
        <v>4</v>
      </c>
      <c r="AC3919" t="s">
        <v>61</v>
      </c>
      <c r="AJ3919" t="s">
        <v>69</v>
      </c>
      <c r="AY3919" t="s">
        <v>2640</v>
      </c>
      <c r="AZ3919">
        <v>959</v>
      </c>
      <c r="BA3919" t="s">
        <v>2641</v>
      </c>
      <c r="BB3919" t="s">
        <v>2642</v>
      </c>
      <c r="BC3919">
        <v>1969</v>
      </c>
      <c r="BD3919" t="s">
        <v>90</v>
      </c>
    </row>
    <row r="3920" spans="1:56" x14ac:dyDescent="0.35">
      <c r="A3920">
        <v>12789036</v>
      </c>
      <c r="B3920" t="s">
        <v>2643</v>
      </c>
      <c r="C3920" t="s">
        <v>91</v>
      </c>
      <c r="D3920" t="s">
        <v>57</v>
      </c>
      <c r="E3920" t="s">
        <v>86</v>
      </c>
      <c r="F3920" t="s">
        <v>58</v>
      </c>
      <c r="G3920" t="s">
        <v>59</v>
      </c>
      <c r="H3920" t="s">
        <v>60</v>
      </c>
      <c r="I3920" t="s">
        <v>129</v>
      </c>
      <c r="J3920">
        <v>3</v>
      </c>
      <c r="K3920" t="s">
        <v>320</v>
      </c>
      <c r="L3920" t="s">
        <v>74</v>
      </c>
      <c r="M3920" t="s">
        <v>63</v>
      </c>
      <c r="N3920" t="s">
        <v>64</v>
      </c>
      <c r="P3920" t="s">
        <v>65</v>
      </c>
      <c r="R3920">
        <v>3.6900000000000002E-2</v>
      </c>
      <c r="T3920">
        <v>3.3000000000000002E-2</v>
      </c>
      <c r="V3920">
        <v>4.1300000000000003E-2</v>
      </c>
      <c r="W3920" t="s">
        <v>66</v>
      </c>
      <c r="X3920" t="s">
        <v>67</v>
      </c>
      <c r="Y3920" t="s">
        <v>67</v>
      </c>
      <c r="Z3920" t="s">
        <v>68</v>
      </c>
      <c r="AB3920">
        <v>4</v>
      </c>
      <c r="AC3920" t="s">
        <v>61</v>
      </c>
      <c r="AJ3920" t="s">
        <v>69</v>
      </c>
      <c r="AY3920" t="s">
        <v>376</v>
      </c>
      <c r="AZ3920">
        <v>989</v>
      </c>
      <c r="BA3920" t="s">
        <v>2644</v>
      </c>
      <c r="BB3920" t="s">
        <v>2645</v>
      </c>
      <c r="BC3920">
        <v>1977</v>
      </c>
      <c r="BD3920" t="s">
        <v>324</v>
      </c>
    </row>
    <row r="3921" spans="1:56" x14ac:dyDescent="0.35">
      <c r="A3921">
        <v>12789036</v>
      </c>
      <c r="B3921" t="s">
        <v>2643</v>
      </c>
      <c r="E3921">
        <v>100</v>
      </c>
      <c r="F3921" t="s">
        <v>58</v>
      </c>
      <c r="G3921" t="s">
        <v>59</v>
      </c>
      <c r="H3921" t="s">
        <v>60</v>
      </c>
      <c r="J3921" t="s">
        <v>86</v>
      </c>
      <c r="L3921" t="s">
        <v>62</v>
      </c>
      <c r="M3921" t="s">
        <v>63</v>
      </c>
      <c r="N3921" t="s">
        <v>64</v>
      </c>
      <c r="P3921" t="s">
        <v>65</v>
      </c>
      <c r="R3921">
        <v>5.6000000000000001E-2</v>
      </c>
      <c r="T3921">
        <v>2.81E-2</v>
      </c>
      <c r="V3921">
        <v>0.112</v>
      </c>
      <c r="W3921" t="s">
        <v>66</v>
      </c>
      <c r="X3921" t="s">
        <v>67</v>
      </c>
      <c r="Y3921" t="s">
        <v>67</v>
      </c>
      <c r="Z3921" t="s">
        <v>68</v>
      </c>
      <c r="AB3921">
        <v>4</v>
      </c>
      <c r="AC3921" t="s">
        <v>61</v>
      </c>
      <c r="AJ3921" t="s">
        <v>69</v>
      </c>
      <c r="AY3921" t="s">
        <v>96</v>
      </c>
      <c r="AZ3921">
        <v>6797</v>
      </c>
      <c r="BA3921" t="s">
        <v>97</v>
      </c>
      <c r="BB3921" t="s">
        <v>98</v>
      </c>
      <c r="BC3921">
        <v>1986</v>
      </c>
      <c r="BD3921" t="s">
        <v>90</v>
      </c>
    </row>
    <row r="3922" spans="1:56" x14ac:dyDescent="0.35">
      <c r="A3922">
        <v>12789036</v>
      </c>
      <c r="B3922" t="s">
        <v>2643</v>
      </c>
      <c r="E3922">
        <v>100</v>
      </c>
      <c r="F3922" t="s">
        <v>58</v>
      </c>
      <c r="G3922" t="s">
        <v>59</v>
      </c>
      <c r="H3922" t="s">
        <v>60</v>
      </c>
      <c r="J3922" t="s">
        <v>86</v>
      </c>
      <c r="L3922" t="s">
        <v>62</v>
      </c>
      <c r="M3922" t="s">
        <v>63</v>
      </c>
      <c r="N3922" t="s">
        <v>64</v>
      </c>
      <c r="P3922" t="s">
        <v>65</v>
      </c>
      <c r="R3922">
        <v>0.115</v>
      </c>
      <c r="T3922">
        <v>6.2E-2</v>
      </c>
      <c r="V3922">
        <v>0.214</v>
      </c>
      <c r="W3922" t="s">
        <v>66</v>
      </c>
      <c r="X3922" t="s">
        <v>67</v>
      </c>
      <c r="Y3922" t="s">
        <v>67</v>
      </c>
      <c r="Z3922" t="s">
        <v>68</v>
      </c>
      <c r="AB3922">
        <v>4</v>
      </c>
      <c r="AC3922" t="s">
        <v>61</v>
      </c>
      <c r="AJ3922" t="s">
        <v>69</v>
      </c>
      <c r="AY3922" t="s">
        <v>96</v>
      </c>
      <c r="AZ3922">
        <v>6797</v>
      </c>
      <c r="BA3922" t="s">
        <v>97</v>
      </c>
      <c r="BB3922" t="s">
        <v>98</v>
      </c>
      <c r="BC3922">
        <v>1986</v>
      </c>
      <c r="BD3922" t="s">
        <v>90</v>
      </c>
    </row>
    <row r="3923" spans="1:56" x14ac:dyDescent="0.35">
      <c r="A3923">
        <v>12789036</v>
      </c>
      <c r="B3923" t="s">
        <v>2643</v>
      </c>
      <c r="E3923">
        <v>100</v>
      </c>
      <c r="F3923" t="s">
        <v>58</v>
      </c>
      <c r="G3923" t="s">
        <v>59</v>
      </c>
      <c r="H3923" t="s">
        <v>60</v>
      </c>
      <c r="J3923" t="s">
        <v>86</v>
      </c>
      <c r="L3923" t="s">
        <v>62</v>
      </c>
      <c r="M3923" t="s">
        <v>63</v>
      </c>
      <c r="N3923" t="s">
        <v>64</v>
      </c>
      <c r="P3923" t="s">
        <v>65</v>
      </c>
      <c r="R3923">
        <v>2.4799999999999999E-2</v>
      </c>
      <c r="W3923" t="s">
        <v>66</v>
      </c>
      <c r="X3923" t="s">
        <v>67</v>
      </c>
      <c r="Y3923" t="s">
        <v>67</v>
      </c>
      <c r="Z3923" t="s">
        <v>68</v>
      </c>
      <c r="AB3923">
        <v>4</v>
      </c>
      <c r="AC3923" t="s">
        <v>61</v>
      </c>
      <c r="AJ3923" t="s">
        <v>69</v>
      </c>
      <c r="AY3923" t="s">
        <v>96</v>
      </c>
      <c r="AZ3923">
        <v>6797</v>
      </c>
      <c r="BA3923" t="s">
        <v>97</v>
      </c>
      <c r="BB3923" t="s">
        <v>98</v>
      </c>
      <c r="BC3923">
        <v>1986</v>
      </c>
      <c r="BD3923" t="s">
        <v>90</v>
      </c>
    </row>
    <row r="3924" spans="1:56" x14ac:dyDescent="0.35">
      <c r="A3924">
        <v>12797874</v>
      </c>
      <c r="B3924" t="s">
        <v>2646</v>
      </c>
      <c r="E3924">
        <v>100</v>
      </c>
      <c r="F3924" t="s">
        <v>58</v>
      </c>
      <c r="G3924" t="s">
        <v>59</v>
      </c>
      <c r="H3924" t="s">
        <v>60</v>
      </c>
      <c r="J3924" t="s">
        <v>86</v>
      </c>
      <c r="L3924" t="s">
        <v>62</v>
      </c>
      <c r="M3924" t="s">
        <v>63</v>
      </c>
      <c r="N3924" t="s">
        <v>64</v>
      </c>
      <c r="P3924" t="s">
        <v>65</v>
      </c>
      <c r="R3924">
        <v>35</v>
      </c>
      <c r="T3924">
        <v>24</v>
      </c>
      <c r="V3924">
        <v>49</v>
      </c>
      <c r="W3924" t="s">
        <v>66</v>
      </c>
      <c r="X3924" t="s">
        <v>67</v>
      </c>
      <c r="Y3924" t="s">
        <v>67</v>
      </c>
      <c r="Z3924" t="s">
        <v>68</v>
      </c>
      <c r="AB3924">
        <v>4</v>
      </c>
      <c r="AC3924" t="s">
        <v>61</v>
      </c>
      <c r="AJ3924" t="s">
        <v>69</v>
      </c>
      <c r="AY3924" t="s">
        <v>96</v>
      </c>
      <c r="AZ3924">
        <v>6797</v>
      </c>
      <c r="BA3924" t="s">
        <v>97</v>
      </c>
      <c r="BB3924" t="s">
        <v>98</v>
      </c>
      <c r="BC3924">
        <v>1986</v>
      </c>
      <c r="BD3924" t="s">
        <v>90</v>
      </c>
    </row>
    <row r="3925" spans="1:56" x14ac:dyDescent="0.35">
      <c r="A3925">
        <v>12797874</v>
      </c>
      <c r="B3925" t="s">
        <v>2646</v>
      </c>
      <c r="E3925">
        <v>100</v>
      </c>
      <c r="F3925" t="s">
        <v>58</v>
      </c>
      <c r="G3925" t="s">
        <v>59</v>
      </c>
      <c r="H3925" t="s">
        <v>60</v>
      </c>
      <c r="J3925" t="s">
        <v>86</v>
      </c>
      <c r="L3925" t="s">
        <v>74</v>
      </c>
      <c r="M3925" t="s">
        <v>63</v>
      </c>
      <c r="N3925" t="s">
        <v>64</v>
      </c>
      <c r="P3925" t="s">
        <v>65</v>
      </c>
      <c r="R3925">
        <v>17</v>
      </c>
      <c r="T3925">
        <v>14</v>
      </c>
      <c r="V3925">
        <v>21</v>
      </c>
      <c r="W3925" t="s">
        <v>66</v>
      </c>
      <c r="X3925" t="s">
        <v>67</v>
      </c>
      <c r="Y3925" t="s">
        <v>67</v>
      </c>
      <c r="Z3925" t="s">
        <v>68</v>
      </c>
      <c r="AB3925">
        <v>4</v>
      </c>
      <c r="AC3925" t="s">
        <v>61</v>
      </c>
      <c r="AJ3925" t="s">
        <v>69</v>
      </c>
      <c r="AY3925" t="s">
        <v>96</v>
      </c>
      <c r="AZ3925">
        <v>6797</v>
      </c>
      <c r="BA3925" t="s">
        <v>97</v>
      </c>
      <c r="BB3925" t="s">
        <v>98</v>
      </c>
      <c r="BC3925">
        <v>1986</v>
      </c>
      <c r="BD3925" t="s">
        <v>90</v>
      </c>
    </row>
    <row r="3926" spans="1:56" x14ac:dyDescent="0.35">
      <c r="A3926">
        <v>13071799</v>
      </c>
      <c r="B3926" t="s">
        <v>2647</v>
      </c>
      <c r="E3926">
        <v>15</v>
      </c>
      <c r="F3926" t="s">
        <v>58</v>
      </c>
      <c r="G3926" t="s">
        <v>59</v>
      </c>
      <c r="H3926" t="s">
        <v>60</v>
      </c>
      <c r="J3926" t="s">
        <v>86</v>
      </c>
      <c r="L3926" t="s">
        <v>62</v>
      </c>
      <c r="M3926" t="s">
        <v>63</v>
      </c>
      <c r="N3926" t="s">
        <v>64</v>
      </c>
      <c r="P3926" t="s">
        <v>65</v>
      </c>
      <c r="R3926">
        <v>0.15</v>
      </c>
      <c r="T3926">
        <v>0.10100000000000001</v>
      </c>
      <c r="V3926">
        <v>0.223</v>
      </c>
      <c r="W3926" t="s">
        <v>66</v>
      </c>
      <c r="X3926" t="s">
        <v>67</v>
      </c>
      <c r="Y3926" t="s">
        <v>67</v>
      </c>
      <c r="Z3926" t="s">
        <v>68</v>
      </c>
      <c r="AB3926">
        <v>4</v>
      </c>
      <c r="AC3926" t="s">
        <v>61</v>
      </c>
      <c r="AJ3926" t="s">
        <v>69</v>
      </c>
      <c r="AY3926" t="s">
        <v>96</v>
      </c>
      <c r="AZ3926">
        <v>6797</v>
      </c>
      <c r="BA3926" t="s">
        <v>97</v>
      </c>
      <c r="BB3926" t="s">
        <v>98</v>
      </c>
      <c r="BC3926">
        <v>1986</v>
      </c>
      <c r="BD3926" t="s">
        <v>90</v>
      </c>
    </row>
    <row r="3927" spans="1:56" x14ac:dyDescent="0.35">
      <c r="A3927">
        <v>13071799</v>
      </c>
      <c r="B3927" t="s">
        <v>2647</v>
      </c>
      <c r="D3927" t="s">
        <v>57</v>
      </c>
      <c r="E3927">
        <v>99</v>
      </c>
      <c r="F3927" t="s">
        <v>58</v>
      </c>
      <c r="G3927" t="s">
        <v>59</v>
      </c>
      <c r="H3927" t="s">
        <v>60</v>
      </c>
      <c r="J3927" t="s">
        <v>86</v>
      </c>
      <c r="K3927" t="s">
        <v>61</v>
      </c>
      <c r="L3927" t="s">
        <v>74</v>
      </c>
      <c r="M3927" t="s">
        <v>63</v>
      </c>
      <c r="N3927" t="s">
        <v>64</v>
      </c>
      <c r="O3927">
        <v>6</v>
      </c>
      <c r="P3927" t="s">
        <v>65</v>
      </c>
      <c r="R3927">
        <v>1.2999999999999999E-2</v>
      </c>
      <c r="T3927">
        <v>1.0999999999999999E-2</v>
      </c>
      <c r="V3927">
        <v>1.4E-2</v>
      </c>
      <c r="W3927" t="s">
        <v>66</v>
      </c>
      <c r="X3927" t="s">
        <v>67</v>
      </c>
      <c r="Y3927" t="s">
        <v>67</v>
      </c>
      <c r="Z3927" t="s">
        <v>68</v>
      </c>
      <c r="AB3927">
        <v>4</v>
      </c>
      <c r="AC3927" t="s">
        <v>61</v>
      </c>
      <c r="AJ3927" t="s">
        <v>69</v>
      </c>
      <c r="AY3927" t="s">
        <v>120</v>
      </c>
      <c r="AZ3927">
        <v>14097</v>
      </c>
      <c r="BA3927" t="s">
        <v>121</v>
      </c>
      <c r="BB3927" t="s">
        <v>122</v>
      </c>
      <c r="BC3927">
        <v>1989</v>
      </c>
      <c r="BD3927" t="s">
        <v>123</v>
      </c>
    </row>
    <row r="3928" spans="1:56" x14ac:dyDescent="0.35">
      <c r="A3928">
        <v>13071799</v>
      </c>
      <c r="B3928" t="s">
        <v>2647</v>
      </c>
      <c r="E3928">
        <v>88</v>
      </c>
      <c r="F3928" t="s">
        <v>58</v>
      </c>
      <c r="G3928" t="s">
        <v>59</v>
      </c>
      <c r="H3928" t="s">
        <v>60</v>
      </c>
      <c r="J3928" t="s">
        <v>86</v>
      </c>
      <c r="L3928" t="s">
        <v>62</v>
      </c>
      <c r="M3928" t="s">
        <v>63</v>
      </c>
      <c r="N3928" t="s">
        <v>64</v>
      </c>
      <c r="P3928" t="s">
        <v>65</v>
      </c>
      <c r="R3928">
        <v>0.39</v>
      </c>
      <c r="T3928">
        <v>0.23699999999999999</v>
      </c>
      <c r="V3928">
        <v>0.64300000000000002</v>
      </c>
      <c r="W3928" t="s">
        <v>66</v>
      </c>
      <c r="X3928" t="s">
        <v>67</v>
      </c>
      <c r="Y3928" t="s">
        <v>67</v>
      </c>
      <c r="Z3928" t="s">
        <v>68</v>
      </c>
      <c r="AB3928">
        <v>4</v>
      </c>
      <c r="AC3928" t="s">
        <v>61</v>
      </c>
      <c r="AJ3928" t="s">
        <v>69</v>
      </c>
      <c r="AY3928" t="s">
        <v>96</v>
      </c>
      <c r="AZ3928">
        <v>6797</v>
      </c>
      <c r="BA3928" t="s">
        <v>97</v>
      </c>
      <c r="BB3928" t="s">
        <v>98</v>
      </c>
      <c r="BC3928">
        <v>1986</v>
      </c>
      <c r="BD3928" t="s">
        <v>90</v>
      </c>
    </row>
    <row r="3929" spans="1:56" x14ac:dyDescent="0.35">
      <c r="A3929">
        <v>13071799</v>
      </c>
      <c r="B3929" t="s">
        <v>2647</v>
      </c>
      <c r="D3929" t="s">
        <v>57</v>
      </c>
      <c r="E3929">
        <v>99</v>
      </c>
      <c r="F3929" t="s">
        <v>58</v>
      </c>
      <c r="G3929" t="s">
        <v>59</v>
      </c>
      <c r="H3929" t="s">
        <v>60</v>
      </c>
      <c r="J3929">
        <v>31</v>
      </c>
      <c r="K3929" t="s">
        <v>61</v>
      </c>
      <c r="L3929" t="s">
        <v>74</v>
      </c>
      <c r="M3929" t="s">
        <v>63</v>
      </c>
      <c r="N3929" t="s">
        <v>64</v>
      </c>
      <c r="P3929" t="s">
        <v>65</v>
      </c>
      <c r="R3929">
        <v>1.3299999999999999E-2</v>
      </c>
      <c r="T3929">
        <v>1.18E-2</v>
      </c>
      <c r="V3929">
        <v>1.5100000000000001E-2</v>
      </c>
      <c r="W3929" t="s">
        <v>66</v>
      </c>
      <c r="X3929" t="s">
        <v>67</v>
      </c>
      <c r="Y3929" t="s">
        <v>67</v>
      </c>
      <c r="Z3929" t="s">
        <v>68</v>
      </c>
      <c r="AB3929">
        <v>4</v>
      </c>
      <c r="AC3929" t="s">
        <v>61</v>
      </c>
      <c r="AJ3929" t="s">
        <v>69</v>
      </c>
      <c r="AY3929" t="s">
        <v>75</v>
      </c>
      <c r="AZ3929">
        <v>3217</v>
      </c>
      <c r="BA3929" t="s">
        <v>76</v>
      </c>
      <c r="BB3929" t="s">
        <v>77</v>
      </c>
      <c r="BC3929">
        <v>1990</v>
      </c>
      <c r="BD3929" t="s">
        <v>73</v>
      </c>
    </row>
    <row r="3930" spans="1:56" x14ac:dyDescent="0.35">
      <c r="A3930">
        <v>13171216</v>
      </c>
      <c r="B3930" t="s">
        <v>2648</v>
      </c>
      <c r="E3930">
        <v>80</v>
      </c>
      <c r="F3930" t="s">
        <v>58</v>
      </c>
      <c r="G3930" t="s">
        <v>59</v>
      </c>
      <c r="H3930" t="s">
        <v>60</v>
      </c>
      <c r="J3930" t="s">
        <v>86</v>
      </c>
      <c r="L3930" t="s">
        <v>62</v>
      </c>
      <c r="M3930" t="s">
        <v>63</v>
      </c>
      <c r="N3930" t="s">
        <v>64</v>
      </c>
      <c r="P3930" t="s">
        <v>65</v>
      </c>
      <c r="R3930">
        <v>100</v>
      </c>
      <c r="T3930">
        <v>91</v>
      </c>
      <c r="V3930">
        <v>110</v>
      </c>
      <c r="W3930" t="s">
        <v>66</v>
      </c>
      <c r="X3930" t="s">
        <v>67</v>
      </c>
      <c r="Y3930" t="s">
        <v>67</v>
      </c>
      <c r="Z3930" t="s">
        <v>68</v>
      </c>
      <c r="AB3930">
        <v>4</v>
      </c>
      <c r="AC3930" t="s">
        <v>61</v>
      </c>
      <c r="AJ3930" t="s">
        <v>69</v>
      </c>
      <c r="AY3930" t="s">
        <v>96</v>
      </c>
      <c r="AZ3930">
        <v>6797</v>
      </c>
      <c r="BA3930" t="s">
        <v>97</v>
      </c>
      <c r="BB3930" t="s">
        <v>98</v>
      </c>
      <c r="BC3930">
        <v>1986</v>
      </c>
      <c r="BD3930" t="s">
        <v>90</v>
      </c>
    </row>
    <row r="3931" spans="1:56" x14ac:dyDescent="0.35">
      <c r="A3931">
        <v>13209159</v>
      </c>
      <c r="B3931" t="s">
        <v>2649</v>
      </c>
      <c r="D3931" t="s">
        <v>57</v>
      </c>
      <c r="E3931">
        <v>97</v>
      </c>
      <c r="F3931" t="s">
        <v>58</v>
      </c>
      <c r="G3931" t="s">
        <v>59</v>
      </c>
      <c r="H3931" t="s">
        <v>60</v>
      </c>
      <c r="J3931">
        <v>30</v>
      </c>
      <c r="K3931" t="s">
        <v>61</v>
      </c>
      <c r="L3931" t="s">
        <v>74</v>
      </c>
      <c r="M3931" t="s">
        <v>63</v>
      </c>
      <c r="N3931" t="s">
        <v>64</v>
      </c>
      <c r="P3931" t="s">
        <v>65</v>
      </c>
      <c r="R3931">
        <v>0.437</v>
      </c>
      <c r="T3931">
        <v>0.372</v>
      </c>
      <c r="V3931">
        <v>0.51300000000000001</v>
      </c>
      <c r="W3931" t="s">
        <v>66</v>
      </c>
      <c r="X3931" t="s">
        <v>67</v>
      </c>
      <c r="Y3931" t="s">
        <v>67</v>
      </c>
      <c r="Z3931" t="s">
        <v>68</v>
      </c>
      <c r="AB3931">
        <v>4</v>
      </c>
      <c r="AC3931" t="s">
        <v>61</v>
      </c>
      <c r="AJ3931" t="s">
        <v>69</v>
      </c>
      <c r="AY3931" t="s">
        <v>80</v>
      </c>
      <c r="AZ3931">
        <v>12859</v>
      </c>
      <c r="BA3931" t="s">
        <v>81</v>
      </c>
      <c r="BB3931" t="s">
        <v>82</v>
      </c>
      <c r="BC3931">
        <v>1988</v>
      </c>
      <c r="BD3931" t="s">
        <v>73</v>
      </c>
    </row>
    <row r="3932" spans="1:56" x14ac:dyDescent="0.35">
      <c r="A3932">
        <v>13356086</v>
      </c>
      <c r="B3932" t="s">
        <v>2650</v>
      </c>
      <c r="E3932">
        <v>50</v>
      </c>
      <c r="F3932" t="s">
        <v>58</v>
      </c>
      <c r="G3932" t="s">
        <v>59</v>
      </c>
      <c r="H3932" t="s">
        <v>60</v>
      </c>
      <c r="J3932" t="s">
        <v>86</v>
      </c>
      <c r="L3932" t="s">
        <v>62</v>
      </c>
      <c r="M3932" t="s">
        <v>63</v>
      </c>
      <c r="N3932" t="s">
        <v>64</v>
      </c>
      <c r="P3932" t="s">
        <v>201</v>
      </c>
      <c r="R3932">
        <v>1.9E-3</v>
      </c>
      <c r="T3932">
        <v>1E-3</v>
      </c>
      <c r="V3932">
        <v>3.5000000000000001E-3</v>
      </c>
      <c r="W3932" t="s">
        <v>66</v>
      </c>
      <c r="X3932" t="s">
        <v>67</v>
      </c>
      <c r="Y3932" t="s">
        <v>67</v>
      </c>
      <c r="Z3932" t="s">
        <v>68</v>
      </c>
      <c r="AB3932">
        <v>4</v>
      </c>
      <c r="AC3932" t="s">
        <v>61</v>
      </c>
      <c r="AJ3932" t="s">
        <v>69</v>
      </c>
      <c r="AY3932" t="s">
        <v>96</v>
      </c>
      <c r="AZ3932">
        <v>6797</v>
      </c>
      <c r="BA3932" t="s">
        <v>97</v>
      </c>
      <c r="BB3932" t="s">
        <v>98</v>
      </c>
      <c r="BC3932">
        <v>1986</v>
      </c>
      <c r="BD3932" t="s">
        <v>90</v>
      </c>
    </row>
    <row r="3933" spans="1:56" x14ac:dyDescent="0.35">
      <c r="A3933">
        <v>13390471</v>
      </c>
      <c r="B3933" t="s">
        <v>2651</v>
      </c>
      <c r="D3933" t="s">
        <v>85</v>
      </c>
      <c r="E3933">
        <v>15</v>
      </c>
      <c r="F3933" t="s">
        <v>58</v>
      </c>
      <c r="G3933" t="s">
        <v>59</v>
      </c>
      <c r="H3933" t="s">
        <v>60</v>
      </c>
      <c r="J3933" t="s">
        <v>86</v>
      </c>
      <c r="L3933" t="s">
        <v>62</v>
      </c>
      <c r="M3933" t="s">
        <v>63</v>
      </c>
      <c r="N3933" t="s">
        <v>64</v>
      </c>
      <c r="P3933" t="s">
        <v>100</v>
      </c>
      <c r="R3933">
        <v>23</v>
      </c>
      <c r="W3933" t="s">
        <v>66</v>
      </c>
      <c r="X3933" t="s">
        <v>67</v>
      </c>
      <c r="Y3933" t="s">
        <v>67</v>
      </c>
      <c r="Z3933" t="s">
        <v>68</v>
      </c>
      <c r="AB3933">
        <v>4</v>
      </c>
      <c r="AC3933" t="s">
        <v>61</v>
      </c>
      <c r="AJ3933" t="s">
        <v>69</v>
      </c>
      <c r="AY3933" t="s">
        <v>1246</v>
      </c>
      <c r="AZ3933">
        <v>6969</v>
      </c>
      <c r="BA3933" t="s">
        <v>1247</v>
      </c>
      <c r="BB3933" t="s">
        <v>1248</v>
      </c>
      <c r="BC3933">
        <v>1973</v>
      </c>
      <c r="BD3933" t="s">
        <v>90</v>
      </c>
    </row>
    <row r="3934" spans="1:56" x14ac:dyDescent="0.35">
      <c r="A3934">
        <v>13390471</v>
      </c>
      <c r="B3934" t="s">
        <v>2651</v>
      </c>
      <c r="D3934" t="s">
        <v>85</v>
      </c>
      <c r="E3934" t="s">
        <v>86</v>
      </c>
      <c r="F3934" t="s">
        <v>58</v>
      </c>
      <c r="G3934" t="s">
        <v>59</v>
      </c>
      <c r="H3934" t="s">
        <v>60</v>
      </c>
      <c r="J3934" t="s">
        <v>86</v>
      </c>
      <c r="L3934" t="s">
        <v>62</v>
      </c>
      <c r="M3934" t="s">
        <v>63</v>
      </c>
      <c r="N3934" t="s">
        <v>64</v>
      </c>
      <c r="P3934" t="s">
        <v>100</v>
      </c>
      <c r="R3934">
        <v>23</v>
      </c>
      <c r="W3934" t="s">
        <v>66</v>
      </c>
      <c r="X3934" t="s">
        <v>67</v>
      </c>
      <c r="Y3934" t="s">
        <v>67</v>
      </c>
      <c r="Z3934" t="s">
        <v>68</v>
      </c>
      <c r="AB3934">
        <v>4</v>
      </c>
      <c r="AC3934" t="s">
        <v>61</v>
      </c>
      <c r="AJ3934" t="s">
        <v>69</v>
      </c>
      <c r="AY3934" t="s">
        <v>1243</v>
      </c>
      <c r="AZ3934">
        <v>5789</v>
      </c>
      <c r="BA3934" t="s">
        <v>1244</v>
      </c>
      <c r="BB3934" t="s">
        <v>1245</v>
      </c>
      <c r="BC3934">
        <v>1974</v>
      </c>
      <c r="BD3934" t="s">
        <v>90</v>
      </c>
    </row>
    <row r="3935" spans="1:56" x14ac:dyDescent="0.35">
      <c r="A3935">
        <v>13410010</v>
      </c>
      <c r="B3935" t="s">
        <v>2652</v>
      </c>
      <c r="C3935" t="s">
        <v>195</v>
      </c>
      <c r="E3935" t="s">
        <v>86</v>
      </c>
      <c r="F3935" t="s">
        <v>58</v>
      </c>
      <c r="G3935" t="s">
        <v>59</v>
      </c>
      <c r="H3935" t="s">
        <v>60</v>
      </c>
      <c r="J3935" t="s">
        <v>86</v>
      </c>
      <c r="L3935" t="s">
        <v>62</v>
      </c>
      <c r="M3935" t="s">
        <v>63</v>
      </c>
      <c r="N3935" t="s">
        <v>64</v>
      </c>
      <c r="P3935" t="s">
        <v>201</v>
      </c>
      <c r="R3935">
        <v>11</v>
      </c>
      <c r="T3935">
        <v>9.73</v>
      </c>
      <c r="V3935">
        <v>12.43</v>
      </c>
      <c r="W3935" t="s">
        <v>66</v>
      </c>
      <c r="X3935" t="s">
        <v>67</v>
      </c>
      <c r="Y3935" t="s">
        <v>67</v>
      </c>
      <c r="Z3935" t="s">
        <v>68</v>
      </c>
      <c r="AB3935">
        <v>4</v>
      </c>
      <c r="AC3935" t="s">
        <v>61</v>
      </c>
      <c r="AJ3935" t="s">
        <v>69</v>
      </c>
      <c r="AY3935" t="s">
        <v>2488</v>
      </c>
      <c r="AZ3935">
        <v>19753</v>
      </c>
      <c r="BA3935" t="s">
        <v>2489</v>
      </c>
      <c r="BB3935" t="s">
        <v>2490</v>
      </c>
      <c r="BC3935">
        <v>1976</v>
      </c>
      <c r="BD3935" t="s">
        <v>90</v>
      </c>
    </row>
    <row r="3936" spans="1:56" x14ac:dyDescent="0.35">
      <c r="A3936">
        <v>13410010</v>
      </c>
      <c r="B3936" t="s">
        <v>2652</v>
      </c>
      <c r="C3936" t="s">
        <v>195</v>
      </c>
      <c r="D3936" t="s">
        <v>57</v>
      </c>
      <c r="E3936" t="s">
        <v>86</v>
      </c>
      <c r="F3936" t="s">
        <v>58</v>
      </c>
      <c r="G3936" t="s">
        <v>59</v>
      </c>
      <c r="H3936" t="s">
        <v>60</v>
      </c>
      <c r="I3936" t="s">
        <v>188</v>
      </c>
      <c r="J3936" t="s">
        <v>86</v>
      </c>
      <c r="L3936" t="s">
        <v>190</v>
      </c>
      <c r="M3936" t="s">
        <v>63</v>
      </c>
      <c r="N3936" t="s">
        <v>64</v>
      </c>
      <c r="P3936" t="s">
        <v>201</v>
      </c>
      <c r="R3936">
        <v>8.4499999999999993</v>
      </c>
      <c r="T3936">
        <v>4.4000000000000004</v>
      </c>
      <c r="V3936">
        <v>16.3</v>
      </c>
      <c r="W3936" t="s">
        <v>66</v>
      </c>
      <c r="X3936" t="s">
        <v>67</v>
      </c>
      <c r="Y3936" t="s">
        <v>67</v>
      </c>
      <c r="Z3936" t="s">
        <v>68</v>
      </c>
      <c r="AB3936">
        <v>4</v>
      </c>
      <c r="AC3936" t="s">
        <v>61</v>
      </c>
      <c r="AJ3936" t="s">
        <v>69</v>
      </c>
      <c r="AY3936" t="s">
        <v>331</v>
      </c>
      <c r="AZ3936">
        <v>5313</v>
      </c>
      <c r="BA3936" t="s">
        <v>332</v>
      </c>
      <c r="BB3936" t="s">
        <v>333</v>
      </c>
      <c r="BC3936">
        <v>1989</v>
      </c>
      <c r="BD3936" t="s">
        <v>90</v>
      </c>
    </row>
    <row r="3937" spans="1:56" x14ac:dyDescent="0.35">
      <c r="A3937">
        <v>13410010</v>
      </c>
      <c r="B3937" t="s">
        <v>2652</v>
      </c>
      <c r="C3937" t="s">
        <v>195</v>
      </c>
      <c r="D3937" t="s">
        <v>57</v>
      </c>
      <c r="E3937" t="s">
        <v>86</v>
      </c>
      <c r="F3937" t="s">
        <v>58</v>
      </c>
      <c r="G3937" t="s">
        <v>59</v>
      </c>
      <c r="H3937" t="s">
        <v>60</v>
      </c>
      <c r="I3937" t="s">
        <v>188</v>
      </c>
      <c r="J3937" t="s">
        <v>86</v>
      </c>
      <c r="K3937" t="s">
        <v>61</v>
      </c>
      <c r="M3937" t="s">
        <v>63</v>
      </c>
      <c r="N3937" t="s">
        <v>64</v>
      </c>
      <c r="O3937">
        <v>6</v>
      </c>
      <c r="P3937" t="s">
        <v>201</v>
      </c>
      <c r="R3937">
        <v>32.170999999999999</v>
      </c>
      <c r="T3937">
        <v>28.998000000000001</v>
      </c>
      <c r="V3937">
        <v>35.906999999999996</v>
      </c>
      <c r="W3937" t="s">
        <v>66</v>
      </c>
      <c r="X3937" t="s">
        <v>67</v>
      </c>
      <c r="Y3937" t="s">
        <v>67</v>
      </c>
      <c r="Z3937" t="s">
        <v>68</v>
      </c>
      <c r="AB3937">
        <v>4</v>
      </c>
      <c r="AC3937" t="s">
        <v>61</v>
      </c>
      <c r="AJ3937" t="s">
        <v>69</v>
      </c>
      <c r="AY3937" t="s">
        <v>2653</v>
      </c>
      <c r="AZ3937">
        <v>58971</v>
      </c>
      <c r="BA3937" t="s">
        <v>2654</v>
      </c>
      <c r="BB3937" t="s">
        <v>2655</v>
      </c>
      <c r="BC3937">
        <v>2001</v>
      </c>
      <c r="BD3937" t="s">
        <v>2656</v>
      </c>
    </row>
    <row r="3938" spans="1:56" x14ac:dyDescent="0.35">
      <c r="A3938">
        <v>13410010</v>
      </c>
      <c r="B3938" t="s">
        <v>2652</v>
      </c>
      <c r="C3938" t="s">
        <v>195</v>
      </c>
      <c r="D3938" t="s">
        <v>57</v>
      </c>
      <c r="E3938" t="s">
        <v>86</v>
      </c>
      <c r="F3938" t="s">
        <v>58</v>
      </c>
      <c r="G3938" t="s">
        <v>59</v>
      </c>
      <c r="H3938" t="s">
        <v>60</v>
      </c>
      <c r="I3938" t="s">
        <v>188</v>
      </c>
      <c r="J3938" t="s">
        <v>86</v>
      </c>
      <c r="K3938" t="s">
        <v>61</v>
      </c>
      <c r="M3938" t="s">
        <v>63</v>
      </c>
      <c r="N3938" t="s">
        <v>64</v>
      </c>
      <c r="O3938">
        <v>6</v>
      </c>
      <c r="P3938" t="s">
        <v>201</v>
      </c>
      <c r="R3938">
        <v>12.539</v>
      </c>
      <c r="T3938">
        <v>10.984999999999999</v>
      </c>
      <c r="V3938">
        <v>14.331</v>
      </c>
      <c r="W3938" t="s">
        <v>66</v>
      </c>
      <c r="X3938" t="s">
        <v>67</v>
      </c>
      <c r="Y3938" t="s">
        <v>67</v>
      </c>
      <c r="Z3938" t="s">
        <v>68</v>
      </c>
      <c r="AB3938">
        <v>4</v>
      </c>
      <c r="AC3938" t="s">
        <v>61</v>
      </c>
      <c r="AJ3938" t="s">
        <v>69</v>
      </c>
      <c r="AY3938" t="s">
        <v>2653</v>
      </c>
      <c r="AZ3938">
        <v>58971</v>
      </c>
      <c r="BA3938" t="s">
        <v>2654</v>
      </c>
      <c r="BB3938" t="s">
        <v>2655</v>
      </c>
      <c r="BC3938">
        <v>2001</v>
      </c>
      <c r="BD3938" t="s">
        <v>2656</v>
      </c>
    </row>
    <row r="3939" spans="1:56" x14ac:dyDescent="0.35">
      <c r="A3939">
        <v>13410010</v>
      </c>
      <c r="B3939" t="s">
        <v>2652</v>
      </c>
      <c r="C3939" t="s">
        <v>195</v>
      </c>
      <c r="D3939" t="s">
        <v>57</v>
      </c>
      <c r="E3939" t="s">
        <v>86</v>
      </c>
      <c r="F3939" t="s">
        <v>58</v>
      </c>
      <c r="G3939" t="s">
        <v>59</v>
      </c>
      <c r="H3939" t="s">
        <v>60</v>
      </c>
      <c r="I3939" t="s">
        <v>188</v>
      </c>
      <c r="J3939" t="s">
        <v>86</v>
      </c>
      <c r="K3939" t="s">
        <v>61</v>
      </c>
      <c r="M3939" t="s">
        <v>63</v>
      </c>
      <c r="N3939" t="s">
        <v>64</v>
      </c>
      <c r="O3939">
        <v>6</v>
      </c>
      <c r="P3939" t="s">
        <v>201</v>
      </c>
      <c r="R3939">
        <v>6.21</v>
      </c>
      <c r="T3939">
        <v>5.42</v>
      </c>
      <c r="V3939">
        <v>7.12</v>
      </c>
      <c r="W3939" t="s">
        <v>66</v>
      </c>
      <c r="X3939" t="s">
        <v>67</v>
      </c>
      <c r="Y3939" t="s">
        <v>67</v>
      </c>
      <c r="Z3939" t="s">
        <v>68</v>
      </c>
      <c r="AB3939">
        <v>4</v>
      </c>
      <c r="AC3939" t="s">
        <v>61</v>
      </c>
      <c r="AJ3939" t="s">
        <v>69</v>
      </c>
      <c r="AY3939" t="s">
        <v>2653</v>
      </c>
      <c r="AZ3939">
        <v>58971</v>
      </c>
      <c r="BA3939" t="s">
        <v>2654</v>
      </c>
      <c r="BB3939" t="s">
        <v>2655</v>
      </c>
      <c r="BC3939">
        <v>2001</v>
      </c>
      <c r="BD3939" t="s">
        <v>2656</v>
      </c>
    </row>
    <row r="3940" spans="1:56" x14ac:dyDescent="0.35">
      <c r="A3940">
        <v>13410010</v>
      </c>
      <c r="B3940" t="s">
        <v>2652</v>
      </c>
      <c r="C3940" t="s">
        <v>195</v>
      </c>
      <c r="D3940" t="s">
        <v>57</v>
      </c>
      <c r="E3940" t="s">
        <v>86</v>
      </c>
      <c r="F3940" t="s">
        <v>58</v>
      </c>
      <c r="G3940" t="s">
        <v>59</v>
      </c>
      <c r="H3940" t="s">
        <v>60</v>
      </c>
      <c r="I3940" t="s">
        <v>188</v>
      </c>
      <c r="J3940" t="s">
        <v>86</v>
      </c>
      <c r="K3940" t="s">
        <v>61</v>
      </c>
      <c r="M3940" t="s">
        <v>63</v>
      </c>
      <c r="N3940" t="s">
        <v>64</v>
      </c>
      <c r="O3940">
        <v>6</v>
      </c>
      <c r="P3940" t="s">
        <v>201</v>
      </c>
      <c r="R3940">
        <v>25.664999999999999</v>
      </c>
      <c r="T3940">
        <v>22.99</v>
      </c>
      <c r="V3940">
        <v>28.651</v>
      </c>
      <c r="W3940" t="s">
        <v>66</v>
      </c>
      <c r="X3940" t="s">
        <v>67</v>
      </c>
      <c r="Y3940" t="s">
        <v>67</v>
      </c>
      <c r="Z3940" t="s">
        <v>68</v>
      </c>
      <c r="AB3940">
        <v>4</v>
      </c>
      <c r="AC3940" t="s">
        <v>61</v>
      </c>
      <c r="AJ3940" t="s">
        <v>69</v>
      </c>
      <c r="AY3940" t="s">
        <v>2653</v>
      </c>
      <c r="AZ3940">
        <v>58971</v>
      </c>
      <c r="BA3940" t="s">
        <v>2654</v>
      </c>
      <c r="BB3940" t="s">
        <v>2655</v>
      </c>
      <c r="BC3940">
        <v>2001</v>
      </c>
      <c r="BD3940" t="s">
        <v>2656</v>
      </c>
    </row>
    <row r="3941" spans="1:56" x14ac:dyDescent="0.35">
      <c r="A3941">
        <v>13410010</v>
      </c>
      <c r="B3941" t="s">
        <v>2652</v>
      </c>
      <c r="C3941" t="s">
        <v>195</v>
      </c>
      <c r="D3941" t="s">
        <v>57</v>
      </c>
      <c r="E3941" t="s">
        <v>86</v>
      </c>
      <c r="F3941" t="s">
        <v>58</v>
      </c>
      <c r="G3941" t="s">
        <v>59</v>
      </c>
      <c r="H3941" t="s">
        <v>60</v>
      </c>
      <c r="I3941" t="s">
        <v>188</v>
      </c>
      <c r="J3941" t="s">
        <v>86</v>
      </c>
      <c r="K3941" t="s">
        <v>61</v>
      </c>
      <c r="M3941" t="s">
        <v>63</v>
      </c>
      <c r="N3941" t="s">
        <v>64</v>
      </c>
      <c r="O3941">
        <v>6</v>
      </c>
      <c r="P3941" t="s">
        <v>201</v>
      </c>
      <c r="R3941">
        <v>30.062999999999999</v>
      </c>
      <c r="T3941">
        <v>26.667000000000002</v>
      </c>
      <c r="V3941">
        <v>33.506999999999998</v>
      </c>
      <c r="W3941" t="s">
        <v>66</v>
      </c>
      <c r="X3941" t="s">
        <v>67</v>
      </c>
      <c r="Y3941" t="s">
        <v>67</v>
      </c>
      <c r="Z3941" t="s">
        <v>68</v>
      </c>
      <c r="AB3941">
        <v>4</v>
      </c>
      <c r="AC3941" t="s">
        <v>61</v>
      </c>
      <c r="AJ3941" t="s">
        <v>69</v>
      </c>
      <c r="AY3941" t="s">
        <v>2653</v>
      </c>
      <c r="AZ3941">
        <v>58971</v>
      </c>
      <c r="BA3941" t="s">
        <v>2654</v>
      </c>
      <c r="BB3941" t="s">
        <v>2655</v>
      </c>
      <c r="BC3941">
        <v>2001</v>
      </c>
      <c r="BD3941" t="s">
        <v>2656</v>
      </c>
    </row>
    <row r="3942" spans="1:56" x14ac:dyDescent="0.35">
      <c r="A3942">
        <v>13410010</v>
      </c>
      <c r="B3942" t="s">
        <v>2652</v>
      </c>
      <c r="D3942" t="s">
        <v>57</v>
      </c>
      <c r="E3942" t="s">
        <v>86</v>
      </c>
      <c r="F3942" t="s">
        <v>58</v>
      </c>
      <c r="G3942" t="s">
        <v>59</v>
      </c>
      <c r="H3942" t="s">
        <v>60</v>
      </c>
      <c r="I3942" t="s">
        <v>188</v>
      </c>
      <c r="J3942" t="s">
        <v>2657</v>
      </c>
      <c r="K3942" t="s">
        <v>61</v>
      </c>
      <c r="L3942" t="s">
        <v>190</v>
      </c>
      <c r="M3942" t="s">
        <v>63</v>
      </c>
      <c r="N3942" t="s">
        <v>64</v>
      </c>
      <c r="O3942">
        <v>6</v>
      </c>
      <c r="P3942" t="s">
        <v>1296</v>
      </c>
      <c r="R3942">
        <v>21.8</v>
      </c>
      <c r="T3942">
        <v>18.600000000000001</v>
      </c>
      <c r="V3942">
        <v>25.2</v>
      </c>
      <c r="W3942" t="s">
        <v>66</v>
      </c>
      <c r="X3942" t="s">
        <v>67</v>
      </c>
      <c r="Y3942" t="s">
        <v>67</v>
      </c>
      <c r="Z3942" t="s">
        <v>68</v>
      </c>
      <c r="AB3942">
        <v>4</v>
      </c>
      <c r="AC3942" t="s">
        <v>61</v>
      </c>
      <c r="AJ3942" t="s">
        <v>69</v>
      </c>
      <c r="AY3942" t="s">
        <v>2658</v>
      </c>
      <c r="AZ3942">
        <v>82429</v>
      </c>
      <c r="BA3942" t="s">
        <v>2659</v>
      </c>
      <c r="BB3942" t="s">
        <v>2660</v>
      </c>
      <c r="BC3942">
        <v>2001</v>
      </c>
      <c r="BD3942" t="s">
        <v>73</v>
      </c>
    </row>
    <row r="3943" spans="1:56" x14ac:dyDescent="0.35">
      <c r="A3943">
        <v>13410010</v>
      </c>
      <c r="B3943" t="s">
        <v>2652</v>
      </c>
      <c r="C3943" t="s">
        <v>195</v>
      </c>
      <c r="D3943" t="s">
        <v>57</v>
      </c>
      <c r="E3943" t="s">
        <v>86</v>
      </c>
      <c r="F3943" t="s">
        <v>58</v>
      </c>
      <c r="G3943" t="s">
        <v>59</v>
      </c>
      <c r="H3943" t="s">
        <v>60</v>
      </c>
      <c r="I3943" t="s">
        <v>188</v>
      </c>
      <c r="J3943" t="s">
        <v>86</v>
      </c>
      <c r="K3943" t="s">
        <v>61</v>
      </c>
      <c r="M3943" t="s">
        <v>63</v>
      </c>
      <c r="N3943" t="s">
        <v>64</v>
      </c>
      <c r="O3943">
        <v>6</v>
      </c>
      <c r="P3943" t="s">
        <v>201</v>
      </c>
      <c r="R3943">
        <v>15.260999999999999</v>
      </c>
      <c r="T3943">
        <v>12.643000000000001</v>
      </c>
      <c r="V3943">
        <v>18.032</v>
      </c>
      <c r="W3943" t="s">
        <v>66</v>
      </c>
      <c r="X3943" t="s">
        <v>67</v>
      </c>
      <c r="Y3943" t="s">
        <v>67</v>
      </c>
      <c r="Z3943" t="s">
        <v>68</v>
      </c>
      <c r="AB3943">
        <v>4</v>
      </c>
      <c r="AC3943" t="s">
        <v>61</v>
      </c>
      <c r="AJ3943" t="s">
        <v>69</v>
      </c>
      <c r="AY3943" t="s">
        <v>2653</v>
      </c>
      <c r="AZ3943">
        <v>58971</v>
      </c>
      <c r="BA3943" t="s">
        <v>2654</v>
      </c>
      <c r="BB3943" t="s">
        <v>2655</v>
      </c>
      <c r="BC3943">
        <v>2001</v>
      </c>
      <c r="BD3943" t="s">
        <v>2656</v>
      </c>
    </row>
    <row r="3944" spans="1:56" x14ac:dyDescent="0.35">
      <c r="A3944">
        <v>13410010</v>
      </c>
      <c r="B3944" t="s">
        <v>2652</v>
      </c>
      <c r="C3944" t="s">
        <v>195</v>
      </c>
      <c r="D3944" t="s">
        <v>57</v>
      </c>
      <c r="E3944" t="s">
        <v>86</v>
      </c>
      <c r="F3944" t="s">
        <v>58</v>
      </c>
      <c r="G3944" t="s">
        <v>59</v>
      </c>
      <c r="H3944" t="s">
        <v>60</v>
      </c>
      <c r="I3944" t="s">
        <v>188</v>
      </c>
      <c r="J3944" t="s">
        <v>86</v>
      </c>
      <c r="K3944" t="s">
        <v>61</v>
      </c>
      <c r="M3944" t="s">
        <v>63</v>
      </c>
      <c r="N3944" t="s">
        <v>64</v>
      </c>
      <c r="O3944">
        <v>6</v>
      </c>
      <c r="P3944" t="s">
        <v>201</v>
      </c>
      <c r="R3944">
        <v>35.164000000000001</v>
      </c>
      <c r="T3944">
        <v>31.318999999999999</v>
      </c>
      <c r="V3944">
        <v>39.725999999999999</v>
      </c>
      <c r="W3944" t="s">
        <v>66</v>
      </c>
      <c r="X3944" t="s">
        <v>67</v>
      </c>
      <c r="Y3944" t="s">
        <v>67</v>
      </c>
      <c r="Z3944" t="s">
        <v>68</v>
      </c>
      <c r="AB3944">
        <v>4</v>
      </c>
      <c r="AC3944" t="s">
        <v>61</v>
      </c>
      <c r="AJ3944" t="s">
        <v>69</v>
      </c>
      <c r="AY3944" t="s">
        <v>2653</v>
      </c>
      <c r="AZ3944">
        <v>58971</v>
      </c>
      <c r="BA3944" t="s">
        <v>2654</v>
      </c>
      <c r="BB3944" t="s">
        <v>2655</v>
      </c>
      <c r="BC3944">
        <v>2001</v>
      </c>
      <c r="BD3944" t="s">
        <v>2656</v>
      </c>
    </row>
    <row r="3945" spans="1:56" x14ac:dyDescent="0.35">
      <c r="A3945">
        <v>13410010</v>
      </c>
      <c r="B3945" t="s">
        <v>2652</v>
      </c>
      <c r="C3945" t="s">
        <v>195</v>
      </c>
      <c r="D3945" t="s">
        <v>57</v>
      </c>
      <c r="E3945" t="s">
        <v>86</v>
      </c>
      <c r="F3945" t="s">
        <v>58</v>
      </c>
      <c r="G3945" t="s">
        <v>59</v>
      </c>
      <c r="H3945" t="s">
        <v>60</v>
      </c>
      <c r="I3945" t="s">
        <v>188</v>
      </c>
      <c r="J3945" t="s">
        <v>86</v>
      </c>
      <c r="K3945" t="s">
        <v>61</v>
      </c>
      <c r="M3945" t="s">
        <v>63</v>
      </c>
      <c r="N3945" t="s">
        <v>64</v>
      </c>
      <c r="O3945">
        <v>6</v>
      </c>
      <c r="P3945" t="s">
        <v>201</v>
      </c>
      <c r="R3945">
        <v>42.1</v>
      </c>
      <c r="T3945">
        <v>34.5</v>
      </c>
      <c r="V3945">
        <v>51.39</v>
      </c>
      <c r="W3945" t="s">
        <v>66</v>
      </c>
      <c r="X3945" t="s">
        <v>67</v>
      </c>
      <c r="Y3945" t="s">
        <v>67</v>
      </c>
      <c r="Z3945" t="s">
        <v>68</v>
      </c>
      <c r="AB3945">
        <v>4</v>
      </c>
      <c r="AC3945" t="s">
        <v>61</v>
      </c>
      <c r="AJ3945" t="s">
        <v>69</v>
      </c>
      <c r="AY3945" t="s">
        <v>2653</v>
      </c>
      <c r="AZ3945">
        <v>58971</v>
      </c>
      <c r="BA3945" t="s">
        <v>2654</v>
      </c>
      <c r="BB3945" t="s">
        <v>2655</v>
      </c>
      <c r="BC3945">
        <v>2001</v>
      </c>
      <c r="BD3945" t="s">
        <v>2656</v>
      </c>
    </row>
    <row r="3946" spans="1:56" x14ac:dyDescent="0.35">
      <c r="A3946">
        <v>13410010</v>
      </c>
      <c r="B3946" t="s">
        <v>2652</v>
      </c>
      <c r="C3946" t="s">
        <v>195</v>
      </c>
      <c r="D3946" t="s">
        <v>57</v>
      </c>
      <c r="E3946" t="s">
        <v>86</v>
      </c>
      <c r="F3946" t="s">
        <v>58</v>
      </c>
      <c r="G3946" t="s">
        <v>59</v>
      </c>
      <c r="H3946" t="s">
        <v>60</v>
      </c>
      <c r="I3946" t="s">
        <v>188</v>
      </c>
      <c r="J3946" t="s">
        <v>86</v>
      </c>
      <c r="K3946" t="s">
        <v>61</v>
      </c>
      <c r="M3946" t="s">
        <v>63</v>
      </c>
      <c r="N3946" t="s">
        <v>64</v>
      </c>
      <c r="O3946">
        <v>6</v>
      </c>
      <c r="P3946" t="s">
        <v>201</v>
      </c>
      <c r="R3946">
        <v>16.585999999999999</v>
      </c>
      <c r="T3946">
        <v>15.021000000000001</v>
      </c>
      <c r="V3946">
        <v>18.128</v>
      </c>
      <c r="W3946" t="s">
        <v>66</v>
      </c>
      <c r="X3946" t="s">
        <v>67</v>
      </c>
      <c r="Y3946" t="s">
        <v>67</v>
      </c>
      <c r="Z3946" t="s">
        <v>68</v>
      </c>
      <c r="AB3946">
        <v>4</v>
      </c>
      <c r="AC3946" t="s">
        <v>61</v>
      </c>
      <c r="AJ3946" t="s">
        <v>69</v>
      </c>
      <c r="AY3946" t="s">
        <v>2653</v>
      </c>
      <c r="AZ3946">
        <v>58971</v>
      </c>
      <c r="BA3946" t="s">
        <v>2654</v>
      </c>
      <c r="BB3946" t="s">
        <v>2655</v>
      </c>
      <c r="BC3946">
        <v>2001</v>
      </c>
      <c r="BD3946" t="s">
        <v>2656</v>
      </c>
    </row>
    <row r="3947" spans="1:56" x14ac:dyDescent="0.35">
      <c r="A3947">
        <v>13410010</v>
      </c>
      <c r="B3947" t="s">
        <v>2652</v>
      </c>
      <c r="D3947" t="s">
        <v>57</v>
      </c>
      <c r="E3947" t="s">
        <v>86</v>
      </c>
      <c r="F3947" t="s">
        <v>58</v>
      </c>
      <c r="G3947" t="s">
        <v>59</v>
      </c>
      <c r="H3947" t="s">
        <v>60</v>
      </c>
      <c r="J3947" t="s">
        <v>86</v>
      </c>
      <c r="L3947" t="s">
        <v>74</v>
      </c>
      <c r="M3947" t="s">
        <v>63</v>
      </c>
      <c r="N3947" t="s">
        <v>64</v>
      </c>
      <c r="O3947">
        <v>6</v>
      </c>
      <c r="P3947" t="s">
        <v>201</v>
      </c>
      <c r="R3947">
        <v>10.8</v>
      </c>
      <c r="T3947">
        <v>9.34</v>
      </c>
      <c r="V3947">
        <v>12.4</v>
      </c>
      <c r="W3947" t="s">
        <v>66</v>
      </c>
      <c r="X3947" t="s">
        <v>67</v>
      </c>
      <c r="Y3947" t="s">
        <v>67</v>
      </c>
      <c r="Z3947" t="s">
        <v>68</v>
      </c>
      <c r="AB3947">
        <v>4</v>
      </c>
      <c r="AC3947" t="s">
        <v>61</v>
      </c>
      <c r="AJ3947" t="s">
        <v>69</v>
      </c>
      <c r="AY3947" t="s">
        <v>2485</v>
      </c>
      <c r="AZ3947">
        <v>87256</v>
      </c>
      <c r="BA3947" t="s">
        <v>2486</v>
      </c>
      <c r="BB3947" t="s">
        <v>2487</v>
      </c>
      <c r="BC3947">
        <v>1998</v>
      </c>
      <c r="BD3947" t="s">
        <v>90</v>
      </c>
    </row>
    <row r="3948" spans="1:56" x14ac:dyDescent="0.35">
      <c r="A3948">
        <v>13410010</v>
      </c>
      <c r="B3948" t="s">
        <v>2652</v>
      </c>
      <c r="C3948" t="s">
        <v>195</v>
      </c>
      <c r="D3948" t="s">
        <v>57</v>
      </c>
      <c r="E3948" t="s">
        <v>86</v>
      </c>
      <c r="F3948" t="s">
        <v>58</v>
      </c>
      <c r="G3948" t="s">
        <v>59</v>
      </c>
      <c r="H3948" t="s">
        <v>60</v>
      </c>
      <c r="I3948" t="s">
        <v>188</v>
      </c>
      <c r="J3948" t="s">
        <v>86</v>
      </c>
      <c r="L3948" t="s">
        <v>190</v>
      </c>
      <c r="M3948" t="s">
        <v>63</v>
      </c>
      <c r="N3948" t="s">
        <v>64</v>
      </c>
      <c r="P3948" t="s">
        <v>201</v>
      </c>
      <c r="R3948">
        <v>0.69</v>
      </c>
      <c r="T3948">
        <v>0.55000000000000004</v>
      </c>
      <c r="V3948">
        <v>0.85</v>
      </c>
      <c r="W3948" t="s">
        <v>66</v>
      </c>
      <c r="X3948" t="s">
        <v>67</v>
      </c>
      <c r="Y3948" t="s">
        <v>67</v>
      </c>
      <c r="Z3948" t="s">
        <v>68</v>
      </c>
      <c r="AB3948">
        <v>4</v>
      </c>
      <c r="AC3948" t="s">
        <v>61</v>
      </c>
      <c r="AJ3948" t="s">
        <v>69</v>
      </c>
      <c r="AY3948" t="s">
        <v>331</v>
      </c>
      <c r="AZ3948">
        <v>5313</v>
      </c>
      <c r="BA3948" t="s">
        <v>332</v>
      </c>
      <c r="BB3948" t="s">
        <v>333</v>
      </c>
      <c r="BC3948">
        <v>1989</v>
      </c>
      <c r="BD3948" t="s">
        <v>90</v>
      </c>
    </row>
    <row r="3949" spans="1:56" x14ac:dyDescent="0.35">
      <c r="A3949">
        <v>13410010</v>
      </c>
      <c r="B3949" t="s">
        <v>2652</v>
      </c>
      <c r="C3949" t="s">
        <v>195</v>
      </c>
      <c r="D3949" t="s">
        <v>57</v>
      </c>
      <c r="E3949" t="s">
        <v>86</v>
      </c>
      <c r="F3949" t="s">
        <v>58</v>
      </c>
      <c r="G3949" t="s">
        <v>59</v>
      </c>
      <c r="H3949" t="s">
        <v>60</v>
      </c>
      <c r="I3949" t="s">
        <v>188</v>
      </c>
      <c r="J3949" t="s">
        <v>86</v>
      </c>
      <c r="K3949" t="s">
        <v>61</v>
      </c>
      <c r="M3949" t="s">
        <v>63</v>
      </c>
      <c r="N3949" t="s">
        <v>64</v>
      </c>
      <c r="O3949">
        <v>6</v>
      </c>
      <c r="P3949" t="s">
        <v>201</v>
      </c>
      <c r="R3949">
        <v>18</v>
      </c>
      <c r="T3949">
        <v>14.94</v>
      </c>
      <c r="V3949">
        <v>21.63</v>
      </c>
      <c r="W3949" t="s">
        <v>66</v>
      </c>
      <c r="X3949" t="s">
        <v>67</v>
      </c>
      <c r="Y3949" t="s">
        <v>67</v>
      </c>
      <c r="Z3949" t="s">
        <v>68</v>
      </c>
      <c r="AB3949">
        <v>4</v>
      </c>
      <c r="AC3949" t="s">
        <v>61</v>
      </c>
      <c r="AJ3949" t="s">
        <v>69</v>
      </c>
      <c r="AY3949" t="s">
        <v>2653</v>
      </c>
      <c r="AZ3949">
        <v>58971</v>
      </c>
      <c r="BA3949" t="s">
        <v>2654</v>
      </c>
      <c r="BB3949" t="s">
        <v>2655</v>
      </c>
      <c r="BC3949">
        <v>2001</v>
      </c>
      <c r="BD3949" t="s">
        <v>2656</v>
      </c>
    </row>
    <row r="3950" spans="1:56" x14ac:dyDescent="0.35">
      <c r="A3950">
        <v>13410010</v>
      </c>
      <c r="B3950" t="s">
        <v>2652</v>
      </c>
      <c r="C3950" t="s">
        <v>195</v>
      </c>
      <c r="D3950" t="s">
        <v>57</v>
      </c>
      <c r="E3950" t="s">
        <v>86</v>
      </c>
      <c r="F3950" t="s">
        <v>58</v>
      </c>
      <c r="G3950" t="s">
        <v>59</v>
      </c>
      <c r="H3950" t="s">
        <v>60</v>
      </c>
      <c r="I3950" t="s">
        <v>188</v>
      </c>
      <c r="J3950" t="s">
        <v>86</v>
      </c>
      <c r="K3950" t="s">
        <v>61</v>
      </c>
      <c r="M3950" t="s">
        <v>63</v>
      </c>
      <c r="N3950" t="s">
        <v>64</v>
      </c>
      <c r="O3950">
        <v>6</v>
      </c>
      <c r="P3950" t="s">
        <v>201</v>
      </c>
      <c r="R3950">
        <v>18.361000000000001</v>
      </c>
      <c r="T3950">
        <v>16.308</v>
      </c>
      <c r="V3950">
        <v>20.061</v>
      </c>
      <c r="W3950" t="s">
        <v>66</v>
      </c>
      <c r="X3950" t="s">
        <v>67</v>
      </c>
      <c r="Y3950" t="s">
        <v>67</v>
      </c>
      <c r="Z3950" t="s">
        <v>68</v>
      </c>
      <c r="AB3950">
        <v>4</v>
      </c>
      <c r="AC3950" t="s">
        <v>61</v>
      </c>
      <c r="AJ3950" t="s">
        <v>69</v>
      </c>
      <c r="AY3950" t="s">
        <v>2653</v>
      </c>
      <c r="AZ3950">
        <v>58971</v>
      </c>
      <c r="BA3950" t="s">
        <v>2654</v>
      </c>
      <c r="BB3950" t="s">
        <v>2655</v>
      </c>
      <c r="BC3950">
        <v>2001</v>
      </c>
      <c r="BD3950" t="s">
        <v>2656</v>
      </c>
    </row>
    <row r="3951" spans="1:56" x14ac:dyDescent="0.35">
      <c r="A3951">
        <v>13410010</v>
      </c>
      <c r="B3951" t="s">
        <v>2652</v>
      </c>
      <c r="C3951" t="s">
        <v>195</v>
      </c>
      <c r="D3951" t="s">
        <v>57</v>
      </c>
      <c r="E3951" t="s">
        <v>86</v>
      </c>
      <c r="F3951" t="s">
        <v>58</v>
      </c>
      <c r="G3951" t="s">
        <v>59</v>
      </c>
      <c r="H3951" t="s">
        <v>60</v>
      </c>
      <c r="I3951" t="s">
        <v>188</v>
      </c>
      <c r="J3951" t="s">
        <v>86</v>
      </c>
      <c r="K3951" t="s">
        <v>61</v>
      </c>
      <c r="M3951" t="s">
        <v>63</v>
      </c>
      <c r="N3951" t="s">
        <v>64</v>
      </c>
      <c r="O3951">
        <v>6</v>
      </c>
      <c r="P3951" t="s">
        <v>201</v>
      </c>
      <c r="R3951">
        <v>23.780999999999999</v>
      </c>
      <c r="T3951">
        <v>21.251999999999999</v>
      </c>
      <c r="V3951">
        <v>26.699000000000002</v>
      </c>
      <c r="W3951" t="s">
        <v>66</v>
      </c>
      <c r="X3951" t="s">
        <v>67</v>
      </c>
      <c r="Y3951" t="s">
        <v>67</v>
      </c>
      <c r="Z3951" t="s">
        <v>68</v>
      </c>
      <c r="AB3951">
        <v>4</v>
      </c>
      <c r="AC3951" t="s">
        <v>61</v>
      </c>
      <c r="AJ3951" t="s">
        <v>69</v>
      </c>
      <c r="AY3951" t="s">
        <v>2653</v>
      </c>
      <c r="AZ3951">
        <v>58971</v>
      </c>
      <c r="BA3951" t="s">
        <v>2654</v>
      </c>
      <c r="BB3951" t="s">
        <v>2655</v>
      </c>
      <c r="BC3951">
        <v>2001</v>
      </c>
      <c r="BD3951" t="s">
        <v>2656</v>
      </c>
    </row>
    <row r="3952" spans="1:56" x14ac:dyDescent="0.35">
      <c r="A3952">
        <v>13410010</v>
      </c>
      <c r="B3952" t="s">
        <v>2652</v>
      </c>
      <c r="C3952" t="s">
        <v>195</v>
      </c>
      <c r="E3952" t="s">
        <v>86</v>
      </c>
      <c r="F3952" t="s">
        <v>58</v>
      </c>
      <c r="G3952" t="s">
        <v>59</v>
      </c>
      <c r="H3952" t="s">
        <v>60</v>
      </c>
      <c r="J3952" t="s">
        <v>86</v>
      </c>
      <c r="L3952" t="s">
        <v>62</v>
      </c>
      <c r="M3952" t="s">
        <v>63</v>
      </c>
      <c r="N3952" t="s">
        <v>64</v>
      </c>
      <c r="P3952" t="s">
        <v>201</v>
      </c>
      <c r="R3952">
        <v>11.8</v>
      </c>
      <c r="T3952">
        <v>9.92</v>
      </c>
      <c r="V3952">
        <v>14.04</v>
      </c>
      <c r="W3952" t="s">
        <v>66</v>
      </c>
      <c r="X3952" t="s">
        <v>67</v>
      </c>
      <c r="Y3952" t="s">
        <v>67</v>
      </c>
      <c r="Z3952" t="s">
        <v>68</v>
      </c>
      <c r="AB3952">
        <v>4</v>
      </c>
      <c r="AC3952" t="s">
        <v>61</v>
      </c>
      <c r="AJ3952" t="s">
        <v>69</v>
      </c>
      <c r="AY3952" t="s">
        <v>2488</v>
      </c>
      <c r="AZ3952">
        <v>19753</v>
      </c>
      <c r="BA3952" t="s">
        <v>2489</v>
      </c>
      <c r="BB3952" t="s">
        <v>2490</v>
      </c>
      <c r="BC3952">
        <v>1976</v>
      </c>
      <c r="BD3952" t="s">
        <v>90</v>
      </c>
    </row>
    <row r="3953" spans="1:56" x14ac:dyDescent="0.35">
      <c r="A3953">
        <v>13410010</v>
      </c>
      <c r="B3953" t="s">
        <v>2652</v>
      </c>
      <c r="C3953" t="s">
        <v>195</v>
      </c>
      <c r="E3953" t="s">
        <v>86</v>
      </c>
      <c r="F3953" t="s">
        <v>58</v>
      </c>
      <c r="G3953" t="s">
        <v>59</v>
      </c>
      <c r="H3953" t="s">
        <v>60</v>
      </c>
      <c r="J3953" t="s">
        <v>86</v>
      </c>
      <c r="L3953" t="s">
        <v>62</v>
      </c>
      <c r="M3953" t="s">
        <v>63</v>
      </c>
      <c r="N3953" t="s">
        <v>64</v>
      </c>
      <c r="P3953" t="s">
        <v>201</v>
      </c>
      <c r="R3953">
        <v>12.5</v>
      </c>
      <c r="T3953">
        <v>10.59</v>
      </c>
      <c r="V3953">
        <v>14.75</v>
      </c>
      <c r="W3953" t="s">
        <v>66</v>
      </c>
      <c r="X3953" t="s">
        <v>67</v>
      </c>
      <c r="Y3953" t="s">
        <v>67</v>
      </c>
      <c r="Z3953" t="s">
        <v>68</v>
      </c>
      <c r="AB3953">
        <v>4</v>
      </c>
      <c r="AC3953" t="s">
        <v>61</v>
      </c>
      <c r="AJ3953" t="s">
        <v>69</v>
      </c>
      <c r="AY3953" t="s">
        <v>2488</v>
      </c>
      <c r="AZ3953">
        <v>19753</v>
      </c>
      <c r="BA3953" t="s">
        <v>2489</v>
      </c>
      <c r="BB3953" t="s">
        <v>2490</v>
      </c>
      <c r="BC3953">
        <v>1976</v>
      </c>
      <c r="BD3953" t="s">
        <v>90</v>
      </c>
    </row>
    <row r="3954" spans="1:56" x14ac:dyDescent="0.35">
      <c r="A3954">
        <v>13410010</v>
      </c>
      <c r="B3954" t="s">
        <v>2652</v>
      </c>
      <c r="D3954" t="s">
        <v>57</v>
      </c>
      <c r="E3954" t="s">
        <v>86</v>
      </c>
      <c r="F3954" t="s">
        <v>58</v>
      </c>
      <c r="G3954" t="s">
        <v>59</v>
      </c>
      <c r="H3954" t="s">
        <v>60</v>
      </c>
      <c r="J3954" t="s">
        <v>86</v>
      </c>
      <c r="L3954" t="s">
        <v>74</v>
      </c>
      <c r="M3954" t="s">
        <v>63</v>
      </c>
      <c r="N3954" t="s">
        <v>64</v>
      </c>
      <c r="O3954">
        <v>6</v>
      </c>
      <c r="P3954" t="s">
        <v>201</v>
      </c>
      <c r="R3954">
        <v>42.1</v>
      </c>
      <c r="T3954">
        <v>34.5</v>
      </c>
      <c r="V3954">
        <v>51.4</v>
      </c>
      <c r="W3954" t="s">
        <v>66</v>
      </c>
      <c r="X3954" t="s">
        <v>67</v>
      </c>
      <c r="Y3954" t="s">
        <v>67</v>
      </c>
      <c r="Z3954" t="s">
        <v>68</v>
      </c>
      <c r="AB3954">
        <v>4</v>
      </c>
      <c r="AC3954" t="s">
        <v>61</v>
      </c>
      <c r="AJ3954" t="s">
        <v>69</v>
      </c>
      <c r="AY3954" t="s">
        <v>2485</v>
      </c>
      <c r="AZ3954">
        <v>87256</v>
      </c>
      <c r="BA3954" t="s">
        <v>2486</v>
      </c>
      <c r="BB3954" t="s">
        <v>2487</v>
      </c>
      <c r="BC3954">
        <v>1998</v>
      </c>
      <c r="BD3954" t="s">
        <v>90</v>
      </c>
    </row>
    <row r="3955" spans="1:56" x14ac:dyDescent="0.35">
      <c r="A3955">
        <v>13410010</v>
      </c>
      <c r="B3955" t="s">
        <v>2652</v>
      </c>
      <c r="D3955" t="s">
        <v>57</v>
      </c>
      <c r="E3955" t="s">
        <v>86</v>
      </c>
      <c r="F3955" t="s">
        <v>58</v>
      </c>
      <c r="G3955" t="s">
        <v>59</v>
      </c>
      <c r="H3955" t="s">
        <v>60</v>
      </c>
      <c r="J3955" t="s">
        <v>86</v>
      </c>
      <c r="L3955" t="s">
        <v>74</v>
      </c>
      <c r="M3955" t="s">
        <v>63</v>
      </c>
      <c r="N3955" t="s">
        <v>64</v>
      </c>
      <c r="P3955" t="s">
        <v>201</v>
      </c>
      <c r="R3955">
        <v>5.5</v>
      </c>
      <c r="T3955">
        <v>4.7</v>
      </c>
      <c r="V3955">
        <v>6.4</v>
      </c>
      <c r="W3955" t="s">
        <v>66</v>
      </c>
      <c r="X3955" t="s">
        <v>67</v>
      </c>
      <c r="Y3955" t="s">
        <v>67</v>
      </c>
      <c r="Z3955" t="s">
        <v>68</v>
      </c>
      <c r="AB3955">
        <v>4</v>
      </c>
      <c r="AC3955" t="s">
        <v>61</v>
      </c>
      <c r="AJ3955" t="s">
        <v>69</v>
      </c>
      <c r="AY3955" t="s">
        <v>843</v>
      </c>
      <c r="AZ3955">
        <v>56474</v>
      </c>
      <c r="BA3955" t="s">
        <v>844</v>
      </c>
      <c r="BB3955" t="s">
        <v>845</v>
      </c>
      <c r="BC3955">
        <v>1986</v>
      </c>
      <c r="BD3955" t="s">
        <v>90</v>
      </c>
    </row>
    <row r="3956" spans="1:56" x14ac:dyDescent="0.35">
      <c r="A3956">
        <v>13410010</v>
      </c>
      <c r="B3956" t="s">
        <v>2652</v>
      </c>
      <c r="D3956" t="s">
        <v>57</v>
      </c>
      <c r="E3956">
        <v>41.6</v>
      </c>
      <c r="F3956" t="s">
        <v>58</v>
      </c>
      <c r="G3956" t="s">
        <v>59</v>
      </c>
      <c r="H3956" t="s">
        <v>60</v>
      </c>
      <c r="J3956">
        <v>30</v>
      </c>
      <c r="K3956" t="s">
        <v>61</v>
      </c>
      <c r="M3956" t="s">
        <v>63</v>
      </c>
      <c r="N3956" t="s">
        <v>64</v>
      </c>
      <c r="P3956" t="s">
        <v>201</v>
      </c>
      <c r="R3956">
        <v>2.2999999999999998</v>
      </c>
      <c r="T3956">
        <v>2.1</v>
      </c>
      <c r="V3956">
        <v>2.7</v>
      </c>
      <c r="W3956" t="s">
        <v>66</v>
      </c>
      <c r="X3956" t="s">
        <v>67</v>
      </c>
      <c r="Y3956" t="s">
        <v>67</v>
      </c>
      <c r="Z3956" t="s">
        <v>68</v>
      </c>
      <c r="AB3956">
        <v>4</v>
      </c>
      <c r="AC3956" t="s">
        <v>61</v>
      </c>
      <c r="AJ3956" t="s">
        <v>69</v>
      </c>
      <c r="AY3956" t="s">
        <v>2491</v>
      </c>
      <c r="AZ3956">
        <v>20295</v>
      </c>
      <c r="BA3956" t="s">
        <v>2492</v>
      </c>
      <c r="BB3956" t="s">
        <v>2493</v>
      </c>
      <c r="BC3956">
        <v>1985</v>
      </c>
      <c r="BD3956" t="s">
        <v>73</v>
      </c>
    </row>
    <row r="3957" spans="1:56" x14ac:dyDescent="0.35">
      <c r="A3957">
        <v>13410010</v>
      </c>
      <c r="B3957" t="s">
        <v>2652</v>
      </c>
      <c r="C3957" t="s">
        <v>195</v>
      </c>
      <c r="D3957" t="s">
        <v>57</v>
      </c>
      <c r="E3957" t="s">
        <v>86</v>
      </c>
      <c r="F3957" t="s">
        <v>58</v>
      </c>
      <c r="G3957" t="s">
        <v>59</v>
      </c>
      <c r="H3957" t="s">
        <v>60</v>
      </c>
      <c r="I3957" t="s">
        <v>188</v>
      </c>
      <c r="J3957" t="s">
        <v>86</v>
      </c>
      <c r="K3957" t="s">
        <v>61</v>
      </c>
      <c r="M3957" t="s">
        <v>63</v>
      </c>
      <c r="N3957" t="s">
        <v>64</v>
      </c>
      <c r="O3957">
        <v>6</v>
      </c>
      <c r="P3957" t="s">
        <v>201</v>
      </c>
      <c r="R3957">
        <v>12.332000000000001</v>
      </c>
      <c r="T3957">
        <v>10.481999999999999</v>
      </c>
      <c r="V3957">
        <v>14.159000000000001</v>
      </c>
      <c r="W3957" t="s">
        <v>66</v>
      </c>
      <c r="X3957" t="s">
        <v>67</v>
      </c>
      <c r="Y3957" t="s">
        <v>67</v>
      </c>
      <c r="Z3957" t="s">
        <v>68</v>
      </c>
      <c r="AB3957">
        <v>4</v>
      </c>
      <c r="AC3957" t="s">
        <v>61</v>
      </c>
      <c r="AJ3957" t="s">
        <v>69</v>
      </c>
      <c r="AY3957" t="s">
        <v>2653</v>
      </c>
      <c r="AZ3957">
        <v>58971</v>
      </c>
      <c r="BA3957" t="s">
        <v>2654</v>
      </c>
      <c r="BB3957" t="s">
        <v>2655</v>
      </c>
      <c r="BC3957">
        <v>2001</v>
      </c>
      <c r="BD3957" t="s">
        <v>2656</v>
      </c>
    </row>
    <row r="3958" spans="1:56" x14ac:dyDescent="0.35">
      <c r="A3958">
        <v>13410010</v>
      </c>
      <c r="B3958" t="s">
        <v>2652</v>
      </c>
      <c r="C3958" t="s">
        <v>195</v>
      </c>
      <c r="D3958" t="s">
        <v>57</v>
      </c>
      <c r="E3958" t="s">
        <v>86</v>
      </c>
      <c r="F3958" t="s">
        <v>58</v>
      </c>
      <c r="G3958" t="s">
        <v>59</v>
      </c>
      <c r="H3958" t="s">
        <v>60</v>
      </c>
      <c r="I3958" t="s">
        <v>188</v>
      </c>
      <c r="J3958" t="s">
        <v>86</v>
      </c>
      <c r="L3958" t="s">
        <v>190</v>
      </c>
      <c r="M3958" t="s">
        <v>63</v>
      </c>
      <c r="N3958" t="s">
        <v>64</v>
      </c>
      <c r="P3958" t="s">
        <v>201</v>
      </c>
      <c r="R3958">
        <v>3.84</v>
      </c>
      <c r="T3958">
        <v>2.93</v>
      </c>
      <c r="V3958">
        <v>5.04</v>
      </c>
      <c r="W3958" t="s">
        <v>66</v>
      </c>
      <c r="X3958" t="s">
        <v>67</v>
      </c>
      <c r="Y3958" t="s">
        <v>67</v>
      </c>
      <c r="Z3958" t="s">
        <v>68</v>
      </c>
      <c r="AB3958">
        <v>4</v>
      </c>
      <c r="AC3958" t="s">
        <v>61</v>
      </c>
      <c r="AJ3958" t="s">
        <v>69</v>
      </c>
      <c r="AY3958" t="s">
        <v>331</v>
      </c>
      <c r="AZ3958">
        <v>5313</v>
      </c>
      <c r="BA3958" t="s">
        <v>332</v>
      </c>
      <c r="BB3958" t="s">
        <v>333</v>
      </c>
      <c r="BC3958">
        <v>1989</v>
      </c>
      <c r="BD3958" t="s">
        <v>90</v>
      </c>
    </row>
    <row r="3959" spans="1:56" x14ac:dyDescent="0.35">
      <c r="A3959">
        <v>13410010</v>
      </c>
      <c r="B3959" t="s">
        <v>2652</v>
      </c>
      <c r="D3959" t="s">
        <v>57</v>
      </c>
      <c r="E3959" t="s">
        <v>86</v>
      </c>
      <c r="F3959" t="s">
        <v>58</v>
      </c>
      <c r="G3959" t="s">
        <v>59</v>
      </c>
      <c r="H3959" t="s">
        <v>60</v>
      </c>
      <c r="J3959" t="s">
        <v>86</v>
      </c>
      <c r="L3959" t="s">
        <v>74</v>
      </c>
      <c r="M3959" t="s">
        <v>63</v>
      </c>
      <c r="N3959" t="s">
        <v>64</v>
      </c>
      <c r="O3959">
        <v>6</v>
      </c>
      <c r="P3959" t="s">
        <v>201</v>
      </c>
      <c r="R3959">
        <v>6.21</v>
      </c>
      <c r="T3959">
        <v>5.42</v>
      </c>
      <c r="V3959">
        <v>7.12</v>
      </c>
      <c r="W3959" t="s">
        <v>66</v>
      </c>
      <c r="X3959" t="s">
        <v>67</v>
      </c>
      <c r="Y3959" t="s">
        <v>67</v>
      </c>
      <c r="Z3959" t="s">
        <v>68</v>
      </c>
      <c r="AB3959">
        <v>4</v>
      </c>
      <c r="AC3959" t="s">
        <v>61</v>
      </c>
      <c r="AJ3959" t="s">
        <v>69</v>
      </c>
      <c r="AY3959" t="s">
        <v>2485</v>
      </c>
      <c r="AZ3959">
        <v>87256</v>
      </c>
      <c r="BA3959" t="s">
        <v>2486</v>
      </c>
      <c r="BB3959" t="s">
        <v>2487</v>
      </c>
      <c r="BC3959">
        <v>1998</v>
      </c>
      <c r="BD3959" t="s">
        <v>90</v>
      </c>
    </row>
    <row r="3960" spans="1:56" x14ac:dyDescent="0.35">
      <c r="A3960">
        <v>13410010</v>
      </c>
      <c r="B3960" t="s">
        <v>2652</v>
      </c>
      <c r="D3960" t="s">
        <v>57</v>
      </c>
      <c r="E3960" t="s">
        <v>86</v>
      </c>
      <c r="F3960" t="s">
        <v>58</v>
      </c>
      <c r="G3960" t="s">
        <v>59</v>
      </c>
      <c r="H3960" t="s">
        <v>60</v>
      </c>
      <c r="J3960" t="s">
        <v>86</v>
      </c>
      <c r="L3960" t="s">
        <v>74</v>
      </c>
      <c r="M3960" t="s">
        <v>63</v>
      </c>
      <c r="N3960" t="s">
        <v>64</v>
      </c>
      <c r="O3960">
        <v>6</v>
      </c>
      <c r="P3960" t="s">
        <v>201</v>
      </c>
      <c r="R3960">
        <v>18</v>
      </c>
      <c r="T3960">
        <v>14.9</v>
      </c>
      <c r="V3960">
        <v>21.6</v>
      </c>
      <c r="W3960" t="s">
        <v>66</v>
      </c>
      <c r="X3960" t="s">
        <v>67</v>
      </c>
      <c r="Y3960" t="s">
        <v>67</v>
      </c>
      <c r="Z3960" t="s">
        <v>68</v>
      </c>
      <c r="AB3960">
        <v>4</v>
      </c>
      <c r="AC3960" t="s">
        <v>61</v>
      </c>
      <c r="AJ3960" t="s">
        <v>69</v>
      </c>
      <c r="AY3960" t="s">
        <v>2485</v>
      </c>
      <c r="AZ3960">
        <v>87256</v>
      </c>
      <c r="BA3960" t="s">
        <v>2486</v>
      </c>
      <c r="BB3960" t="s">
        <v>2487</v>
      </c>
      <c r="BC3960">
        <v>1998</v>
      </c>
      <c r="BD3960" t="s">
        <v>90</v>
      </c>
    </row>
    <row r="3961" spans="1:56" x14ac:dyDescent="0.35">
      <c r="A3961">
        <v>13410010</v>
      </c>
      <c r="B3961" t="s">
        <v>2652</v>
      </c>
      <c r="C3961" t="s">
        <v>195</v>
      </c>
      <c r="D3961" t="s">
        <v>57</v>
      </c>
      <c r="E3961" t="s">
        <v>86</v>
      </c>
      <c r="F3961" t="s">
        <v>58</v>
      </c>
      <c r="G3961" t="s">
        <v>59</v>
      </c>
      <c r="H3961" t="s">
        <v>60</v>
      </c>
      <c r="I3961" t="s">
        <v>188</v>
      </c>
      <c r="J3961" t="s">
        <v>86</v>
      </c>
      <c r="K3961" t="s">
        <v>61</v>
      </c>
      <c r="M3961" t="s">
        <v>63</v>
      </c>
      <c r="N3961" t="s">
        <v>64</v>
      </c>
      <c r="O3961">
        <v>6</v>
      </c>
      <c r="P3961" t="s">
        <v>201</v>
      </c>
      <c r="R3961">
        <v>10.8</v>
      </c>
      <c r="T3961">
        <v>9.34</v>
      </c>
      <c r="V3961">
        <v>12.42</v>
      </c>
      <c r="W3961" t="s">
        <v>66</v>
      </c>
      <c r="X3961" t="s">
        <v>67</v>
      </c>
      <c r="Y3961" t="s">
        <v>67</v>
      </c>
      <c r="Z3961" t="s">
        <v>68</v>
      </c>
      <c r="AB3961">
        <v>4</v>
      </c>
      <c r="AC3961" t="s">
        <v>61</v>
      </c>
      <c r="AJ3961" t="s">
        <v>69</v>
      </c>
      <c r="AY3961" t="s">
        <v>2653</v>
      </c>
      <c r="AZ3961">
        <v>58971</v>
      </c>
      <c r="BA3961" t="s">
        <v>2654</v>
      </c>
      <c r="BB3961" t="s">
        <v>2655</v>
      </c>
      <c r="BC3961">
        <v>2001</v>
      </c>
      <c r="BD3961" t="s">
        <v>2656</v>
      </c>
    </row>
    <row r="3962" spans="1:56" x14ac:dyDescent="0.35">
      <c r="A3962">
        <v>13411160</v>
      </c>
      <c r="B3962" t="s">
        <v>2661</v>
      </c>
      <c r="D3962" t="s">
        <v>85</v>
      </c>
      <c r="E3962" t="s">
        <v>86</v>
      </c>
      <c r="F3962" t="s">
        <v>58</v>
      </c>
      <c r="G3962" t="s">
        <v>59</v>
      </c>
      <c r="H3962" t="s">
        <v>60</v>
      </c>
      <c r="J3962" t="s">
        <v>86</v>
      </c>
      <c r="L3962" t="s">
        <v>62</v>
      </c>
      <c r="M3962" t="s">
        <v>63</v>
      </c>
      <c r="N3962" t="s">
        <v>64</v>
      </c>
      <c r="P3962" t="s">
        <v>100</v>
      </c>
      <c r="R3962">
        <v>0.82</v>
      </c>
      <c r="T3962">
        <v>0.71699999999999997</v>
      </c>
      <c r="V3962">
        <v>0.93799999999999994</v>
      </c>
      <c r="W3962" t="s">
        <v>66</v>
      </c>
      <c r="X3962" t="s">
        <v>67</v>
      </c>
      <c r="Y3962" t="s">
        <v>67</v>
      </c>
      <c r="Z3962" t="s">
        <v>68</v>
      </c>
      <c r="AB3962">
        <v>4</v>
      </c>
      <c r="AC3962" t="s">
        <v>61</v>
      </c>
      <c r="AJ3962" t="s">
        <v>69</v>
      </c>
      <c r="AY3962" t="s">
        <v>2662</v>
      </c>
      <c r="AZ3962">
        <v>7567</v>
      </c>
      <c r="BA3962" t="s">
        <v>2663</v>
      </c>
      <c r="BB3962" t="s">
        <v>2664</v>
      </c>
      <c r="BC3962">
        <v>1977</v>
      </c>
      <c r="BD3962" t="s">
        <v>90</v>
      </c>
    </row>
    <row r="3963" spans="1:56" x14ac:dyDescent="0.35">
      <c r="A3963">
        <v>13463417</v>
      </c>
      <c r="B3963" t="s">
        <v>2665</v>
      </c>
      <c r="E3963">
        <v>97.8</v>
      </c>
      <c r="F3963" t="s">
        <v>58</v>
      </c>
      <c r="G3963" t="s">
        <v>59</v>
      </c>
      <c r="H3963" t="s">
        <v>60</v>
      </c>
      <c r="J3963" t="s">
        <v>86</v>
      </c>
      <c r="L3963" t="s">
        <v>74</v>
      </c>
      <c r="M3963" t="s">
        <v>63</v>
      </c>
      <c r="N3963" t="s">
        <v>64</v>
      </c>
      <c r="R3963">
        <v>2.6800000000000001E-3</v>
      </c>
      <c r="W3963" t="s">
        <v>66</v>
      </c>
      <c r="X3963" t="s">
        <v>67</v>
      </c>
      <c r="Y3963" t="s">
        <v>67</v>
      </c>
      <c r="Z3963" t="s">
        <v>68</v>
      </c>
      <c r="AB3963">
        <v>4</v>
      </c>
      <c r="AC3963" t="s">
        <v>61</v>
      </c>
      <c r="AJ3963" t="s">
        <v>69</v>
      </c>
      <c r="AY3963" t="s">
        <v>116</v>
      </c>
      <c r="AZ3963">
        <v>344</v>
      </c>
      <c r="BA3963" t="s">
        <v>117</v>
      </c>
      <c r="BB3963" t="s">
        <v>118</v>
      </c>
      <c r="BC3963">
        <v>1992</v>
      </c>
      <c r="BD3963" t="s">
        <v>90</v>
      </c>
    </row>
    <row r="3964" spans="1:56" x14ac:dyDescent="0.35">
      <c r="A3964">
        <v>13463677</v>
      </c>
      <c r="B3964" t="s">
        <v>2666</v>
      </c>
      <c r="D3964" t="s">
        <v>85</v>
      </c>
      <c r="E3964">
        <v>99</v>
      </c>
      <c r="F3964" t="s">
        <v>58</v>
      </c>
      <c r="G3964" t="s">
        <v>59</v>
      </c>
      <c r="H3964" t="s">
        <v>60</v>
      </c>
      <c r="J3964" t="s">
        <v>86</v>
      </c>
      <c r="K3964" t="s">
        <v>61</v>
      </c>
      <c r="M3964" t="s">
        <v>63</v>
      </c>
      <c r="N3964" t="s">
        <v>64</v>
      </c>
      <c r="O3964">
        <v>6</v>
      </c>
      <c r="P3964" t="s">
        <v>201</v>
      </c>
      <c r="Q3964" t="s">
        <v>153</v>
      </c>
      <c r="R3964">
        <v>1000</v>
      </c>
      <c r="W3964" t="s">
        <v>66</v>
      </c>
      <c r="X3964" t="s">
        <v>67</v>
      </c>
      <c r="Y3964" t="s">
        <v>67</v>
      </c>
      <c r="Z3964" t="s">
        <v>68</v>
      </c>
      <c r="AB3964">
        <v>4</v>
      </c>
      <c r="AC3964" t="s">
        <v>61</v>
      </c>
      <c r="AJ3964" t="s">
        <v>69</v>
      </c>
      <c r="AY3964" t="s">
        <v>2667</v>
      </c>
      <c r="AZ3964">
        <v>120113</v>
      </c>
      <c r="BA3964" t="s">
        <v>2668</v>
      </c>
      <c r="BB3964" t="s">
        <v>2669</v>
      </c>
      <c r="BC3964">
        <v>2009</v>
      </c>
      <c r="BD3964" t="s">
        <v>1333</v>
      </c>
    </row>
    <row r="3965" spans="1:56" x14ac:dyDescent="0.35">
      <c r="A3965">
        <v>13473900</v>
      </c>
      <c r="B3965" t="s">
        <v>2670</v>
      </c>
      <c r="E3965">
        <v>7.2</v>
      </c>
      <c r="F3965" t="s">
        <v>58</v>
      </c>
      <c r="G3965" t="s">
        <v>59</v>
      </c>
      <c r="H3965" t="s">
        <v>60</v>
      </c>
      <c r="J3965" t="s">
        <v>86</v>
      </c>
      <c r="L3965" t="s">
        <v>62</v>
      </c>
      <c r="M3965" t="s">
        <v>63</v>
      </c>
      <c r="N3965" t="s">
        <v>64</v>
      </c>
      <c r="P3965" t="s">
        <v>201</v>
      </c>
      <c r="R3965">
        <v>4.25</v>
      </c>
      <c r="T3965">
        <v>3.3</v>
      </c>
      <c r="V3965">
        <v>5.5</v>
      </c>
      <c r="W3965" t="s">
        <v>66</v>
      </c>
      <c r="X3965" t="s">
        <v>67</v>
      </c>
      <c r="Y3965" t="s">
        <v>67</v>
      </c>
      <c r="Z3965" t="s">
        <v>68</v>
      </c>
      <c r="AB3965">
        <v>4</v>
      </c>
      <c r="AC3965" t="s">
        <v>61</v>
      </c>
      <c r="AJ3965" t="s">
        <v>69</v>
      </c>
      <c r="AY3965" t="s">
        <v>96</v>
      </c>
      <c r="AZ3965">
        <v>6797</v>
      </c>
      <c r="BA3965" t="s">
        <v>97</v>
      </c>
      <c r="BB3965" t="s">
        <v>98</v>
      </c>
      <c r="BC3965">
        <v>1986</v>
      </c>
      <c r="BD3965" t="s">
        <v>90</v>
      </c>
    </row>
    <row r="3966" spans="1:56" x14ac:dyDescent="0.35">
      <c r="A3966">
        <v>13510491</v>
      </c>
      <c r="B3966" t="s">
        <v>2671</v>
      </c>
      <c r="C3966" t="s">
        <v>195</v>
      </c>
      <c r="D3966" t="s">
        <v>85</v>
      </c>
      <c r="E3966" t="s">
        <v>86</v>
      </c>
      <c r="F3966" t="s">
        <v>58</v>
      </c>
      <c r="G3966" t="s">
        <v>59</v>
      </c>
      <c r="H3966" t="s">
        <v>60</v>
      </c>
      <c r="J3966" t="s">
        <v>86</v>
      </c>
      <c r="L3966" t="s">
        <v>62</v>
      </c>
      <c r="M3966" t="s">
        <v>63</v>
      </c>
      <c r="N3966" t="s">
        <v>64</v>
      </c>
      <c r="P3966" t="s">
        <v>201</v>
      </c>
      <c r="R3966">
        <v>17.5</v>
      </c>
      <c r="W3966" t="s">
        <v>66</v>
      </c>
      <c r="X3966" t="s">
        <v>67</v>
      </c>
      <c r="Y3966" t="s">
        <v>67</v>
      </c>
      <c r="Z3966" t="s">
        <v>68</v>
      </c>
      <c r="AB3966">
        <v>4</v>
      </c>
      <c r="AC3966" t="s">
        <v>61</v>
      </c>
      <c r="AJ3966" t="s">
        <v>69</v>
      </c>
      <c r="AY3966" t="s">
        <v>197</v>
      </c>
      <c r="AZ3966">
        <v>3783</v>
      </c>
      <c r="BA3966" t="s">
        <v>198</v>
      </c>
      <c r="BB3966" t="s">
        <v>199</v>
      </c>
      <c r="BC3966">
        <v>1978</v>
      </c>
      <c r="BD3966" t="s">
        <v>90</v>
      </c>
    </row>
    <row r="3967" spans="1:56" x14ac:dyDescent="0.35">
      <c r="A3967">
        <v>13510491</v>
      </c>
      <c r="B3967" t="s">
        <v>2671</v>
      </c>
      <c r="D3967" t="s">
        <v>85</v>
      </c>
      <c r="E3967" t="s">
        <v>86</v>
      </c>
      <c r="F3967" t="s">
        <v>58</v>
      </c>
      <c r="G3967" t="s">
        <v>59</v>
      </c>
      <c r="H3967" t="s">
        <v>60</v>
      </c>
      <c r="J3967" t="s">
        <v>86</v>
      </c>
      <c r="L3967" t="s">
        <v>62</v>
      </c>
      <c r="M3967" t="s">
        <v>63</v>
      </c>
      <c r="N3967" t="s">
        <v>64</v>
      </c>
      <c r="P3967" t="s">
        <v>201</v>
      </c>
      <c r="R3967">
        <v>11</v>
      </c>
      <c r="W3967" t="s">
        <v>66</v>
      </c>
      <c r="X3967" t="s">
        <v>67</v>
      </c>
      <c r="Y3967" t="s">
        <v>67</v>
      </c>
      <c r="Z3967" t="s">
        <v>68</v>
      </c>
      <c r="AB3967">
        <v>4</v>
      </c>
      <c r="AC3967" t="s">
        <v>61</v>
      </c>
      <c r="AJ3967" t="s">
        <v>69</v>
      </c>
      <c r="AY3967" t="s">
        <v>275</v>
      </c>
      <c r="AZ3967">
        <v>2042</v>
      </c>
      <c r="BA3967" t="s">
        <v>1490</v>
      </c>
      <c r="BB3967" t="s">
        <v>1491</v>
      </c>
      <c r="BC3967">
        <v>1960</v>
      </c>
      <c r="BD3967" t="s">
        <v>90</v>
      </c>
    </row>
    <row r="3968" spans="1:56" x14ac:dyDescent="0.35">
      <c r="A3968">
        <v>13510491</v>
      </c>
      <c r="B3968" t="s">
        <v>2671</v>
      </c>
      <c r="D3968" t="s">
        <v>85</v>
      </c>
      <c r="E3968" t="s">
        <v>86</v>
      </c>
      <c r="F3968" t="s">
        <v>58</v>
      </c>
      <c r="G3968" t="s">
        <v>59</v>
      </c>
      <c r="H3968" t="s">
        <v>60</v>
      </c>
      <c r="J3968" t="s">
        <v>86</v>
      </c>
      <c r="L3968" t="s">
        <v>62</v>
      </c>
      <c r="M3968" t="s">
        <v>63</v>
      </c>
      <c r="N3968" t="s">
        <v>64</v>
      </c>
      <c r="P3968" t="s">
        <v>201</v>
      </c>
      <c r="R3968">
        <v>0.2</v>
      </c>
      <c r="W3968" t="s">
        <v>66</v>
      </c>
      <c r="X3968" t="s">
        <v>67</v>
      </c>
      <c r="Y3968" t="s">
        <v>67</v>
      </c>
      <c r="Z3968" t="s">
        <v>68</v>
      </c>
      <c r="AB3968">
        <v>4</v>
      </c>
      <c r="AC3968" t="s">
        <v>61</v>
      </c>
      <c r="AJ3968" t="s">
        <v>69</v>
      </c>
      <c r="AY3968" t="s">
        <v>275</v>
      </c>
      <c r="AZ3968">
        <v>2042</v>
      </c>
      <c r="BA3968" t="s">
        <v>1490</v>
      </c>
      <c r="BB3968" t="s">
        <v>1491</v>
      </c>
      <c r="BC3968">
        <v>1960</v>
      </c>
      <c r="BD3968" t="s">
        <v>90</v>
      </c>
    </row>
    <row r="3969" spans="1:56" x14ac:dyDescent="0.35">
      <c r="A3969">
        <v>13510491</v>
      </c>
      <c r="B3969" t="s">
        <v>2671</v>
      </c>
      <c r="D3969" t="s">
        <v>57</v>
      </c>
      <c r="E3969">
        <v>99.5</v>
      </c>
      <c r="F3969" t="s">
        <v>58</v>
      </c>
      <c r="G3969" t="s">
        <v>59</v>
      </c>
      <c r="H3969" t="s">
        <v>60</v>
      </c>
      <c r="I3969" t="s">
        <v>129</v>
      </c>
      <c r="J3969">
        <v>3</v>
      </c>
      <c r="K3969" t="s">
        <v>320</v>
      </c>
      <c r="L3969" t="s">
        <v>74</v>
      </c>
      <c r="M3969" t="s">
        <v>63</v>
      </c>
      <c r="N3969" t="s">
        <v>64</v>
      </c>
      <c r="P3969" t="s">
        <v>201</v>
      </c>
      <c r="R3969">
        <v>37.9</v>
      </c>
      <c r="T3969">
        <v>27.5</v>
      </c>
      <c r="V3969">
        <v>52.3</v>
      </c>
      <c r="W3969" t="s">
        <v>66</v>
      </c>
      <c r="X3969" t="s">
        <v>67</v>
      </c>
      <c r="Y3969" t="s">
        <v>67</v>
      </c>
      <c r="Z3969" t="s">
        <v>68</v>
      </c>
      <c r="AB3969">
        <v>4</v>
      </c>
      <c r="AC3969" t="s">
        <v>61</v>
      </c>
      <c r="AJ3969" t="s">
        <v>69</v>
      </c>
      <c r="AY3969" t="s">
        <v>376</v>
      </c>
      <c r="AZ3969">
        <v>838</v>
      </c>
      <c r="BA3969" t="s">
        <v>1255</v>
      </c>
      <c r="BB3969" t="s">
        <v>1256</v>
      </c>
      <c r="BC3969">
        <v>1976</v>
      </c>
      <c r="BD3969" t="s">
        <v>324</v>
      </c>
    </row>
    <row r="3970" spans="1:56" x14ac:dyDescent="0.35">
      <c r="A3970">
        <v>13510491</v>
      </c>
      <c r="B3970" t="s">
        <v>2671</v>
      </c>
      <c r="C3970" t="s">
        <v>195</v>
      </c>
      <c r="D3970" t="s">
        <v>85</v>
      </c>
      <c r="E3970" t="s">
        <v>86</v>
      </c>
      <c r="F3970" t="s">
        <v>58</v>
      </c>
      <c r="G3970" t="s">
        <v>59</v>
      </c>
      <c r="H3970" t="s">
        <v>60</v>
      </c>
      <c r="J3970" t="s">
        <v>86</v>
      </c>
      <c r="L3970" t="s">
        <v>62</v>
      </c>
      <c r="M3970" t="s">
        <v>63</v>
      </c>
      <c r="N3970" t="s">
        <v>64</v>
      </c>
      <c r="P3970" t="s">
        <v>201</v>
      </c>
      <c r="R3970">
        <v>17.899999999999999</v>
      </c>
      <c r="W3970" t="s">
        <v>66</v>
      </c>
      <c r="X3970" t="s">
        <v>67</v>
      </c>
      <c r="Y3970" t="s">
        <v>67</v>
      </c>
      <c r="Z3970" t="s">
        <v>68</v>
      </c>
      <c r="AB3970">
        <v>4</v>
      </c>
      <c r="AC3970" t="s">
        <v>61</v>
      </c>
      <c r="AJ3970" t="s">
        <v>69</v>
      </c>
      <c r="AY3970" t="s">
        <v>197</v>
      </c>
      <c r="AZ3970">
        <v>3783</v>
      </c>
      <c r="BA3970" t="s">
        <v>198</v>
      </c>
      <c r="BB3970" t="s">
        <v>199</v>
      </c>
      <c r="BC3970">
        <v>1978</v>
      </c>
      <c r="BD3970" t="s">
        <v>90</v>
      </c>
    </row>
    <row r="3971" spans="1:56" x14ac:dyDescent="0.35">
      <c r="A3971">
        <v>13597994</v>
      </c>
      <c r="B3971" t="s">
        <v>2672</v>
      </c>
      <c r="D3971" t="s">
        <v>85</v>
      </c>
      <c r="E3971" t="s">
        <v>86</v>
      </c>
      <c r="F3971" t="s">
        <v>58</v>
      </c>
      <c r="G3971" t="s">
        <v>59</v>
      </c>
      <c r="H3971" t="s">
        <v>60</v>
      </c>
      <c r="J3971" t="s">
        <v>86</v>
      </c>
      <c r="L3971" t="s">
        <v>62</v>
      </c>
      <c r="M3971" t="s">
        <v>63</v>
      </c>
      <c r="N3971" t="s">
        <v>64</v>
      </c>
      <c r="P3971" t="s">
        <v>201</v>
      </c>
      <c r="R3971">
        <v>0.15</v>
      </c>
      <c r="W3971" t="s">
        <v>66</v>
      </c>
      <c r="X3971" t="s">
        <v>67</v>
      </c>
      <c r="Y3971" t="s">
        <v>67</v>
      </c>
      <c r="Z3971" t="s">
        <v>68</v>
      </c>
      <c r="AB3971">
        <v>4</v>
      </c>
      <c r="AC3971" t="s">
        <v>61</v>
      </c>
      <c r="AJ3971" t="s">
        <v>69</v>
      </c>
      <c r="AY3971" t="s">
        <v>275</v>
      </c>
      <c r="AZ3971">
        <v>2042</v>
      </c>
      <c r="BA3971" t="s">
        <v>1490</v>
      </c>
      <c r="BB3971" t="s">
        <v>1491</v>
      </c>
      <c r="BC3971">
        <v>1960</v>
      </c>
      <c r="BD3971" t="s">
        <v>90</v>
      </c>
    </row>
    <row r="3972" spans="1:56" x14ac:dyDescent="0.35">
      <c r="A3972">
        <v>13597994</v>
      </c>
      <c r="B3972" t="s">
        <v>2672</v>
      </c>
      <c r="D3972" t="s">
        <v>85</v>
      </c>
      <c r="E3972" t="s">
        <v>86</v>
      </c>
      <c r="F3972" t="s">
        <v>58</v>
      </c>
      <c r="G3972" t="s">
        <v>59</v>
      </c>
      <c r="H3972" t="s">
        <v>60</v>
      </c>
      <c r="J3972" t="s">
        <v>86</v>
      </c>
      <c r="L3972" t="s">
        <v>62</v>
      </c>
      <c r="M3972" t="s">
        <v>63</v>
      </c>
      <c r="N3972" t="s">
        <v>64</v>
      </c>
      <c r="P3972" t="s">
        <v>201</v>
      </c>
      <c r="R3972">
        <v>20</v>
      </c>
      <c r="W3972" t="s">
        <v>66</v>
      </c>
      <c r="X3972" t="s">
        <v>67</v>
      </c>
      <c r="Y3972" t="s">
        <v>67</v>
      </c>
      <c r="Z3972" t="s">
        <v>68</v>
      </c>
      <c r="AB3972">
        <v>4</v>
      </c>
      <c r="AC3972" t="s">
        <v>61</v>
      </c>
      <c r="AJ3972" t="s">
        <v>69</v>
      </c>
      <c r="AY3972" t="s">
        <v>275</v>
      </c>
      <c r="AZ3972">
        <v>2042</v>
      </c>
      <c r="BA3972" t="s">
        <v>1490</v>
      </c>
      <c r="BB3972" t="s">
        <v>1491</v>
      </c>
      <c r="BC3972">
        <v>1960</v>
      </c>
      <c r="BD3972" t="s">
        <v>90</v>
      </c>
    </row>
    <row r="3973" spans="1:56" x14ac:dyDescent="0.35">
      <c r="A3973">
        <v>13601199</v>
      </c>
      <c r="B3973" t="s">
        <v>2673</v>
      </c>
      <c r="D3973" t="s">
        <v>85</v>
      </c>
      <c r="E3973" t="s">
        <v>86</v>
      </c>
      <c r="F3973" t="s">
        <v>58</v>
      </c>
      <c r="G3973" t="s">
        <v>59</v>
      </c>
      <c r="H3973" t="s">
        <v>60</v>
      </c>
      <c r="J3973" t="s">
        <v>86</v>
      </c>
      <c r="L3973" t="s">
        <v>62</v>
      </c>
      <c r="M3973" t="s">
        <v>63</v>
      </c>
      <c r="N3973" t="s">
        <v>64</v>
      </c>
      <c r="O3973">
        <v>4</v>
      </c>
      <c r="P3973" t="s">
        <v>201</v>
      </c>
      <c r="Q3973" t="s">
        <v>153</v>
      </c>
      <c r="R3973">
        <v>100</v>
      </c>
      <c r="W3973" t="s">
        <v>66</v>
      </c>
      <c r="X3973" t="s">
        <v>67</v>
      </c>
      <c r="Y3973" t="s">
        <v>67</v>
      </c>
      <c r="Z3973" t="s">
        <v>68</v>
      </c>
      <c r="AB3973">
        <v>4</v>
      </c>
      <c r="AC3973" t="s">
        <v>61</v>
      </c>
      <c r="AJ3973" t="s">
        <v>69</v>
      </c>
      <c r="AY3973" t="s">
        <v>173</v>
      </c>
      <c r="AZ3973">
        <v>167113</v>
      </c>
      <c r="BA3973" t="s">
        <v>174</v>
      </c>
      <c r="BB3973" t="s">
        <v>175</v>
      </c>
      <c r="BC3973">
        <v>1974</v>
      </c>
      <c r="BD3973" t="s">
        <v>90</v>
      </c>
    </row>
    <row r="3974" spans="1:56" x14ac:dyDescent="0.35">
      <c r="A3974">
        <v>13608872</v>
      </c>
      <c r="B3974" t="s">
        <v>2674</v>
      </c>
      <c r="D3974" t="s">
        <v>57</v>
      </c>
      <c r="E3974">
        <v>95</v>
      </c>
      <c r="F3974" t="s">
        <v>58</v>
      </c>
      <c r="G3974" t="s">
        <v>59</v>
      </c>
      <c r="H3974" t="s">
        <v>60</v>
      </c>
      <c r="J3974">
        <v>28</v>
      </c>
      <c r="K3974" t="s">
        <v>61</v>
      </c>
      <c r="L3974" t="s">
        <v>74</v>
      </c>
      <c r="M3974" t="s">
        <v>63</v>
      </c>
      <c r="N3974" t="s">
        <v>64</v>
      </c>
      <c r="P3974" t="s">
        <v>65</v>
      </c>
      <c r="R3974">
        <v>2</v>
      </c>
      <c r="W3974" t="s">
        <v>66</v>
      </c>
      <c r="X3974" t="s">
        <v>67</v>
      </c>
      <c r="Y3974" t="s">
        <v>67</v>
      </c>
      <c r="Z3974" t="s">
        <v>68</v>
      </c>
      <c r="AB3974">
        <v>4</v>
      </c>
      <c r="AC3974" t="s">
        <v>61</v>
      </c>
      <c r="AJ3974" t="s">
        <v>69</v>
      </c>
      <c r="AY3974" t="s">
        <v>286</v>
      </c>
      <c r="AZ3974">
        <v>12448</v>
      </c>
      <c r="BA3974" t="s">
        <v>287</v>
      </c>
      <c r="BB3974" t="s">
        <v>288</v>
      </c>
      <c r="BC3974">
        <v>1984</v>
      </c>
      <c r="BD3974" t="s">
        <v>73</v>
      </c>
    </row>
    <row r="3975" spans="1:56" x14ac:dyDescent="0.35">
      <c r="A3975">
        <v>13762511</v>
      </c>
      <c r="B3975" t="s">
        <v>2675</v>
      </c>
      <c r="D3975" t="s">
        <v>85</v>
      </c>
      <c r="E3975" t="s">
        <v>86</v>
      </c>
      <c r="F3975" t="s">
        <v>58</v>
      </c>
      <c r="G3975" t="s">
        <v>59</v>
      </c>
      <c r="H3975" t="s">
        <v>60</v>
      </c>
      <c r="J3975" t="s">
        <v>86</v>
      </c>
      <c r="L3975" t="s">
        <v>62</v>
      </c>
      <c r="M3975" t="s">
        <v>63</v>
      </c>
      <c r="N3975" t="s">
        <v>64</v>
      </c>
      <c r="O3975">
        <v>4</v>
      </c>
      <c r="P3975" t="s">
        <v>201</v>
      </c>
      <c r="Q3975" t="s">
        <v>153</v>
      </c>
      <c r="R3975">
        <v>100</v>
      </c>
      <c r="W3975" t="s">
        <v>66</v>
      </c>
      <c r="X3975" t="s">
        <v>67</v>
      </c>
      <c r="Y3975" t="s">
        <v>67</v>
      </c>
      <c r="Z3975" t="s">
        <v>68</v>
      </c>
      <c r="AB3975">
        <v>4</v>
      </c>
      <c r="AC3975" t="s">
        <v>61</v>
      </c>
      <c r="AJ3975" t="s">
        <v>69</v>
      </c>
      <c r="AY3975" t="s">
        <v>173</v>
      </c>
      <c r="AZ3975">
        <v>167113</v>
      </c>
      <c r="BA3975" t="s">
        <v>174</v>
      </c>
      <c r="BB3975" t="s">
        <v>175</v>
      </c>
      <c r="BC3975">
        <v>1974</v>
      </c>
      <c r="BD3975" t="s">
        <v>90</v>
      </c>
    </row>
    <row r="3976" spans="1:56" x14ac:dyDescent="0.35">
      <c r="A3976">
        <v>13814965</v>
      </c>
      <c r="B3976" t="s">
        <v>2676</v>
      </c>
      <c r="D3976" t="s">
        <v>57</v>
      </c>
      <c r="E3976" t="s">
        <v>86</v>
      </c>
      <c r="F3976" t="s">
        <v>58</v>
      </c>
      <c r="G3976" t="s">
        <v>59</v>
      </c>
      <c r="H3976" t="s">
        <v>60</v>
      </c>
      <c r="J3976" t="s">
        <v>86</v>
      </c>
      <c r="L3976" t="s">
        <v>62</v>
      </c>
      <c r="M3976" t="s">
        <v>63</v>
      </c>
      <c r="N3976" t="s">
        <v>64</v>
      </c>
      <c r="O3976" t="s">
        <v>267</v>
      </c>
      <c r="P3976" t="s">
        <v>1296</v>
      </c>
      <c r="R3976">
        <v>18</v>
      </c>
      <c r="T3976">
        <v>10.8</v>
      </c>
      <c r="V3976">
        <v>30</v>
      </c>
      <c r="W3976" t="s">
        <v>66</v>
      </c>
      <c r="X3976" t="s">
        <v>67</v>
      </c>
      <c r="Y3976" t="s">
        <v>67</v>
      </c>
      <c r="Z3976" t="s">
        <v>68</v>
      </c>
      <c r="AB3976">
        <v>4</v>
      </c>
      <c r="AC3976" t="s">
        <v>61</v>
      </c>
      <c r="AJ3976" t="s">
        <v>69</v>
      </c>
      <c r="AY3976" t="s">
        <v>268</v>
      </c>
      <c r="AZ3976">
        <v>2965</v>
      </c>
      <c r="BA3976" t="s">
        <v>269</v>
      </c>
      <c r="BB3976" t="s">
        <v>270</v>
      </c>
      <c r="BC3976">
        <v>1981</v>
      </c>
      <c r="BD3976" t="s">
        <v>90</v>
      </c>
    </row>
    <row r="3977" spans="1:56" x14ac:dyDescent="0.35">
      <c r="A3977">
        <v>13909734</v>
      </c>
      <c r="B3977" t="s">
        <v>2677</v>
      </c>
      <c r="D3977" t="s">
        <v>57</v>
      </c>
      <c r="E3977">
        <v>96</v>
      </c>
      <c r="F3977" t="s">
        <v>58</v>
      </c>
      <c r="G3977" t="s">
        <v>59</v>
      </c>
      <c r="H3977" t="s">
        <v>60</v>
      </c>
      <c r="J3977">
        <v>32</v>
      </c>
      <c r="K3977" t="s">
        <v>61</v>
      </c>
      <c r="L3977" t="s">
        <v>74</v>
      </c>
      <c r="M3977" t="s">
        <v>63</v>
      </c>
      <c r="N3977" t="s">
        <v>64</v>
      </c>
      <c r="P3977" t="s">
        <v>65</v>
      </c>
      <c r="R3977">
        <v>172</v>
      </c>
      <c r="T3977">
        <v>168</v>
      </c>
      <c r="V3977">
        <v>178</v>
      </c>
      <c r="W3977" t="s">
        <v>66</v>
      </c>
      <c r="X3977" t="s">
        <v>67</v>
      </c>
      <c r="Y3977" t="s">
        <v>67</v>
      </c>
      <c r="Z3977" t="s">
        <v>68</v>
      </c>
      <c r="AB3977">
        <v>4</v>
      </c>
      <c r="AC3977" t="s">
        <v>61</v>
      </c>
      <c r="AJ3977" t="s">
        <v>69</v>
      </c>
      <c r="AY3977" t="s">
        <v>286</v>
      </c>
      <c r="AZ3977">
        <v>12448</v>
      </c>
      <c r="BA3977" t="s">
        <v>287</v>
      </c>
      <c r="BB3977" t="s">
        <v>288</v>
      </c>
      <c r="BC3977">
        <v>1984</v>
      </c>
      <c r="BD3977" t="s">
        <v>73</v>
      </c>
    </row>
    <row r="3978" spans="1:56" x14ac:dyDescent="0.35">
      <c r="A3978">
        <v>13909734</v>
      </c>
      <c r="B3978" t="s">
        <v>2677</v>
      </c>
      <c r="D3978" t="s">
        <v>57</v>
      </c>
      <c r="E3978">
        <v>96</v>
      </c>
      <c r="F3978" t="s">
        <v>58</v>
      </c>
      <c r="G3978" t="s">
        <v>59</v>
      </c>
      <c r="H3978" t="s">
        <v>60</v>
      </c>
      <c r="J3978">
        <v>31</v>
      </c>
      <c r="K3978" t="s">
        <v>61</v>
      </c>
      <c r="L3978" t="s">
        <v>74</v>
      </c>
      <c r="M3978" t="s">
        <v>63</v>
      </c>
      <c r="N3978" t="s">
        <v>64</v>
      </c>
      <c r="P3978" t="s">
        <v>65</v>
      </c>
      <c r="R3978">
        <v>229</v>
      </c>
      <c r="T3978">
        <v>216</v>
      </c>
      <c r="V3978">
        <v>244</v>
      </c>
      <c r="W3978" t="s">
        <v>66</v>
      </c>
      <c r="X3978" t="s">
        <v>67</v>
      </c>
      <c r="Y3978" t="s">
        <v>67</v>
      </c>
      <c r="Z3978" t="s">
        <v>68</v>
      </c>
      <c r="AB3978">
        <v>4</v>
      </c>
      <c r="AC3978" t="s">
        <v>61</v>
      </c>
      <c r="AJ3978" t="s">
        <v>69</v>
      </c>
      <c r="AY3978" t="s">
        <v>263</v>
      </c>
      <c r="AZ3978">
        <v>12858</v>
      </c>
      <c r="BA3978" t="s">
        <v>264</v>
      </c>
      <c r="BB3978" t="s">
        <v>265</v>
      </c>
      <c r="BC3978">
        <v>1986</v>
      </c>
      <c r="BD3978" t="s">
        <v>73</v>
      </c>
    </row>
    <row r="3979" spans="1:56" x14ac:dyDescent="0.35">
      <c r="A3979">
        <v>13943583</v>
      </c>
      <c r="B3979" t="s">
        <v>2678</v>
      </c>
      <c r="C3979" t="s">
        <v>195</v>
      </c>
      <c r="D3979" t="s">
        <v>85</v>
      </c>
      <c r="E3979" t="s">
        <v>86</v>
      </c>
      <c r="F3979" t="s">
        <v>58</v>
      </c>
      <c r="G3979" t="s">
        <v>59</v>
      </c>
      <c r="H3979" t="s">
        <v>60</v>
      </c>
      <c r="I3979" t="s">
        <v>129</v>
      </c>
      <c r="J3979" t="s">
        <v>86</v>
      </c>
      <c r="L3979" t="s">
        <v>62</v>
      </c>
      <c r="M3979" t="s">
        <v>63</v>
      </c>
      <c r="N3979" t="s">
        <v>64</v>
      </c>
      <c r="O3979">
        <v>5</v>
      </c>
      <c r="P3979" t="s">
        <v>201</v>
      </c>
      <c r="Q3979" t="s">
        <v>1093</v>
      </c>
      <c r="R3979">
        <v>100</v>
      </c>
      <c r="W3979" t="s">
        <v>66</v>
      </c>
      <c r="X3979" t="s">
        <v>67</v>
      </c>
      <c r="Y3979" t="s">
        <v>67</v>
      </c>
      <c r="Z3979" t="s">
        <v>68</v>
      </c>
      <c r="AB3979">
        <v>4</v>
      </c>
      <c r="AC3979" t="s">
        <v>61</v>
      </c>
      <c r="AJ3979" t="s">
        <v>69</v>
      </c>
      <c r="AY3979" t="s">
        <v>298</v>
      </c>
      <c r="AZ3979">
        <v>11951</v>
      </c>
      <c r="BA3979" t="s">
        <v>299</v>
      </c>
      <c r="BB3979" t="s">
        <v>300</v>
      </c>
      <c r="BC3979">
        <v>1986</v>
      </c>
      <c r="BD3979" t="s">
        <v>90</v>
      </c>
    </row>
    <row r="3980" spans="1:56" x14ac:dyDescent="0.35">
      <c r="A3980">
        <v>13943583</v>
      </c>
      <c r="B3980" t="s">
        <v>2678</v>
      </c>
      <c r="C3980" t="s">
        <v>195</v>
      </c>
      <c r="D3980" t="s">
        <v>85</v>
      </c>
      <c r="E3980" t="s">
        <v>86</v>
      </c>
      <c r="F3980" t="s">
        <v>58</v>
      </c>
      <c r="G3980" t="s">
        <v>59</v>
      </c>
      <c r="H3980" t="s">
        <v>60</v>
      </c>
      <c r="I3980" t="s">
        <v>129</v>
      </c>
      <c r="J3980" t="s">
        <v>86</v>
      </c>
      <c r="L3980" t="s">
        <v>62</v>
      </c>
      <c r="M3980" t="s">
        <v>63</v>
      </c>
      <c r="N3980" t="s">
        <v>64</v>
      </c>
      <c r="O3980">
        <v>5</v>
      </c>
      <c r="P3980" t="s">
        <v>201</v>
      </c>
      <c r="Q3980" t="s">
        <v>153</v>
      </c>
      <c r="R3980">
        <v>100</v>
      </c>
      <c r="W3980" t="s">
        <v>66</v>
      </c>
      <c r="X3980" t="s">
        <v>67</v>
      </c>
      <c r="Y3980" t="s">
        <v>67</v>
      </c>
      <c r="Z3980" t="s">
        <v>68</v>
      </c>
      <c r="AB3980">
        <v>4</v>
      </c>
      <c r="AC3980" t="s">
        <v>61</v>
      </c>
      <c r="AJ3980" t="s">
        <v>69</v>
      </c>
      <c r="AY3980" t="s">
        <v>298</v>
      </c>
      <c r="AZ3980">
        <v>11951</v>
      </c>
      <c r="BA3980" t="s">
        <v>299</v>
      </c>
      <c r="BB3980" t="s">
        <v>300</v>
      </c>
      <c r="BC3980">
        <v>1986</v>
      </c>
      <c r="BD3980" t="s">
        <v>90</v>
      </c>
    </row>
    <row r="3981" spans="1:56" x14ac:dyDescent="0.35">
      <c r="A3981">
        <v>13952846</v>
      </c>
      <c r="B3981" t="s">
        <v>2679</v>
      </c>
      <c r="D3981" t="s">
        <v>57</v>
      </c>
      <c r="E3981">
        <v>99</v>
      </c>
      <c r="F3981" t="s">
        <v>58</v>
      </c>
      <c r="G3981" t="s">
        <v>59</v>
      </c>
      <c r="H3981" t="s">
        <v>60</v>
      </c>
      <c r="J3981">
        <v>29</v>
      </c>
      <c r="K3981" t="s">
        <v>61</v>
      </c>
      <c r="L3981" t="s">
        <v>74</v>
      </c>
      <c r="M3981" t="s">
        <v>63</v>
      </c>
      <c r="N3981" t="s">
        <v>64</v>
      </c>
      <c r="P3981" t="s">
        <v>65</v>
      </c>
      <c r="R3981">
        <v>275</v>
      </c>
      <c r="T3981">
        <v>250</v>
      </c>
      <c r="V3981">
        <v>301</v>
      </c>
      <c r="W3981" t="s">
        <v>66</v>
      </c>
      <c r="X3981" t="s">
        <v>67</v>
      </c>
      <c r="Y3981" t="s">
        <v>67</v>
      </c>
      <c r="Z3981" t="s">
        <v>68</v>
      </c>
      <c r="AB3981">
        <v>4</v>
      </c>
      <c r="AC3981" t="s">
        <v>61</v>
      </c>
      <c r="AJ3981" t="s">
        <v>69</v>
      </c>
      <c r="AY3981" t="s">
        <v>75</v>
      </c>
      <c r="AZ3981">
        <v>3217</v>
      </c>
      <c r="BA3981" t="s">
        <v>76</v>
      </c>
      <c r="BB3981" t="s">
        <v>77</v>
      </c>
      <c r="BC3981">
        <v>1990</v>
      </c>
      <c r="BD3981" t="s">
        <v>73</v>
      </c>
    </row>
    <row r="3982" spans="1:56" x14ac:dyDescent="0.35">
      <c r="A3982">
        <v>14064109</v>
      </c>
      <c r="B3982" t="s">
        <v>2680</v>
      </c>
      <c r="D3982" t="s">
        <v>57</v>
      </c>
      <c r="E3982">
        <v>96</v>
      </c>
      <c r="F3982" t="s">
        <v>58</v>
      </c>
      <c r="G3982" t="s">
        <v>59</v>
      </c>
      <c r="H3982" t="s">
        <v>60</v>
      </c>
      <c r="J3982">
        <v>34</v>
      </c>
      <c r="K3982" t="s">
        <v>61</v>
      </c>
      <c r="L3982" t="s">
        <v>74</v>
      </c>
      <c r="M3982" t="s">
        <v>63</v>
      </c>
      <c r="N3982" t="s">
        <v>64</v>
      </c>
      <c r="P3982" t="s">
        <v>65</v>
      </c>
      <c r="R3982">
        <v>0.95</v>
      </c>
      <c r="T3982">
        <v>0.9</v>
      </c>
      <c r="V3982">
        <v>0.99</v>
      </c>
      <c r="W3982" t="s">
        <v>66</v>
      </c>
      <c r="X3982" t="s">
        <v>67</v>
      </c>
      <c r="Y3982" t="s">
        <v>67</v>
      </c>
      <c r="Z3982" t="s">
        <v>68</v>
      </c>
      <c r="AB3982">
        <v>4</v>
      </c>
      <c r="AC3982" t="s">
        <v>61</v>
      </c>
      <c r="AJ3982" t="s">
        <v>69</v>
      </c>
      <c r="AY3982" t="s">
        <v>286</v>
      </c>
      <c r="AZ3982">
        <v>12448</v>
      </c>
      <c r="BA3982" t="s">
        <v>287</v>
      </c>
      <c r="BB3982" t="s">
        <v>288</v>
      </c>
      <c r="BC3982">
        <v>1984</v>
      </c>
      <c r="BD3982" t="s">
        <v>73</v>
      </c>
    </row>
    <row r="3983" spans="1:56" x14ac:dyDescent="0.35">
      <c r="A3983">
        <v>14321278</v>
      </c>
      <c r="B3983" t="s">
        <v>2681</v>
      </c>
      <c r="D3983" t="s">
        <v>57</v>
      </c>
      <c r="E3983" t="s">
        <v>79</v>
      </c>
      <c r="F3983" t="s">
        <v>58</v>
      </c>
      <c r="G3983" t="s">
        <v>59</v>
      </c>
      <c r="H3983" t="s">
        <v>60</v>
      </c>
      <c r="J3983">
        <v>34</v>
      </c>
      <c r="K3983" t="s">
        <v>61</v>
      </c>
      <c r="L3983" t="s">
        <v>74</v>
      </c>
      <c r="M3983" t="s">
        <v>63</v>
      </c>
      <c r="N3983" t="s">
        <v>64</v>
      </c>
      <c r="P3983" t="s">
        <v>65</v>
      </c>
      <c r="R3983">
        <v>57.1</v>
      </c>
      <c r="W3983" t="s">
        <v>66</v>
      </c>
      <c r="X3983" t="s">
        <v>67</v>
      </c>
      <c r="Y3983" t="s">
        <v>67</v>
      </c>
      <c r="Z3983" t="s">
        <v>68</v>
      </c>
      <c r="AB3983">
        <v>4</v>
      </c>
      <c r="AC3983" t="s">
        <v>61</v>
      </c>
      <c r="AJ3983" t="s">
        <v>69</v>
      </c>
      <c r="AY3983" t="s">
        <v>286</v>
      </c>
      <c r="AZ3983">
        <v>12448</v>
      </c>
      <c r="BA3983" t="s">
        <v>287</v>
      </c>
      <c r="BB3983" t="s">
        <v>288</v>
      </c>
      <c r="BC3983">
        <v>1984</v>
      </c>
      <c r="BD3983" t="s">
        <v>73</v>
      </c>
    </row>
    <row r="3984" spans="1:56" x14ac:dyDescent="0.35">
      <c r="A3984">
        <v>14338320</v>
      </c>
      <c r="B3984" t="s">
        <v>2682</v>
      </c>
      <c r="D3984" t="s">
        <v>57</v>
      </c>
      <c r="E3984">
        <v>97</v>
      </c>
      <c r="F3984" t="s">
        <v>58</v>
      </c>
      <c r="G3984" t="s">
        <v>59</v>
      </c>
      <c r="H3984" t="s">
        <v>60</v>
      </c>
      <c r="J3984">
        <v>31</v>
      </c>
      <c r="K3984" t="s">
        <v>61</v>
      </c>
      <c r="L3984" t="s">
        <v>74</v>
      </c>
      <c r="M3984" t="s">
        <v>63</v>
      </c>
      <c r="N3984" t="s">
        <v>64</v>
      </c>
      <c r="P3984" t="s">
        <v>65</v>
      </c>
      <c r="R3984">
        <v>199</v>
      </c>
      <c r="T3984">
        <v>186</v>
      </c>
      <c r="V3984">
        <v>213</v>
      </c>
      <c r="W3984" t="s">
        <v>66</v>
      </c>
      <c r="X3984" t="s">
        <v>67</v>
      </c>
      <c r="Y3984" t="s">
        <v>67</v>
      </c>
      <c r="Z3984" t="s">
        <v>68</v>
      </c>
      <c r="AB3984">
        <v>4</v>
      </c>
      <c r="AC3984" t="s">
        <v>61</v>
      </c>
      <c r="AJ3984" t="s">
        <v>69</v>
      </c>
      <c r="AY3984" t="s">
        <v>80</v>
      </c>
      <c r="AZ3984">
        <v>12859</v>
      </c>
      <c r="BA3984" t="s">
        <v>81</v>
      </c>
      <c r="BB3984" t="s">
        <v>82</v>
      </c>
      <c r="BC3984">
        <v>1988</v>
      </c>
      <c r="BD3984" t="s">
        <v>73</v>
      </c>
    </row>
    <row r="3985" spans="1:56" x14ac:dyDescent="0.35">
      <c r="A3985">
        <v>14484641</v>
      </c>
      <c r="B3985" t="s">
        <v>2683</v>
      </c>
      <c r="D3985" t="s">
        <v>85</v>
      </c>
      <c r="E3985">
        <v>95</v>
      </c>
      <c r="F3985" t="s">
        <v>58</v>
      </c>
      <c r="G3985" t="s">
        <v>59</v>
      </c>
      <c r="H3985" t="s">
        <v>60</v>
      </c>
      <c r="J3985" t="s">
        <v>86</v>
      </c>
      <c r="L3985" t="s">
        <v>62</v>
      </c>
      <c r="M3985" t="s">
        <v>63</v>
      </c>
      <c r="N3985" t="s">
        <v>64</v>
      </c>
      <c r="P3985" t="s">
        <v>65</v>
      </c>
      <c r="R3985">
        <v>3.1</v>
      </c>
      <c r="T3985">
        <v>2.4</v>
      </c>
      <c r="V3985">
        <v>4</v>
      </c>
      <c r="W3985" t="s">
        <v>66</v>
      </c>
      <c r="X3985" t="s">
        <v>67</v>
      </c>
      <c r="Y3985" t="s">
        <v>67</v>
      </c>
      <c r="Z3985" t="s">
        <v>68</v>
      </c>
      <c r="AB3985">
        <v>4</v>
      </c>
      <c r="AC3985" t="s">
        <v>61</v>
      </c>
      <c r="AJ3985" t="s">
        <v>69</v>
      </c>
      <c r="AY3985" t="s">
        <v>168</v>
      </c>
      <c r="AZ3985">
        <v>8096</v>
      </c>
      <c r="BA3985" t="s">
        <v>169</v>
      </c>
      <c r="BB3985" t="s">
        <v>170</v>
      </c>
      <c r="BC3985">
        <v>1966</v>
      </c>
      <c r="BD3985" t="s">
        <v>90</v>
      </c>
    </row>
    <row r="3986" spans="1:56" x14ac:dyDescent="0.35">
      <c r="A3986">
        <v>14484641</v>
      </c>
      <c r="B3986" t="s">
        <v>2683</v>
      </c>
      <c r="E3986" t="s">
        <v>86</v>
      </c>
      <c r="F3986" t="s">
        <v>58</v>
      </c>
      <c r="G3986" t="s">
        <v>59</v>
      </c>
      <c r="H3986" t="s">
        <v>60</v>
      </c>
      <c r="J3986" t="s">
        <v>86</v>
      </c>
      <c r="L3986" t="s">
        <v>62</v>
      </c>
      <c r="M3986" t="s">
        <v>63</v>
      </c>
      <c r="N3986" t="s">
        <v>64</v>
      </c>
      <c r="R3986">
        <v>3.1</v>
      </c>
      <c r="W3986" t="s">
        <v>66</v>
      </c>
      <c r="X3986" t="s">
        <v>67</v>
      </c>
      <c r="Y3986" t="s">
        <v>67</v>
      </c>
      <c r="Z3986" t="s">
        <v>68</v>
      </c>
      <c r="AB3986">
        <v>4</v>
      </c>
      <c r="AC3986" t="s">
        <v>61</v>
      </c>
      <c r="AJ3986" t="s">
        <v>69</v>
      </c>
      <c r="AY3986" t="s">
        <v>116</v>
      </c>
      <c r="AZ3986">
        <v>344</v>
      </c>
      <c r="BA3986" t="s">
        <v>117</v>
      </c>
      <c r="BB3986" t="s">
        <v>118</v>
      </c>
      <c r="BC3986">
        <v>1992</v>
      </c>
      <c r="BD3986" t="s">
        <v>90</v>
      </c>
    </row>
    <row r="3987" spans="1:56" x14ac:dyDescent="0.35">
      <c r="A3987">
        <v>14484641</v>
      </c>
      <c r="B3987" t="s">
        <v>2683</v>
      </c>
      <c r="D3987" t="s">
        <v>85</v>
      </c>
      <c r="E3987">
        <v>95</v>
      </c>
      <c r="F3987" t="s">
        <v>58</v>
      </c>
      <c r="G3987" t="s">
        <v>59</v>
      </c>
      <c r="H3987" t="s">
        <v>60</v>
      </c>
      <c r="J3987" t="s">
        <v>86</v>
      </c>
      <c r="L3987" t="s">
        <v>62</v>
      </c>
      <c r="M3987" t="s">
        <v>63</v>
      </c>
      <c r="N3987" t="s">
        <v>64</v>
      </c>
      <c r="P3987" t="s">
        <v>65</v>
      </c>
      <c r="R3987">
        <v>1.3</v>
      </c>
      <c r="T3987">
        <v>0.97</v>
      </c>
      <c r="V3987">
        <v>1.6</v>
      </c>
      <c r="W3987" t="s">
        <v>66</v>
      </c>
      <c r="X3987" t="s">
        <v>67</v>
      </c>
      <c r="Y3987" t="s">
        <v>67</v>
      </c>
      <c r="Z3987" t="s">
        <v>68</v>
      </c>
      <c r="AB3987">
        <v>4</v>
      </c>
      <c r="AC3987" t="s">
        <v>61</v>
      </c>
      <c r="AJ3987" t="s">
        <v>69</v>
      </c>
      <c r="AY3987" t="s">
        <v>168</v>
      </c>
      <c r="AZ3987">
        <v>8096</v>
      </c>
      <c r="BA3987" t="s">
        <v>169</v>
      </c>
      <c r="BB3987" t="s">
        <v>170</v>
      </c>
      <c r="BC3987">
        <v>1966</v>
      </c>
      <c r="BD3987" t="s">
        <v>90</v>
      </c>
    </row>
    <row r="3988" spans="1:56" x14ac:dyDescent="0.35">
      <c r="A3988">
        <v>14548459</v>
      </c>
      <c r="B3988" t="s">
        <v>2684</v>
      </c>
      <c r="D3988" t="s">
        <v>57</v>
      </c>
      <c r="E3988">
        <v>99</v>
      </c>
      <c r="F3988" t="s">
        <v>58</v>
      </c>
      <c r="G3988" t="s">
        <v>59</v>
      </c>
      <c r="H3988" t="s">
        <v>60</v>
      </c>
      <c r="J3988">
        <v>30</v>
      </c>
      <c r="K3988" t="s">
        <v>61</v>
      </c>
      <c r="L3988" t="s">
        <v>74</v>
      </c>
      <c r="M3988" t="s">
        <v>63</v>
      </c>
      <c r="N3988" t="s">
        <v>64</v>
      </c>
      <c r="P3988" t="s">
        <v>65</v>
      </c>
      <c r="R3988">
        <v>20.399999999999999</v>
      </c>
      <c r="T3988">
        <v>18.600000000000001</v>
      </c>
      <c r="V3988">
        <v>22.4</v>
      </c>
      <c r="W3988" t="s">
        <v>66</v>
      </c>
      <c r="X3988" t="s">
        <v>67</v>
      </c>
      <c r="Y3988" t="s">
        <v>67</v>
      </c>
      <c r="Z3988" t="s">
        <v>68</v>
      </c>
      <c r="AB3988">
        <v>4</v>
      </c>
      <c r="AC3988" t="s">
        <v>61</v>
      </c>
      <c r="AJ3988" t="s">
        <v>69</v>
      </c>
      <c r="AY3988" t="s">
        <v>263</v>
      </c>
      <c r="AZ3988">
        <v>12858</v>
      </c>
      <c r="BA3988" t="s">
        <v>264</v>
      </c>
      <c r="BB3988" t="s">
        <v>265</v>
      </c>
      <c r="BC3988">
        <v>1986</v>
      </c>
      <c r="BD3988" t="s">
        <v>73</v>
      </c>
    </row>
    <row r="3989" spans="1:56" x14ac:dyDescent="0.35">
      <c r="A3989">
        <v>14548460</v>
      </c>
      <c r="B3989" t="s">
        <v>2685</v>
      </c>
      <c r="D3989" t="s">
        <v>57</v>
      </c>
      <c r="E3989">
        <v>98</v>
      </c>
      <c r="F3989" t="s">
        <v>58</v>
      </c>
      <c r="G3989" t="s">
        <v>59</v>
      </c>
      <c r="H3989" t="s">
        <v>60</v>
      </c>
      <c r="J3989">
        <v>31</v>
      </c>
      <c r="K3989" t="s">
        <v>61</v>
      </c>
      <c r="L3989" t="s">
        <v>74</v>
      </c>
      <c r="M3989" t="s">
        <v>63</v>
      </c>
      <c r="N3989" t="s">
        <v>64</v>
      </c>
      <c r="P3989" t="s">
        <v>65</v>
      </c>
      <c r="R3989">
        <v>103</v>
      </c>
      <c r="T3989">
        <v>98.3</v>
      </c>
      <c r="V3989">
        <v>107</v>
      </c>
      <c r="W3989" t="s">
        <v>66</v>
      </c>
      <c r="X3989" t="s">
        <v>67</v>
      </c>
      <c r="Y3989" t="s">
        <v>67</v>
      </c>
      <c r="Z3989" t="s">
        <v>68</v>
      </c>
      <c r="AB3989">
        <v>4</v>
      </c>
      <c r="AC3989" t="s">
        <v>61</v>
      </c>
      <c r="AJ3989" t="s">
        <v>69</v>
      </c>
      <c r="AY3989" t="s">
        <v>263</v>
      </c>
      <c r="AZ3989">
        <v>12858</v>
      </c>
      <c r="BA3989" t="s">
        <v>264</v>
      </c>
      <c r="BB3989" t="s">
        <v>265</v>
      </c>
      <c r="BC3989">
        <v>1986</v>
      </c>
      <c r="BD3989" t="s">
        <v>73</v>
      </c>
    </row>
    <row r="3990" spans="1:56" x14ac:dyDescent="0.35">
      <c r="A3990">
        <v>14644612</v>
      </c>
      <c r="B3990" t="s">
        <v>2686</v>
      </c>
      <c r="D3990" t="s">
        <v>85</v>
      </c>
      <c r="E3990" t="s">
        <v>86</v>
      </c>
      <c r="F3990" t="s">
        <v>58</v>
      </c>
      <c r="G3990" t="s">
        <v>59</v>
      </c>
      <c r="H3990" t="s">
        <v>60</v>
      </c>
      <c r="J3990" t="s">
        <v>86</v>
      </c>
      <c r="L3990" t="s">
        <v>62</v>
      </c>
      <c r="M3990" t="s">
        <v>63</v>
      </c>
      <c r="N3990" t="s">
        <v>64</v>
      </c>
      <c r="P3990" t="s">
        <v>201</v>
      </c>
      <c r="R3990">
        <v>14</v>
      </c>
      <c r="W3990" t="s">
        <v>66</v>
      </c>
      <c r="X3990" t="s">
        <v>67</v>
      </c>
      <c r="Y3990" t="s">
        <v>67</v>
      </c>
      <c r="Z3990" t="s">
        <v>68</v>
      </c>
      <c r="AB3990">
        <v>4</v>
      </c>
      <c r="AC3990" t="s">
        <v>61</v>
      </c>
      <c r="AJ3990" t="s">
        <v>69</v>
      </c>
      <c r="AY3990" t="s">
        <v>275</v>
      </c>
      <c r="AZ3990">
        <v>2042</v>
      </c>
      <c r="BA3990" t="s">
        <v>1490</v>
      </c>
      <c r="BB3990" t="s">
        <v>1491</v>
      </c>
      <c r="BC3990">
        <v>1960</v>
      </c>
      <c r="BD3990" t="s">
        <v>90</v>
      </c>
    </row>
    <row r="3991" spans="1:56" x14ac:dyDescent="0.35">
      <c r="A3991">
        <v>14644612</v>
      </c>
      <c r="B3991" t="s">
        <v>2686</v>
      </c>
      <c r="D3991" t="s">
        <v>85</v>
      </c>
      <c r="E3991" t="s">
        <v>86</v>
      </c>
      <c r="F3991" t="s">
        <v>58</v>
      </c>
      <c r="G3991" t="s">
        <v>59</v>
      </c>
      <c r="H3991" t="s">
        <v>60</v>
      </c>
      <c r="J3991" t="s">
        <v>86</v>
      </c>
      <c r="L3991" t="s">
        <v>62</v>
      </c>
      <c r="M3991" t="s">
        <v>63</v>
      </c>
      <c r="N3991" t="s">
        <v>64</v>
      </c>
      <c r="P3991" t="s">
        <v>201</v>
      </c>
      <c r="R3991">
        <v>145</v>
      </c>
      <c r="W3991" t="s">
        <v>66</v>
      </c>
      <c r="X3991" t="s">
        <v>67</v>
      </c>
      <c r="Y3991" t="s">
        <v>67</v>
      </c>
      <c r="Z3991" t="s">
        <v>68</v>
      </c>
      <c r="AB3991">
        <v>4</v>
      </c>
      <c r="AC3991" t="s">
        <v>61</v>
      </c>
      <c r="AJ3991" t="s">
        <v>69</v>
      </c>
      <c r="AY3991" t="s">
        <v>275</v>
      </c>
      <c r="AZ3991">
        <v>2042</v>
      </c>
      <c r="BA3991" t="s">
        <v>1490</v>
      </c>
      <c r="BB3991" t="s">
        <v>1491</v>
      </c>
      <c r="BC3991">
        <v>1960</v>
      </c>
      <c r="BD3991" t="s">
        <v>90</v>
      </c>
    </row>
    <row r="3992" spans="1:56" x14ac:dyDescent="0.35">
      <c r="A3992">
        <v>14816183</v>
      </c>
      <c r="B3992" t="s">
        <v>2687</v>
      </c>
      <c r="E3992">
        <v>89</v>
      </c>
      <c r="F3992" t="s">
        <v>58</v>
      </c>
      <c r="G3992" t="s">
        <v>59</v>
      </c>
      <c r="H3992" t="s">
        <v>60</v>
      </c>
      <c r="J3992" t="s">
        <v>86</v>
      </c>
      <c r="L3992" t="s">
        <v>62</v>
      </c>
      <c r="M3992" t="s">
        <v>63</v>
      </c>
      <c r="N3992" t="s">
        <v>64</v>
      </c>
      <c r="P3992" t="s">
        <v>65</v>
      </c>
      <c r="R3992">
        <v>2.9</v>
      </c>
      <c r="T3992">
        <v>2.2599999999999998</v>
      </c>
      <c r="V3992">
        <v>3.7210000000000001</v>
      </c>
      <c r="W3992" t="s">
        <v>66</v>
      </c>
      <c r="X3992" t="s">
        <v>67</v>
      </c>
      <c r="Y3992" t="s">
        <v>67</v>
      </c>
      <c r="Z3992" t="s">
        <v>68</v>
      </c>
      <c r="AB3992">
        <v>4</v>
      </c>
      <c r="AC3992" t="s">
        <v>61</v>
      </c>
      <c r="AJ3992" t="s">
        <v>69</v>
      </c>
      <c r="AY3992" t="s">
        <v>96</v>
      </c>
      <c r="AZ3992">
        <v>6797</v>
      </c>
      <c r="BA3992" t="s">
        <v>97</v>
      </c>
      <c r="BB3992" t="s">
        <v>98</v>
      </c>
      <c r="BC3992">
        <v>1986</v>
      </c>
      <c r="BD3992" t="s">
        <v>90</v>
      </c>
    </row>
    <row r="3993" spans="1:56" x14ac:dyDescent="0.35">
      <c r="A3993">
        <v>15045439</v>
      </c>
      <c r="B3993" t="s">
        <v>2688</v>
      </c>
      <c r="D3993" t="s">
        <v>57</v>
      </c>
      <c r="E3993">
        <v>97</v>
      </c>
      <c r="F3993" t="s">
        <v>58</v>
      </c>
      <c r="G3993" t="s">
        <v>59</v>
      </c>
      <c r="H3993" t="s">
        <v>60</v>
      </c>
      <c r="J3993" t="s">
        <v>86</v>
      </c>
      <c r="K3993" t="s">
        <v>61</v>
      </c>
      <c r="L3993" t="s">
        <v>74</v>
      </c>
      <c r="M3993" t="s">
        <v>63</v>
      </c>
      <c r="N3993" t="s">
        <v>64</v>
      </c>
      <c r="P3993" t="s">
        <v>65</v>
      </c>
      <c r="R3993">
        <v>168</v>
      </c>
      <c r="W3993" t="s">
        <v>66</v>
      </c>
      <c r="X3993" t="s">
        <v>67</v>
      </c>
      <c r="Y3993" t="s">
        <v>67</v>
      </c>
      <c r="Z3993" t="s">
        <v>68</v>
      </c>
      <c r="AB3993">
        <v>4</v>
      </c>
      <c r="AC3993" t="s">
        <v>61</v>
      </c>
      <c r="AJ3993" t="s">
        <v>69</v>
      </c>
      <c r="AY3993" t="s">
        <v>80</v>
      </c>
      <c r="AZ3993">
        <v>12859</v>
      </c>
      <c r="BA3993" t="s">
        <v>81</v>
      </c>
      <c r="BB3993" t="s">
        <v>82</v>
      </c>
      <c r="BC3993">
        <v>1988</v>
      </c>
      <c r="BD3993" t="s">
        <v>148</v>
      </c>
    </row>
    <row r="3994" spans="1:56" x14ac:dyDescent="0.35">
      <c r="A3994">
        <v>15067524</v>
      </c>
      <c r="B3994" t="s">
        <v>2689</v>
      </c>
      <c r="E3994">
        <v>62</v>
      </c>
      <c r="F3994" t="s">
        <v>58</v>
      </c>
      <c r="G3994" t="s">
        <v>59</v>
      </c>
      <c r="H3994" t="s">
        <v>60</v>
      </c>
      <c r="I3994" t="s">
        <v>705</v>
      </c>
      <c r="J3994" t="s">
        <v>86</v>
      </c>
      <c r="L3994" t="s">
        <v>62</v>
      </c>
      <c r="M3994" t="s">
        <v>63</v>
      </c>
      <c r="N3994" t="s">
        <v>64</v>
      </c>
      <c r="P3994" t="s">
        <v>65</v>
      </c>
      <c r="R3994">
        <v>3</v>
      </c>
      <c r="W3994" t="s">
        <v>66</v>
      </c>
      <c r="X3994" t="s">
        <v>67</v>
      </c>
      <c r="Y3994" t="s">
        <v>67</v>
      </c>
      <c r="Z3994" t="s">
        <v>68</v>
      </c>
      <c r="AB3994">
        <v>4</v>
      </c>
      <c r="AC3994" t="s">
        <v>61</v>
      </c>
      <c r="AJ3994" t="s">
        <v>69</v>
      </c>
      <c r="AY3994" t="s">
        <v>96</v>
      </c>
      <c r="AZ3994">
        <v>6797</v>
      </c>
      <c r="BA3994" t="s">
        <v>97</v>
      </c>
      <c r="BB3994" t="s">
        <v>98</v>
      </c>
      <c r="BC3994">
        <v>1986</v>
      </c>
      <c r="BD3994" t="s">
        <v>90</v>
      </c>
    </row>
    <row r="3995" spans="1:56" x14ac:dyDescent="0.35">
      <c r="A3995">
        <v>15128822</v>
      </c>
      <c r="B3995" t="s">
        <v>2690</v>
      </c>
      <c r="D3995" t="s">
        <v>57</v>
      </c>
      <c r="E3995">
        <v>97</v>
      </c>
      <c r="F3995" t="s">
        <v>58</v>
      </c>
      <c r="G3995" t="s">
        <v>59</v>
      </c>
      <c r="H3995" t="s">
        <v>60</v>
      </c>
      <c r="J3995">
        <v>34</v>
      </c>
      <c r="K3995" t="s">
        <v>61</v>
      </c>
      <c r="L3995" t="s">
        <v>74</v>
      </c>
      <c r="M3995" t="s">
        <v>63</v>
      </c>
      <c r="N3995" t="s">
        <v>64</v>
      </c>
      <c r="P3995" t="s">
        <v>65</v>
      </c>
      <c r="R3995">
        <v>167</v>
      </c>
      <c r="T3995">
        <v>146</v>
      </c>
      <c r="V3995">
        <v>191</v>
      </c>
      <c r="W3995" t="s">
        <v>66</v>
      </c>
      <c r="X3995" t="s">
        <v>67</v>
      </c>
      <c r="Y3995" t="s">
        <v>67</v>
      </c>
      <c r="Z3995" t="s">
        <v>68</v>
      </c>
      <c r="AB3995">
        <v>4</v>
      </c>
      <c r="AC3995" t="s">
        <v>61</v>
      </c>
      <c r="AJ3995" t="s">
        <v>69</v>
      </c>
      <c r="AY3995" t="s">
        <v>263</v>
      </c>
      <c r="AZ3995">
        <v>12858</v>
      </c>
      <c r="BA3995" t="s">
        <v>264</v>
      </c>
      <c r="BB3995" t="s">
        <v>265</v>
      </c>
      <c r="BC3995">
        <v>1986</v>
      </c>
      <c r="BD3995" t="s">
        <v>73</v>
      </c>
    </row>
    <row r="3996" spans="1:56" x14ac:dyDescent="0.35">
      <c r="A3996">
        <v>15245440</v>
      </c>
      <c r="B3996" t="s">
        <v>2691</v>
      </c>
      <c r="D3996" t="s">
        <v>85</v>
      </c>
      <c r="E3996">
        <v>100</v>
      </c>
      <c r="F3996" t="s">
        <v>58</v>
      </c>
      <c r="G3996" t="s">
        <v>59</v>
      </c>
      <c r="H3996" t="s">
        <v>60</v>
      </c>
      <c r="J3996" t="s">
        <v>86</v>
      </c>
      <c r="L3996" t="s">
        <v>62</v>
      </c>
      <c r="M3996" t="s">
        <v>63</v>
      </c>
      <c r="N3996" t="s">
        <v>64</v>
      </c>
      <c r="P3996" t="s">
        <v>100</v>
      </c>
      <c r="S3996" t="s">
        <v>153</v>
      </c>
      <c r="T3996">
        <v>0.32</v>
      </c>
      <c r="U3996" t="s">
        <v>435</v>
      </c>
      <c r="V3996">
        <v>1</v>
      </c>
      <c r="W3996" t="s">
        <v>546</v>
      </c>
      <c r="X3996" t="s">
        <v>67</v>
      </c>
      <c r="Y3996" t="s">
        <v>67</v>
      </c>
      <c r="Z3996" t="s">
        <v>68</v>
      </c>
      <c r="AB3996">
        <v>4</v>
      </c>
      <c r="AC3996" t="s">
        <v>61</v>
      </c>
      <c r="AJ3996" t="s">
        <v>69</v>
      </c>
      <c r="AY3996" t="s">
        <v>547</v>
      </c>
      <c r="AZ3996">
        <v>5968</v>
      </c>
      <c r="BA3996" t="s">
        <v>548</v>
      </c>
      <c r="BB3996" t="s">
        <v>549</v>
      </c>
      <c r="BC3996">
        <v>1975</v>
      </c>
      <c r="BD3996" t="s">
        <v>90</v>
      </c>
    </row>
    <row r="3997" spans="1:56" x14ac:dyDescent="0.35">
      <c r="A3997">
        <v>15245440</v>
      </c>
      <c r="B3997" t="s">
        <v>2691</v>
      </c>
      <c r="D3997" t="s">
        <v>85</v>
      </c>
      <c r="E3997">
        <v>100</v>
      </c>
      <c r="F3997" t="s">
        <v>58</v>
      </c>
      <c r="G3997" t="s">
        <v>59</v>
      </c>
      <c r="H3997" t="s">
        <v>60</v>
      </c>
      <c r="J3997" t="s">
        <v>86</v>
      </c>
      <c r="L3997" t="s">
        <v>62</v>
      </c>
      <c r="M3997" t="s">
        <v>63</v>
      </c>
      <c r="N3997" t="s">
        <v>64</v>
      </c>
      <c r="P3997" t="s">
        <v>100</v>
      </c>
      <c r="R3997">
        <v>13.2</v>
      </c>
      <c r="T3997">
        <v>9.6</v>
      </c>
      <c r="V3997">
        <v>18.100000000000001</v>
      </c>
      <c r="W3997" t="s">
        <v>546</v>
      </c>
      <c r="X3997" t="s">
        <v>67</v>
      </c>
      <c r="Y3997" t="s">
        <v>67</v>
      </c>
      <c r="Z3997" t="s">
        <v>68</v>
      </c>
      <c r="AB3997">
        <v>4</v>
      </c>
      <c r="AC3997" t="s">
        <v>61</v>
      </c>
      <c r="AJ3997" t="s">
        <v>69</v>
      </c>
      <c r="AY3997" t="s">
        <v>547</v>
      </c>
      <c r="AZ3997">
        <v>5968</v>
      </c>
      <c r="BA3997" t="s">
        <v>548</v>
      </c>
      <c r="BB3997" t="s">
        <v>549</v>
      </c>
      <c r="BC3997">
        <v>1975</v>
      </c>
      <c r="BD3997" t="s">
        <v>90</v>
      </c>
    </row>
    <row r="3998" spans="1:56" x14ac:dyDescent="0.35">
      <c r="A3998">
        <v>15498870</v>
      </c>
      <c r="B3998" t="s">
        <v>2692</v>
      </c>
      <c r="D3998" t="s">
        <v>85</v>
      </c>
      <c r="E3998" t="s">
        <v>86</v>
      </c>
      <c r="F3998" t="s">
        <v>58</v>
      </c>
      <c r="G3998" t="s">
        <v>59</v>
      </c>
      <c r="H3998" t="s">
        <v>60</v>
      </c>
      <c r="J3998" t="s">
        <v>86</v>
      </c>
      <c r="L3998" t="s">
        <v>62</v>
      </c>
      <c r="M3998" t="s">
        <v>63</v>
      </c>
      <c r="N3998" t="s">
        <v>64</v>
      </c>
      <c r="O3998">
        <v>6</v>
      </c>
      <c r="P3998" t="s">
        <v>201</v>
      </c>
      <c r="Q3998" t="s">
        <v>153</v>
      </c>
      <c r="R3998">
        <v>10</v>
      </c>
      <c r="W3998" t="s">
        <v>66</v>
      </c>
      <c r="X3998" t="s">
        <v>67</v>
      </c>
      <c r="Y3998" t="s">
        <v>67</v>
      </c>
      <c r="Z3998" t="s">
        <v>68</v>
      </c>
      <c r="AB3998">
        <v>4</v>
      </c>
      <c r="AC3998" t="s">
        <v>61</v>
      </c>
      <c r="AJ3998" t="s">
        <v>69</v>
      </c>
      <c r="AY3998" t="s">
        <v>173</v>
      </c>
      <c r="AZ3998">
        <v>167113</v>
      </c>
      <c r="BA3998" t="s">
        <v>174</v>
      </c>
      <c r="BB3998" t="s">
        <v>175</v>
      </c>
      <c r="BC3998">
        <v>1974</v>
      </c>
      <c r="BD3998" t="s">
        <v>90</v>
      </c>
    </row>
    <row r="3999" spans="1:56" x14ac:dyDescent="0.35">
      <c r="A3999">
        <v>15498870</v>
      </c>
      <c r="B3999" t="s">
        <v>2692</v>
      </c>
      <c r="D3999" t="s">
        <v>85</v>
      </c>
      <c r="E3999" t="s">
        <v>86</v>
      </c>
      <c r="F3999" t="s">
        <v>58</v>
      </c>
      <c r="G3999" t="s">
        <v>59</v>
      </c>
      <c r="H3999" t="s">
        <v>60</v>
      </c>
      <c r="J3999" t="s">
        <v>86</v>
      </c>
      <c r="L3999" t="s">
        <v>62</v>
      </c>
      <c r="M3999" t="s">
        <v>63</v>
      </c>
      <c r="N3999" t="s">
        <v>64</v>
      </c>
      <c r="O3999">
        <v>4</v>
      </c>
      <c r="P3999" t="s">
        <v>201</v>
      </c>
      <c r="T3999">
        <v>10</v>
      </c>
      <c r="V3999">
        <v>100</v>
      </c>
      <c r="W3999" t="s">
        <v>66</v>
      </c>
      <c r="X3999" t="s">
        <v>67</v>
      </c>
      <c r="Y3999" t="s">
        <v>67</v>
      </c>
      <c r="Z3999" t="s">
        <v>68</v>
      </c>
      <c r="AB3999">
        <v>4</v>
      </c>
      <c r="AC3999" t="s">
        <v>61</v>
      </c>
      <c r="AJ3999" t="s">
        <v>69</v>
      </c>
      <c r="AY3999" t="s">
        <v>173</v>
      </c>
      <c r="AZ3999">
        <v>167113</v>
      </c>
      <c r="BA3999" t="s">
        <v>174</v>
      </c>
      <c r="BB3999" t="s">
        <v>175</v>
      </c>
      <c r="BC3999">
        <v>1974</v>
      </c>
      <c r="BD3999" t="s">
        <v>90</v>
      </c>
    </row>
    <row r="4000" spans="1:56" x14ac:dyDescent="0.35">
      <c r="A4000">
        <v>15673004</v>
      </c>
      <c r="B4000" t="s">
        <v>2693</v>
      </c>
      <c r="D4000" t="s">
        <v>57</v>
      </c>
      <c r="E4000">
        <v>98</v>
      </c>
      <c r="F4000" t="s">
        <v>58</v>
      </c>
      <c r="G4000" t="s">
        <v>59</v>
      </c>
      <c r="H4000" t="s">
        <v>60</v>
      </c>
      <c r="J4000">
        <v>31</v>
      </c>
      <c r="K4000" t="s">
        <v>61</v>
      </c>
      <c r="L4000" t="s">
        <v>190</v>
      </c>
      <c r="M4000" t="s">
        <v>63</v>
      </c>
      <c r="N4000" t="s">
        <v>64</v>
      </c>
      <c r="P4000" t="s">
        <v>65</v>
      </c>
      <c r="R4000">
        <v>602</v>
      </c>
      <c r="T4000">
        <v>502</v>
      </c>
      <c r="V4000">
        <v>723</v>
      </c>
      <c r="W4000" t="s">
        <v>66</v>
      </c>
      <c r="X4000" t="s">
        <v>67</v>
      </c>
      <c r="Y4000" t="s">
        <v>67</v>
      </c>
      <c r="Z4000" t="s">
        <v>68</v>
      </c>
      <c r="AB4000">
        <v>4</v>
      </c>
      <c r="AC4000" t="s">
        <v>61</v>
      </c>
      <c r="AJ4000" t="s">
        <v>69</v>
      </c>
      <c r="AY4000" t="s">
        <v>80</v>
      </c>
      <c r="AZ4000">
        <v>12859</v>
      </c>
      <c r="BA4000" t="s">
        <v>81</v>
      </c>
      <c r="BB4000" t="s">
        <v>82</v>
      </c>
      <c r="BC4000">
        <v>1988</v>
      </c>
      <c r="BD4000" t="s">
        <v>73</v>
      </c>
    </row>
    <row r="4001" spans="1:56" x14ac:dyDescent="0.35">
      <c r="A4001">
        <v>15708415</v>
      </c>
      <c r="B4001" t="s">
        <v>2694</v>
      </c>
      <c r="C4001" t="s">
        <v>195</v>
      </c>
      <c r="D4001" t="s">
        <v>85</v>
      </c>
      <c r="E4001" t="s">
        <v>86</v>
      </c>
      <c r="F4001" t="s">
        <v>58</v>
      </c>
      <c r="G4001" t="s">
        <v>59</v>
      </c>
      <c r="H4001" t="s">
        <v>60</v>
      </c>
      <c r="I4001" t="s">
        <v>129</v>
      </c>
      <c r="J4001" t="s">
        <v>86</v>
      </c>
      <c r="L4001" t="s">
        <v>62</v>
      </c>
      <c r="M4001" t="s">
        <v>63</v>
      </c>
      <c r="N4001" t="s">
        <v>64</v>
      </c>
      <c r="O4001">
        <v>5</v>
      </c>
      <c r="P4001" t="s">
        <v>201</v>
      </c>
      <c r="Q4001" t="s">
        <v>153</v>
      </c>
      <c r="R4001">
        <v>100</v>
      </c>
      <c r="W4001" t="s">
        <v>66</v>
      </c>
      <c r="X4001" t="s">
        <v>67</v>
      </c>
      <c r="Y4001" t="s">
        <v>67</v>
      </c>
      <c r="Z4001" t="s">
        <v>68</v>
      </c>
      <c r="AB4001">
        <v>4</v>
      </c>
      <c r="AC4001" t="s">
        <v>61</v>
      </c>
      <c r="AJ4001" t="s">
        <v>69</v>
      </c>
      <c r="AY4001" t="s">
        <v>298</v>
      </c>
      <c r="AZ4001">
        <v>11951</v>
      </c>
      <c r="BA4001" t="s">
        <v>299</v>
      </c>
      <c r="BB4001" t="s">
        <v>300</v>
      </c>
      <c r="BC4001">
        <v>1986</v>
      </c>
      <c r="BD4001" t="s">
        <v>90</v>
      </c>
    </row>
    <row r="4002" spans="1:56" x14ac:dyDescent="0.35">
      <c r="A4002">
        <v>15708415</v>
      </c>
      <c r="B4002" t="s">
        <v>2694</v>
      </c>
      <c r="C4002" t="s">
        <v>195</v>
      </c>
      <c r="D4002" t="s">
        <v>85</v>
      </c>
      <c r="E4002" t="s">
        <v>86</v>
      </c>
      <c r="F4002" t="s">
        <v>58</v>
      </c>
      <c r="G4002" t="s">
        <v>59</v>
      </c>
      <c r="H4002" t="s">
        <v>60</v>
      </c>
      <c r="I4002" t="s">
        <v>129</v>
      </c>
      <c r="J4002" t="s">
        <v>86</v>
      </c>
      <c r="L4002" t="s">
        <v>62</v>
      </c>
      <c r="M4002" t="s">
        <v>63</v>
      </c>
      <c r="N4002" t="s">
        <v>64</v>
      </c>
      <c r="O4002">
        <v>5</v>
      </c>
      <c r="P4002" t="s">
        <v>201</v>
      </c>
      <c r="Q4002" t="s">
        <v>1093</v>
      </c>
      <c r="R4002">
        <v>100</v>
      </c>
      <c r="W4002" t="s">
        <v>66</v>
      </c>
      <c r="X4002" t="s">
        <v>67</v>
      </c>
      <c r="Y4002" t="s">
        <v>67</v>
      </c>
      <c r="Z4002" t="s">
        <v>68</v>
      </c>
      <c r="AB4002">
        <v>4</v>
      </c>
      <c r="AC4002" t="s">
        <v>61</v>
      </c>
      <c r="AJ4002" t="s">
        <v>69</v>
      </c>
      <c r="AY4002" t="s">
        <v>298</v>
      </c>
      <c r="AZ4002">
        <v>11951</v>
      </c>
      <c r="BA4002" t="s">
        <v>299</v>
      </c>
      <c r="BB4002" t="s">
        <v>300</v>
      </c>
      <c r="BC4002">
        <v>1986</v>
      </c>
      <c r="BD4002" t="s">
        <v>90</v>
      </c>
    </row>
    <row r="4003" spans="1:56" x14ac:dyDescent="0.35">
      <c r="A4003">
        <v>15922788</v>
      </c>
      <c r="B4003" t="s">
        <v>2695</v>
      </c>
      <c r="E4003">
        <v>40</v>
      </c>
      <c r="F4003" t="s">
        <v>58</v>
      </c>
      <c r="G4003" t="s">
        <v>59</v>
      </c>
      <c r="H4003" t="s">
        <v>60</v>
      </c>
      <c r="J4003" t="s">
        <v>86</v>
      </c>
      <c r="L4003" t="s">
        <v>62</v>
      </c>
      <c r="M4003" t="s">
        <v>63</v>
      </c>
      <c r="N4003" t="s">
        <v>64</v>
      </c>
      <c r="P4003" t="s">
        <v>100</v>
      </c>
      <c r="R4003">
        <v>2.8E-3</v>
      </c>
      <c r="W4003" t="s">
        <v>66</v>
      </c>
      <c r="X4003" t="s">
        <v>67</v>
      </c>
      <c r="Y4003" t="s">
        <v>67</v>
      </c>
      <c r="Z4003" t="s">
        <v>68</v>
      </c>
      <c r="AB4003">
        <v>4</v>
      </c>
      <c r="AC4003" t="s">
        <v>61</v>
      </c>
      <c r="AJ4003" t="s">
        <v>69</v>
      </c>
      <c r="AY4003" t="s">
        <v>116</v>
      </c>
      <c r="AZ4003">
        <v>344</v>
      </c>
      <c r="BA4003" t="s">
        <v>117</v>
      </c>
      <c r="BB4003" t="s">
        <v>118</v>
      </c>
      <c r="BC4003">
        <v>1992</v>
      </c>
      <c r="BD4003" t="s">
        <v>90</v>
      </c>
    </row>
    <row r="4004" spans="1:56" x14ac:dyDescent="0.35">
      <c r="A4004">
        <v>15972608</v>
      </c>
      <c r="B4004" t="s">
        <v>2696</v>
      </c>
      <c r="D4004" t="s">
        <v>57</v>
      </c>
      <c r="E4004">
        <v>92.6</v>
      </c>
      <c r="F4004" t="s">
        <v>58</v>
      </c>
      <c r="G4004" t="s">
        <v>59</v>
      </c>
      <c r="H4004" t="s">
        <v>60</v>
      </c>
      <c r="J4004">
        <v>30</v>
      </c>
      <c r="K4004" t="s">
        <v>61</v>
      </c>
      <c r="L4004" t="s">
        <v>74</v>
      </c>
      <c r="M4004" t="s">
        <v>63</v>
      </c>
      <c r="N4004" t="s">
        <v>64</v>
      </c>
      <c r="P4004" t="s">
        <v>65</v>
      </c>
      <c r="R4004">
        <v>5</v>
      </c>
      <c r="T4004">
        <v>4.5</v>
      </c>
      <c r="V4004">
        <v>5.6</v>
      </c>
      <c r="W4004" t="s">
        <v>66</v>
      </c>
      <c r="X4004" t="s">
        <v>67</v>
      </c>
      <c r="Y4004" t="s">
        <v>67</v>
      </c>
      <c r="Z4004" t="s">
        <v>68</v>
      </c>
      <c r="AB4004">
        <v>4</v>
      </c>
      <c r="AC4004" t="s">
        <v>61</v>
      </c>
      <c r="AJ4004" t="s">
        <v>69</v>
      </c>
      <c r="AY4004" t="s">
        <v>263</v>
      </c>
      <c r="AZ4004">
        <v>12858</v>
      </c>
      <c r="BA4004" t="s">
        <v>264</v>
      </c>
      <c r="BB4004" t="s">
        <v>265</v>
      </c>
      <c r="BC4004">
        <v>1986</v>
      </c>
      <c r="BD4004" t="s">
        <v>73</v>
      </c>
    </row>
    <row r="4005" spans="1:56" x14ac:dyDescent="0.35">
      <c r="A4005">
        <v>15972608</v>
      </c>
      <c r="B4005" t="s">
        <v>2696</v>
      </c>
      <c r="D4005" t="s">
        <v>57</v>
      </c>
      <c r="E4005" t="s">
        <v>128</v>
      </c>
      <c r="F4005" t="s">
        <v>58</v>
      </c>
      <c r="G4005" t="s">
        <v>59</v>
      </c>
      <c r="H4005" t="s">
        <v>60</v>
      </c>
      <c r="I4005" t="s">
        <v>129</v>
      </c>
      <c r="J4005" t="s">
        <v>86</v>
      </c>
      <c r="K4005" t="s">
        <v>61</v>
      </c>
      <c r="L4005" t="s">
        <v>74</v>
      </c>
      <c r="M4005" t="s">
        <v>63</v>
      </c>
      <c r="N4005" t="s">
        <v>64</v>
      </c>
      <c r="P4005" t="s">
        <v>65</v>
      </c>
      <c r="R4005">
        <v>5</v>
      </c>
      <c r="W4005" t="s">
        <v>66</v>
      </c>
      <c r="X4005" t="s">
        <v>67</v>
      </c>
      <c r="Y4005" t="s">
        <v>67</v>
      </c>
      <c r="Z4005" t="s">
        <v>68</v>
      </c>
      <c r="AB4005">
        <v>4</v>
      </c>
      <c r="AC4005" t="s">
        <v>61</v>
      </c>
      <c r="AJ4005" t="s">
        <v>69</v>
      </c>
      <c r="AY4005" t="s">
        <v>134</v>
      </c>
      <c r="AZ4005">
        <v>15031</v>
      </c>
      <c r="BA4005" t="s">
        <v>135</v>
      </c>
      <c r="BB4005" t="s">
        <v>136</v>
      </c>
      <c r="BC4005">
        <v>1995</v>
      </c>
      <c r="BD4005" t="s">
        <v>133</v>
      </c>
    </row>
    <row r="4006" spans="1:56" x14ac:dyDescent="0.35">
      <c r="A4006">
        <v>15972608</v>
      </c>
      <c r="B4006" t="s">
        <v>2696</v>
      </c>
      <c r="C4006" t="s">
        <v>91</v>
      </c>
      <c r="D4006" t="s">
        <v>57</v>
      </c>
      <c r="E4006">
        <v>92.6</v>
      </c>
      <c r="F4006" t="s">
        <v>58</v>
      </c>
      <c r="G4006" t="s">
        <v>59</v>
      </c>
      <c r="H4006" t="s">
        <v>60</v>
      </c>
      <c r="J4006">
        <v>30</v>
      </c>
      <c r="K4006" t="s">
        <v>61</v>
      </c>
      <c r="L4006" t="s">
        <v>74</v>
      </c>
      <c r="M4006" t="s">
        <v>63</v>
      </c>
      <c r="N4006" t="s">
        <v>64</v>
      </c>
      <c r="O4006">
        <v>6</v>
      </c>
      <c r="P4006" t="s">
        <v>65</v>
      </c>
      <c r="R4006">
        <v>5</v>
      </c>
      <c r="T4006">
        <v>4.5</v>
      </c>
      <c r="V4006">
        <v>5.6</v>
      </c>
      <c r="W4006" t="s">
        <v>66</v>
      </c>
      <c r="X4006" t="s">
        <v>67</v>
      </c>
      <c r="Y4006" t="s">
        <v>67</v>
      </c>
      <c r="Z4006" t="s">
        <v>68</v>
      </c>
      <c r="AB4006">
        <v>4</v>
      </c>
      <c r="AC4006" t="s">
        <v>61</v>
      </c>
      <c r="AJ4006" t="s">
        <v>69</v>
      </c>
      <c r="AY4006" t="s">
        <v>730</v>
      </c>
      <c r="AZ4006">
        <v>10635</v>
      </c>
      <c r="BA4006" t="s">
        <v>731</v>
      </c>
      <c r="BB4006" t="s">
        <v>732</v>
      </c>
      <c r="BC4006">
        <v>1984</v>
      </c>
      <c r="BD4006" t="s">
        <v>73</v>
      </c>
    </row>
    <row r="4007" spans="1:56" x14ac:dyDescent="0.35">
      <c r="A4007">
        <v>16071866</v>
      </c>
      <c r="B4007" t="s">
        <v>2697</v>
      </c>
      <c r="D4007" t="s">
        <v>85</v>
      </c>
      <c r="E4007">
        <v>15</v>
      </c>
      <c r="F4007" t="s">
        <v>58</v>
      </c>
      <c r="G4007" t="s">
        <v>59</v>
      </c>
      <c r="H4007" t="s">
        <v>60</v>
      </c>
      <c r="J4007" t="s">
        <v>86</v>
      </c>
      <c r="L4007" t="s">
        <v>62</v>
      </c>
      <c r="M4007" t="s">
        <v>63</v>
      </c>
      <c r="N4007" t="s">
        <v>64</v>
      </c>
      <c r="P4007" t="s">
        <v>100</v>
      </c>
      <c r="Q4007" t="s">
        <v>153</v>
      </c>
      <c r="R4007">
        <v>180</v>
      </c>
      <c r="W4007" t="s">
        <v>66</v>
      </c>
      <c r="X4007" t="s">
        <v>67</v>
      </c>
      <c r="Y4007" t="s">
        <v>67</v>
      </c>
      <c r="Z4007" t="s">
        <v>68</v>
      </c>
      <c r="AB4007">
        <v>4</v>
      </c>
      <c r="AC4007" t="s">
        <v>61</v>
      </c>
      <c r="AJ4007" t="s">
        <v>69</v>
      </c>
      <c r="AY4007" t="s">
        <v>1246</v>
      </c>
      <c r="AZ4007">
        <v>6969</v>
      </c>
      <c r="BA4007" t="s">
        <v>1247</v>
      </c>
      <c r="BB4007" t="s">
        <v>1248</v>
      </c>
      <c r="BC4007">
        <v>1973</v>
      </c>
      <c r="BD4007" t="s">
        <v>90</v>
      </c>
    </row>
    <row r="4008" spans="1:56" x14ac:dyDescent="0.35">
      <c r="A4008">
        <v>16071866</v>
      </c>
      <c r="B4008" t="s">
        <v>2697</v>
      </c>
      <c r="D4008" t="s">
        <v>85</v>
      </c>
      <c r="E4008" t="s">
        <v>86</v>
      </c>
      <c r="F4008" t="s">
        <v>58</v>
      </c>
      <c r="G4008" t="s">
        <v>59</v>
      </c>
      <c r="H4008" t="s">
        <v>60</v>
      </c>
      <c r="J4008" t="s">
        <v>86</v>
      </c>
      <c r="L4008" t="s">
        <v>62</v>
      </c>
      <c r="M4008" t="s">
        <v>63</v>
      </c>
      <c r="N4008" t="s">
        <v>64</v>
      </c>
      <c r="P4008" t="s">
        <v>100</v>
      </c>
      <c r="Q4008" t="s">
        <v>153</v>
      </c>
      <c r="R4008">
        <v>180</v>
      </c>
      <c r="W4008" t="s">
        <v>66</v>
      </c>
      <c r="X4008" t="s">
        <v>67</v>
      </c>
      <c r="Y4008" t="s">
        <v>67</v>
      </c>
      <c r="Z4008" t="s">
        <v>68</v>
      </c>
      <c r="AB4008">
        <v>4</v>
      </c>
      <c r="AC4008" t="s">
        <v>61</v>
      </c>
      <c r="AJ4008" t="s">
        <v>69</v>
      </c>
      <c r="AY4008" t="s">
        <v>1243</v>
      </c>
      <c r="AZ4008">
        <v>5789</v>
      </c>
      <c r="BA4008" t="s">
        <v>1244</v>
      </c>
      <c r="BB4008" t="s">
        <v>1245</v>
      </c>
      <c r="BC4008">
        <v>1974</v>
      </c>
      <c r="BD4008" t="s">
        <v>90</v>
      </c>
    </row>
    <row r="4009" spans="1:56" x14ac:dyDescent="0.35">
      <c r="A4009">
        <v>16245797</v>
      </c>
      <c r="B4009" t="s">
        <v>2698</v>
      </c>
      <c r="D4009" t="s">
        <v>57</v>
      </c>
      <c r="E4009" t="s">
        <v>128</v>
      </c>
      <c r="F4009" t="s">
        <v>58</v>
      </c>
      <c r="G4009" t="s">
        <v>59</v>
      </c>
      <c r="H4009" t="s">
        <v>60</v>
      </c>
      <c r="I4009" t="s">
        <v>129</v>
      </c>
      <c r="J4009" t="s">
        <v>86</v>
      </c>
      <c r="K4009" t="s">
        <v>61</v>
      </c>
      <c r="L4009" t="s">
        <v>74</v>
      </c>
      <c r="M4009" t="s">
        <v>63</v>
      </c>
      <c r="N4009" t="s">
        <v>64</v>
      </c>
      <c r="P4009" t="s">
        <v>65</v>
      </c>
      <c r="R4009">
        <v>0.2</v>
      </c>
      <c r="W4009" t="s">
        <v>66</v>
      </c>
      <c r="X4009" t="s">
        <v>67</v>
      </c>
      <c r="Y4009" t="s">
        <v>67</v>
      </c>
      <c r="Z4009" t="s">
        <v>68</v>
      </c>
      <c r="AB4009">
        <v>4</v>
      </c>
      <c r="AC4009" t="s">
        <v>61</v>
      </c>
      <c r="AJ4009" t="s">
        <v>69</v>
      </c>
      <c r="AY4009" t="s">
        <v>134</v>
      </c>
      <c r="AZ4009">
        <v>15031</v>
      </c>
      <c r="BA4009" t="s">
        <v>135</v>
      </c>
      <c r="BB4009" t="s">
        <v>136</v>
      </c>
      <c r="BC4009">
        <v>1995</v>
      </c>
      <c r="BD4009" t="s">
        <v>133</v>
      </c>
    </row>
    <row r="4010" spans="1:56" x14ac:dyDescent="0.35">
      <c r="A4010">
        <v>16245797</v>
      </c>
      <c r="B4010" t="s">
        <v>2698</v>
      </c>
      <c r="D4010" t="s">
        <v>57</v>
      </c>
      <c r="E4010">
        <v>99</v>
      </c>
      <c r="F4010" t="s">
        <v>58</v>
      </c>
      <c r="G4010" t="s">
        <v>59</v>
      </c>
      <c r="H4010" t="s">
        <v>60</v>
      </c>
      <c r="J4010">
        <v>28</v>
      </c>
      <c r="K4010" t="s">
        <v>61</v>
      </c>
      <c r="L4010" t="s">
        <v>74</v>
      </c>
      <c r="M4010" t="s">
        <v>63</v>
      </c>
      <c r="N4010" t="s">
        <v>64</v>
      </c>
      <c r="P4010" t="s">
        <v>65</v>
      </c>
      <c r="R4010">
        <v>0.11899999999999999</v>
      </c>
      <c r="W4010" t="s">
        <v>66</v>
      </c>
      <c r="X4010" t="s">
        <v>67</v>
      </c>
      <c r="Y4010" t="s">
        <v>67</v>
      </c>
      <c r="Z4010" t="s">
        <v>68</v>
      </c>
      <c r="AB4010">
        <v>4</v>
      </c>
      <c r="AC4010" t="s">
        <v>61</v>
      </c>
      <c r="AJ4010" t="s">
        <v>69</v>
      </c>
      <c r="AY4010" t="s">
        <v>80</v>
      </c>
      <c r="AZ4010">
        <v>12859</v>
      </c>
      <c r="BA4010" t="s">
        <v>81</v>
      </c>
      <c r="BB4010" t="s">
        <v>82</v>
      </c>
      <c r="BC4010">
        <v>1988</v>
      </c>
      <c r="BD4010" t="s">
        <v>73</v>
      </c>
    </row>
    <row r="4011" spans="1:56" x14ac:dyDescent="0.35">
      <c r="A4011">
        <v>16245797</v>
      </c>
      <c r="B4011" t="s">
        <v>2698</v>
      </c>
      <c r="D4011" t="s">
        <v>57</v>
      </c>
      <c r="E4011" t="s">
        <v>128</v>
      </c>
      <c r="F4011" t="s">
        <v>58</v>
      </c>
      <c r="G4011" t="s">
        <v>59</v>
      </c>
      <c r="H4011" t="s">
        <v>60</v>
      </c>
      <c r="I4011" t="s">
        <v>129</v>
      </c>
      <c r="J4011" t="s">
        <v>86</v>
      </c>
      <c r="K4011" t="s">
        <v>61</v>
      </c>
      <c r="L4011" t="s">
        <v>74</v>
      </c>
      <c r="M4011" t="s">
        <v>63</v>
      </c>
      <c r="N4011" t="s">
        <v>64</v>
      </c>
      <c r="P4011" t="s">
        <v>65</v>
      </c>
      <c r="R4011">
        <v>0.12</v>
      </c>
      <c r="W4011" t="s">
        <v>66</v>
      </c>
      <c r="X4011" t="s">
        <v>67</v>
      </c>
      <c r="Y4011" t="s">
        <v>67</v>
      </c>
      <c r="Z4011" t="s">
        <v>68</v>
      </c>
      <c r="AB4011">
        <v>4</v>
      </c>
      <c r="AC4011" t="s">
        <v>61</v>
      </c>
      <c r="AJ4011" t="s">
        <v>69</v>
      </c>
      <c r="AY4011" t="s">
        <v>134</v>
      </c>
      <c r="AZ4011">
        <v>15031</v>
      </c>
      <c r="BA4011" t="s">
        <v>135</v>
      </c>
      <c r="BB4011" t="s">
        <v>136</v>
      </c>
      <c r="BC4011">
        <v>1995</v>
      </c>
      <c r="BD4011" t="s">
        <v>133</v>
      </c>
    </row>
    <row r="4012" spans="1:56" x14ac:dyDescent="0.35">
      <c r="A4012">
        <v>16752775</v>
      </c>
      <c r="B4012" t="s">
        <v>2699</v>
      </c>
      <c r="E4012">
        <v>99</v>
      </c>
      <c r="F4012" t="s">
        <v>58</v>
      </c>
      <c r="G4012" t="s">
        <v>59</v>
      </c>
      <c r="H4012" t="s">
        <v>60</v>
      </c>
      <c r="J4012" t="s">
        <v>86</v>
      </c>
      <c r="L4012" t="s">
        <v>62</v>
      </c>
      <c r="M4012" t="s">
        <v>63</v>
      </c>
      <c r="N4012" t="s">
        <v>64</v>
      </c>
      <c r="P4012" t="s">
        <v>65</v>
      </c>
      <c r="R4012">
        <v>2.8</v>
      </c>
      <c r="T4012">
        <v>1.8</v>
      </c>
      <c r="V4012">
        <v>4.3</v>
      </c>
      <c r="W4012" t="s">
        <v>66</v>
      </c>
      <c r="X4012" t="s">
        <v>67</v>
      </c>
      <c r="Y4012" t="s">
        <v>67</v>
      </c>
      <c r="Z4012" t="s">
        <v>68</v>
      </c>
      <c r="AB4012">
        <v>4</v>
      </c>
      <c r="AC4012" t="s">
        <v>61</v>
      </c>
      <c r="AJ4012" t="s">
        <v>69</v>
      </c>
      <c r="AY4012" t="s">
        <v>96</v>
      </c>
      <c r="AZ4012">
        <v>6797</v>
      </c>
      <c r="BA4012" t="s">
        <v>97</v>
      </c>
      <c r="BB4012" t="s">
        <v>98</v>
      </c>
      <c r="BC4012">
        <v>1986</v>
      </c>
      <c r="BD4012" t="s">
        <v>90</v>
      </c>
    </row>
    <row r="4013" spans="1:56" x14ac:dyDescent="0.35">
      <c r="A4013">
        <v>16752775</v>
      </c>
      <c r="B4013" t="s">
        <v>2699</v>
      </c>
      <c r="D4013" t="s">
        <v>57</v>
      </c>
      <c r="E4013">
        <v>99</v>
      </c>
      <c r="F4013" t="s">
        <v>58</v>
      </c>
      <c r="G4013" t="s">
        <v>59</v>
      </c>
      <c r="H4013" t="s">
        <v>60</v>
      </c>
      <c r="J4013">
        <v>38</v>
      </c>
      <c r="K4013" t="s">
        <v>61</v>
      </c>
      <c r="L4013" t="s">
        <v>74</v>
      </c>
      <c r="M4013" t="s">
        <v>63</v>
      </c>
      <c r="N4013" t="s">
        <v>64</v>
      </c>
      <c r="O4013">
        <v>6</v>
      </c>
      <c r="P4013" t="s">
        <v>65</v>
      </c>
      <c r="R4013">
        <v>2.11</v>
      </c>
      <c r="T4013">
        <v>1.84</v>
      </c>
      <c r="V4013">
        <v>2.42</v>
      </c>
      <c r="W4013" t="s">
        <v>66</v>
      </c>
      <c r="X4013" t="s">
        <v>67</v>
      </c>
      <c r="Y4013" t="s">
        <v>67</v>
      </c>
      <c r="Z4013" t="s">
        <v>68</v>
      </c>
      <c r="AB4013">
        <v>4</v>
      </c>
      <c r="AC4013" t="s">
        <v>61</v>
      </c>
      <c r="AJ4013" t="s">
        <v>69</v>
      </c>
      <c r="AY4013" t="s">
        <v>80</v>
      </c>
      <c r="AZ4013">
        <v>12859</v>
      </c>
      <c r="BA4013" t="s">
        <v>81</v>
      </c>
      <c r="BB4013" t="s">
        <v>82</v>
      </c>
      <c r="BC4013">
        <v>1988</v>
      </c>
      <c r="BD4013" t="s">
        <v>73</v>
      </c>
    </row>
    <row r="4014" spans="1:56" x14ac:dyDescent="0.35">
      <c r="A4014">
        <v>16752775</v>
      </c>
      <c r="B4014" t="s">
        <v>2699</v>
      </c>
      <c r="E4014">
        <v>29</v>
      </c>
      <c r="F4014" t="s">
        <v>58</v>
      </c>
      <c r="G4014" t="s">
        <v>59</v>
      </c>
      <c r="H4014" t="s">
        <v>60</v>
      </c>
      <c r="J4014" t="s">
        <v>86</v>
      </c>
      <c r="L4014" t="s">
        <v>62</v>
      </c>
      <c r="M4014" t="s">
        <v>63</v>
      </c>
      <c r="N4014" t="s">
        <v>64</v>
      </c>
      <c r="P4014" t="s">
        <v>65</v>
      </c>
      <c r="R4014">
        <v>1.5</v>
      </c>
      <c r="T4014">
        <v>0.9</v>
      </c>
      <c r="V4014">
        <v>2.5</v>
      </c>
      <c r="W4014" t="s">
        <v>66</v>
      </c>
      <c r="X4014" t="s">
        <v>67</v>
      </c>
      <c r="Y4014" t="s">
        <v>67</v>
      </c>
      <c r="Z4014" t="s">
        <v>68</v>
      </c>
      <c r="AB4014">
        <v>4</v>
      </c>
      <c r="AC4014" t="s">
        <v>61</v>
      </c>
      <c r="AJ4014" t="s">
        <v>69</v>
      </c>
      <c r="AY4014" t="s">
        <v>96</v>
      </c>
      <c r="AZ4014">
        <v>6797</v>
      </c>
      <c r="BA4014" t="s">
        <v>97</v>
      </c>
      <c r="BB4014" t="s">
        <v>98</v>
      </c>
      <c r="BC4014">
        <v>1986</v>
      </c>
      <c r="BD4014" t="s">
        <v>90</v>
      </c>
    </row>
    <row r="4015" spans="1:56" x14ac:dyDescent="0.35">
      <c r="A4015">
        <v>16752775</v>
      </c>
      <c r="B4015" t="s">
        <v>2699</v>
      </c>
      <c r="E4015">
        <v>24</v>
      </c>
      <c r="F4015" t="s">
        <v>58</v>
      </c>
      <c r="G4015" t="s">
        <v>59</v>
      </c>
      <c r="H4015" t="s">
        <v>60</v>
      </c>
      <c r="J4015" t="s">
        <v>86</v>
      </c>
      <c r="L4015" t="s">
        <v>62</v>
      </c>
      <c r="M4015" t="s">
        <v>63</v>
      </c>
      <c r="N4015" t="s">
        <v>64</v>
      </c>
      <c r="P4015" t="s">
        <v>65</v>
      </c>
      <c r="R4015">
        <v>1.8</v>
      </c>
      <c r="T4015">
        <v>1.2</v>
      </c>
      <c r="V4015">
        <v>2.7</v>
      </c>
      <c r="W4015" t="s">
        <v>66</v>
      </c>
      <c r="X4015" t="s">
        <v>67</v>
      </c>
      <c r="Y4015" t="s">
        <v>67</v>
      </c>
      <c r="Z4015" t="s">
        <v>68</v>
      </c>
      <c r="AB4015">
        <v>4</v>
      </c>
      <c r="AC4015" t="s">
        <v>61</v>
      </c>
      <c r="AJ4015" t="s">
        <v>69</v>
      </c>
      <c r="AY4015" t="s">
        <v>96</v>
      </c>
      <c r="AZ4015">
        <v>6797</v>
      </c>
      <c r="BA4015" t="s">
        <v>97</v>
      </c>
      <c r="BB4015" t="s">
        <v>98</v>
      </c>
      <c r="BC4015">
        <v>1986</v>
      </c>
      <c r="BD4015" t="s">
        <v>90</v>
      </c>
    </row>
    <row r="4016" spans="1:56" x14ac:dyDescent="0.35">
      <c r="A4016">
        <v>16752775</v>
      </c>
      <c r="B4016" t="s">
        <v>2699</v>
      </c>
      <c r="D4016" t="s">
        <v>57</v>
      </c>
      <c r="E4016">
        <v>99</v>
      </c>
      <c r="F4016" t="s">
        <v>58</v>
      </c>
      <c r="G4016" t="s">
        <v>59</v>
      </c>
      <c r="H4016" t="s">
        <v>60</v>
      </c>
      <c r="J4016" t="s">
        <v>86</v>
      </c>
      <c r="K4016" t="s">
        <v>61</v>
      </c>
      <c r="L4016" t="s">
        <v>74</v>
      </c>
      <c r="M4016" t="s">
        <v>63</v>
      </c>
      <c r="N4016" t="s">
        <v>64</v>
      </c>
      <c r="O4016">
        <v>6</v>
      </c>
      <c r="P4016" t="s">
        <v>65</v>
      </c>
      <c r="R4016">
        <v>2.11</v>
      </c>
      <c r="T4016">
        <v>1.84</v>
      </c>
      <c r="V4016">
        <v>2.42</v>
      </c>
      <c r="W4016" t="s">
        <v>66</v>
      </c>
      <c r="X4016" t="s">
        <v>67</v>
      </c>
      <c r="Y4016" t="s">
        <v>67</v>
      </c>
      <c r="Z4016" t="s">
        <v>68</v>
      </c>
      <c r="AB4016">
        <v>4</v>
      </c>
      <c r="AC4016" t="s">
        <v>61</v>
      </c>
      <c r="AJ4016" t="s">
        <v>69</v>
      </c>
      <c r="AY4016" t="s">
        <v>120</v>
      </c>
      <c r="AZ4016">
        <v>14097</v>
      </c>
      <c r="BA4016" t="s">
        <v>121</v>
      </c>
      <c r="BB4016" t="s">
        <v>122</v>
      </c>
      <c r="BC4016">
        <v>1989</v>
      </c>
      <c r="BD4016" t="s">
        <v>123</v>
      </c>
    </row>
    <row r="4017" spans="1:56" x14ac:dyDescent="0.35">
      <c r="A4017">
        <v>16879020</v>
      </c>
      <c r="B4017" t="s">
        <v>2700</v>
      </c>
      <c r="D4017" t="s">
        <v>57</v>
      </c>
      <c r="E4017" t="s">
        <v>128</v>
      </c>
      <c r="F4017" t="s">
        <v>58</v>
      </c>
      <c r="G4017" t="s">
        <v>59</v>
      </c>
      <c r="H4017" t="s">
        <v>60</v>
      </c>
      <c r="I4017" t="s">
        <v>129</v>
      </c>
      <c r="J4017" t="s">
        <v>86</v>
      </c>
      <c r="K4017" t="s">
        <v>61</v>
      </c>
      <c r="L4017" t="s">
        <v>74</v>
      </c>
      <c r="M4017" t="s">
        <v>63</v>
      </c>
      <c r="N4017" t="s">
        <v>64</v>
      </c>
      <c r="P4017" t="s">
        <v>65</v>
      </c>
      <c r="R4017">
        <v>214</v>
      </c>
      <c r="W4017" t="s">
        <v>66</v>
      </c>
      <c r="X4017" t="s">
        <v>67</v>
      </c>
      <c r="Y4017" t="s">
        <v>67</v>
      </c>
      <c r="Z4017" t="s">
        <v>68</v>
      </c>
      <c r="AB4017">
        <v>4</v>
      </c>
      <c r="AC4017" t="s">
        <v>61</v>
      </c>
      <c r="AJ4017" t="s">
        <v>69</v>
      </c>
      <c r="AY4017" t="s">
        <v>134</v>
      </c>
      <c r="AZ4017">
        <v>15031</v>
      </c>
      <c r="BA4017" t="s">
        <v>135</v>
      </c>
      <c r="BB4017" t="s">
        <v>136</v>
      </c>
      <c r="BC4017">
        <v>1995</v>
      </c>
      <c r="BD4017" t="s">
        <v>133</v>
      </c>
    </row>
    <row r="4018" spans="1:56" x14ac:dyDescent="0.35">
      <c r="A4018">
        <v>16879020</v>
      </c>
      <c r="B4018" t="s">
        <v>2700</v>
      </c>
      <c r="D4018" t="s">
        <v>57</v>
      </c>
      <c r="E4018">
        <v>98</v>
      </c>
      <c r="F4018" t="s">
        <v>58</v>
      </c>
      <c r="G4018" t="s">
        <v>59</v>
      </c>
      <c r="H4018" t="s">
        <v>60</v>
      </c>
      <c r="J4018">
        <v>31</v>
      </c>
      <c r="K4018" t="s">
        <v>61</v>
      </c>
      <c r="L4018" t="s">
        <v>74</v>
      </c>
      <c r="M4018" t="s">
        <v>63</v>
      </c>
      <c r="N4018" t="s">
        <v>64</v>
      </c>
      <c r="P4018" t="s">
        <v>65</v>
      </c>
      <c r="R4018">
        <v>214</v>
      </c>
      <c r="T4018">
        <v>190</v>
      </c>
      <c r="V4018">
        <v>241</v>
      </c>
      <c r="W4018" t="s">
        <v>66</v>
      </c>
      <c r="X4018" t="s">
        <v>67</v>
      </c>
      <c r="Y4018" t="s">
        <v>67</v>
      </c>
      <c r="Z4018" t="s">
        <v>68</v>
      </c>
      <c r="AB4018">
        <v>4</v>
      </c>
      <c r="AC4018" t="s">
        <v>61</v>
      </c>
      <c r="AJ4018" t="s">
        <v>69</v>
      </c>
      <c r="AY4018" t="s">
        <v>263</v>
      </c>
      <c r="AZ4018">
        <v>12858</v>
      </c>
      <c r="BA4018" t="s">
        <v>264</v>
      </c>
      <c r="BB4018" t="s">
        <v>265</v>
      </c>
      <c r="BC4018">
        <v>1986</v>
      </c>
      <c r="BD4018" t="s">
        <v>73</v>
      </c>
    </row>
    <row r="4019" spans="1:56" x14ac:dyDescent="0.35">
      <c r="A4019">
        <v>16919190</v>
      </c>
      <c r="B4019" t="s">
        <v>2701</v>
      </c>
      <c r="D4019" t="s">
        <v>57</v>
      </c>
      <c r="E4019" t="s">
        <v>86</v>
      </c>
      <c r="F4019" t="s">
        <v>58</v>
      </c>
      <c r="G4019" t="s">
        <v>59</v>
      </c>
      <c r="H4019" t="s">
        <v>60</v>
      </c>
      <c r="J4019" t="s">
        <v>86</v>
      </c>
      <c r="L4019" t="s">
        <v>62</v>
      </c>
      <c r="M4019" t="s">
        <v>63</v>
      </c>
      <c r="N4019" t="s">
        <v>64</v>
      </c>
      <c r="O4019" t="s">
        <v>267</v>
      </c>
      <c r="P4019" t="s">
        <v>201</v>
      </c>
      <c r="R4019">
        <v>28.7</v>
      </c>
      <c r="T4019">
        <v>24</v>
      </c>
      <c r="V4019">
        <v>34.299999999999997</v>
      </c>
      <c r="W4019" t="s">
        <v>66</v>
      </c>
      <c r="X4019" t="s">
        <v>67</v>
      </c>
      <c r="Y4019" t="s">
        <v>67</v>
      </c>
      <c r="Z4019" t="s">
        <v>68</v>
      </c>
      <c r="AB4019">
        <v>4</v>
      </c>
      <c r="AC4019" t="s">
        <v>61</v>
      </c>
      <c r="AJ4019" t="s">
        <v>69</v>
      </c>
      <c r="AY4019" t="s">
        <v>268</v>
      </c>
      <c r="AZ4019">
        <v>2965</v>
      </c>
      <c r="BA4019" t="s">
        <v>269</v>
      </c>
      <c r="BB4019" t="s">
        <v>270</v>
      </c>
      <c r="BC4019">
        <v>1981</v>
      </c>
      <c r="BD4019" t="s">
        <v>90</v>
      </c>
    </row>
    <row r="4020" spans="1:56" x14ac:dyDescent="0.35">
      <c r="A4020">
        <v>17109363</v>
      </c>
      <c r="B4020" t="s">
        <v>2702</v>
      </c>
      <c r="D4020" t="s">
        <v>85</v>
      </c>
      <c r="E4020" t="s">
        <v>86</v>
      </c>
      <c r="F4020" t="s">
        <v>58</v>
      </c>
      <c r="G4020" t="s">
        <v>59</v>
      </c>
      <c r="H4020" t="s">
        <v>60</v>
      </c>
      <c r="J4020" t="s">
        <v>86</v>
      </c>
      <c r="L4020" t="s">
        <v>62</v>
      </c>
      <c r="M4020" t="s">
        <v>63</v>
      </c>
      <c r="N4020" t="s">
        <v>64</v>
      </c>
      <c r="P4020" t="s">
        <v>100</v>
      </c>
      <c r="R4020">
        <v>8.0999999999999996E-3</v>
      </c>
      <c r="T4020">
        <v>7.0000000000000001E-3</v>
      </c>
      <c r="V4020">
        <v>9.1999999999999998E-3</v>
      </c>
      <c r="W4020" t="s">
        <v>66</v>
      </c>
      <c r="X4020" t="s">
        <v>67</v>
      </c>
      <c r="Y4020" t="s">
        <v>67</v>
      </c>
      <c r="Z4020" t="s">
        <v>68</v>
      </c>
      <c r="AB4020">
        <v>4</v>
      </c>
      <c r="AC4020" t="s">
        <v>61</v>
      </c>
      <c r="AJ4020" t="s">
        <v>69</v>
      </c>
      <c r="AY4020" t="s">
        <v>2703</v>
      </c>
      <c r="AZ4020">
        <v>9128</v>
      </c>
      <c r="BA4020" t="s">
        <v>2704</v>
      </c>
      <c r="BB4020" t="s">
        <v>2705</v>
      </c>
      <c r="BC4020">
        <v>1972</v>
      </c>
      <c r="BD4020" t="s">
        <v>90</v>
      </c>
    </row>
    <row r="4021" spans="1:56" x14ac:dyDescent="0.35">
      <c r="A4021">
        <v>17418585</v>
      </c>
      <c r="B4021" t="s">
        <v>2706</v>
      </c>
      <c r="D4021" t="s">
        <v>85</v>
      </c>
      <c r="E4021">
        <v>15</v>
      </c>
      <c r="F4021" t="s">
        <v>58</v>
      </c>
      <c r="G4021" t="s">
        <v>59</v>
      </c>
      <c r="H4021" t="s">
        <v>60</v>
      </c>
      <c r="J4021" t="s">
        <v>86</v>
      </c>
      <c r="L4021" t="s">
        <v>62</v>
      </c>
      <c r="M4021" t="s">
        <v>63</v>
      </c>
      <c r="N4021" t="s">
        <v>64</v>
      </c>
      <c r="P4021" t="s">
        <v>100</v>
      </c>
      <c r="Q4021" t="s">
        <v>153</v>
      </c>
      <c r="R4021">
        <v>180</v>
      </c>
      <c r="W4021" t="s">
        <v>66</v>
      </c>
      <c r="X4021" t="s">
        <v>67</v>
      </c>
      <c r="Y4021" t="s">
        <v>67</v>
      </c>
      <c r="Z4021" t="s">
        <v>68</v>
      </c>
      <c r="AB4021">
        <v>4</v>
      </c>
      <c r="AC4021" t="s">
        <v>61</v>
      </c>
      <c r="AJ4021" t="s">
        <v>69</v>
      </c>
      <c r="AY4021" t="s">
        <v>1246</v>
      </c>
      <c r="AZ4021">
        <v>6969</v>
      </c>
      <c r="BA4021" t="s">
        <v>1247</v>
      </c>
      <c r="BB4021" t="s">
        <v>1248</v>
      </c>
      <c r="BC4021">
        <v>1973</v>
      </c>
      <c r="BD4021" t="s">
        <v>90</v>
      </c>
    </row>
    <row r="4022" spans="1:56" x14ac:dyDescent="0.35">
      <c r="A4022">
        <v>17418585</v>
      </c>
      <c r="B4022" t="s">
        <v>2706</v>
      </c>
      <c r="D4022" t="s">
        <v>85</v>
      </c>
      <c r="E4022" t="s">
        <v>86</v>
      </c>
      <c r="F4022" t="s">
        <v>58</v>
      </c>
      <c r="G4022" t="s">
        <v>59</v>
      </c>
      <c r="H4022" t="s">
        <v>60</v>
      </c>
      <c r="J4022" t="s">
        <v>86</v>
      </c>
      <c r="L4022" t="s">
        <v>62</v>
      </c>
      <c r="M4022" t="s">
        <v>63</v>
      </c>
      <c r="N4022" t="s">
        <v>64</v>
      </c>
      <c r="P4022" t="s">
        <v>100</v>
      </c>
      <c r="Q4022" t="s">
        <v>153</v>
      </c>
      <c r="R4022">
        <v>180</v>
      </c>
      <c r="W4022" t="s">
        <v>66</v>
      </c>
      <c r="X4022" t="s">
        <v>67</v>
      </c>
      <c r="Y4022" t="s">
        <v>67</v>
      </c>
      <c r="Z4022" t="s">
        <v>68</v>
      </c>
      <c r="AB4022">
        <v>4</v>
      </c>
      <c r="AC4022" t="s">
        <v>61</v>
      </c>
      <c r="AJ4022" t="s">
        <v>69</v>
      </c>
      <c r="AY4022" t="s">
        <v>1243</v>
      </c>
      <c r="AZ4022">
        <v>5789</v>
      </c>
      <c r="BA4022" t="s">
        <v>1244</v>
      </c>
      <c r="BB4022" t="s">
        <v>1245</v>
      </c>
      <c r="BC4022">
        <v>1974</v>
      </c>
      <c r="BD4022" t="s">
        <v>90</v>
      </c>
    </row>
    <row r="4023" spans="1:56" x14ac:dyDescent="0.35">
      <c r="A4023">
        <v>17584122</v>
      </c>
      <c r="B4023" t="s">
        <v>2707</v>
      </c>
      <c r="D4023" t="s">
        <v>57</v>
      </c>
      <c r="E4023">
        <v>97</v>
      </c>
      <c r="F4023" t="s">
        <v>58</v>
      </c>
      <c r="G4023" t="s">
        <v>59</v>
      </c>
      <c r="H4023" t="s">
        <v>60</v>
      </c>
      <c r="J4023">
        <v>31</v>
      </c>
      <c r="K4023" t="s">
        <v>61</v>
      </c>
      <c r="L4023" t="s">
        <v>74</v>
      </c>
      <c r="M4023" t="s">
        <v>63</v>
      </c>
      <c r="N4023" t="s">
        <v>64</v>
      </c>
      <c r="P4023" t="s">
        <v>65</v>
      </c>
      <c r="R4023">
        <v>952</v>
      </c>
      <c r="T4023">
        <v>825</v>
      </c>
      <c r="V4023">
        <v>1100</v>
      </c>
      <c r="W4023" t="s">
        <v>66</v>
      </c>
      <c r="X4023" t="s">
        <v>67</v>
      </c>
      <c r="Y4023" t="s">
        <v>67</v>
      </c>
      <c r="Z4023" t="s">
        <v>68</v>
      </c>
      <c r="AB4023">
        <v>4</v>
      </c>
      <c r="AC4023" t="s">
        <v>61</v>
      </c>
      <c r="AJ4023" t="s">
        <v>69</v>
      </c>
      <c r="AY4023" t="s">
        <v>263</v>
      </c>
      <c r="AZ4023">
        <v>12858</v>
      </c>
      <c r="BA4023" t="s">
        <v>264</v>
      </c>
      <c r="BB4023" t="s">
        <v>265</v>
      </c>
      <c r="BC4023">
        <v>1986</v>
      </c>
      <c r="BD4023" t="s">
        <v>73</v>
      </c>
    </row>
    <row r="4024" spans="1:56" x14ac:dyDescent="0.35">
      <c r="A4024">
        <v>17754904</v>
      </c>
      <c r="B4024" t="s">
        <v>2708</v>
      </c>
      <c r="D4024" t="s">
        <v>57</v>
      </c>
      <c r="E4024">
        <v>98</v>
      </c>
      <c r="F4024" t="s">
        <v>58</v>
      </c>
      <c r="G4024" t="s">
        <v>59</v>
      </c>
      <c r="H4024" t="s">
        <v>60</v>
      </c>
      <c r="J4024" t="s">
        <v>86</v>
      </c>
      <c r="K4024" t="s">
        <v>61</v>
      </c>
      <c r="L4024" t="s">
        <v>74</v>
      </c>
      <c r="M4024" t="s">
        <v>63</v>
      </c>
      <c r="N4024" t="s">
        <v>64</v>
      </c>
      <c r="P4024" t="s">
        <v>65</v>
      </c>
      <c r="R4024">
        <v>5.36</v>
      </c>
      <c r="T4024">
        <v>4.7300000000000004</v>
      </c>
      <c r="V4024">
        <v>6.06</v>
      </c>
      <c r="W4024" t="s">
        <v>66</v>
      </c>
      <c r="X4024" t="s">
        <v>67</v>
      </c>
      <c r="Y4024" t="s">
        <v>67</v>
      </c>
      <c r="Z4024" t="s">
        <v>68</v>
      </c>
      <c r="AB4024">
        <v>4</v>
      </c>
      <c r="AC4024" t="s">
        <v>61</v>
      </c>
      <c r="AJ4024" t="s">
        <v>69</v>
      </c>
      <c r="AY4024" t="s">
        <v>141</v>
      </c>
      <c r="AZ4024">
        <v>12447</v>
      </c>
      <c r="BA4024" t="s">
        <v>142</v>
      </c>
      <c r="BB4024" t="s">
        <v>143</v>
      </c>
      <c r="BC4024">
        <v>1985</v>
      </c>
      <c r="BD4024" t="s">
        <v>691</v>
      </c>
    </row>
    <row r="4025" spans="1:56" x14ac:dyDescent="0.35">
      <c r="A4025">
        <v>17804352</v>
      </c>
      <c r="B4025" t="s">
        <v>2709</v>
      </c>
      <c r="E4025">
        <v>99</v>
      </c>
      <c r="F4025" t="s">
        <v>58</v>
      </c>
      <c r="G4025" t="s">
        <v>59</v>
      </c>
      <c r="H4025" t="s">
        <v>60</v>
      </c>
      <c r="J4025" t="s">
        <v>86</v>
      </c>
      <c r="L4025" t="s">
        <v>62</v>
      </c>
      <c r="M4025" t="s">
        <v>63</v>
      </c>
      <c r="N4025" t="s">
        <v>64</v>
      </c>
      <c r="P4025" t="s">
        <v>65</v>
      </c>
      <c r="Q4025" t="s">
        <v>153</v>
      </c>
      <c r="R4025">
        <v>10</v>
      </c>
      <c r="W4025" t="s">
        <v>66</v>
      </c>
      <c r="X4025" t="s">
        <v>67</v>
      </c>
      <c r="Y4025" t="s">
        <v>67</v>
      </c>
      <c r="Z4025" t="s">
        <v>68</v>
      </c>
      <c r="AB4025">
        <v>4</v>
      </c>
      <c r="AC4025" t="s">
        <v>61</v>
      </c>
      <c r="AJ4025" t="s">
        <v>69</v>
      </c>
      <c r="AY4025" t="s">
        <v>96</v>
      </c>
      <c r="AZ4025">
        <v>6797</v>
      </c>
      <c r="BA4025" t="s">
        <v>97</v>
      </c>
      <c r="BB4025" t="s">
        <v>98</v>
      </c>
      <c r="BC4025">
        <v>1986</v>
      </c>
      <c r="BD4025" t="s">
        <v>90</v>
      </c>
    </row>
    <row r="4026" spans="1:56" x14ac:dyDescent="0.35">
      <c r="A4026">
        <v>17804352</v>
      </c>
      <c r="B4026" t="s">
        <v>2709</v>
      </c>
      <c r="E4026">
        <v>50</v>
      </c>
      <c r="F4026" t="s">
        <v>58</v>
      </c>
      <c r="G4026" t="s">
        <v>59</v>
      </c>
      <c r="H4026" t="s">
        <v>60</v>
      </c>
      <c r="J4026" t="s">
        <v>86</v>
      </c>
      <c r="L4026" t="s">
        <v>62</v>
      </c>
      <c r="M4026" t="s">
        <v>63</v>
      </c>
      <c r="N4026" t="s">
        <v>64</v>
      </c>
      <c r="P4026" t="s">
        <v>65</v>
      </c>
      <c r="R4026">
        <v>1.9</v>
      </c>
      <c r="T4026">
        <v>1.43</v>
      </c>
      <c r="V4026">
        <v>2.5299999999999998</v>
      </c>
      <c r="W4026" t="s">
        <v>66</v>
      </c>
      <c r="X4026" t="s">
        <v>67</v>
      </c>
      <c r="Y4026" t="s">
        <v>67</v>
      </c>
      <c r="Z4026" t="s">
        <v>68</v>
      </c>
      <c r="AB4026">
        <v>4</v>
      </c>
      <c r="AC4026" t="s">
        <v>61</v>
      </c>
      <c r="AJ4026" t="s">
        <v>69</v>
      </c>
      <c r="AY4026" t="s">
        <v>96</v>
      </c>
      <c r="AZ4026">
        <v>6797</v>
      </c>
      <c r="BA4026" t="s">
        <v>97</v>
      </c>
      <c r="BB4026" t="s">
        <v>98</v>
      </c>
      <c r="BC4026">
        <v>1986</v>
      </c>
      <c r="BD4026" t="s">
        <v>90</v>
      </c>
    </row>
    <row r="4027" spans="1:56" x14ac:dyDescent="0.35">
      <c r="A4027">
        <v>17804352</v>
      </c>
      <c r="B4027" t="s">
        <v>2709</v>
      </c>
      <c r="E4027">
        <v>99</v>
      </c>
      <c r="F4027" t="s">
        <v>58</v>
      </c>
      <c r="G4027" t="s">
        <v>59</v>
      </c>
      <c r="H4027" t="s">
        <v>60</v>
      </c>
      <c r="J4027" t="s">
        <v>86</v>
      </c>
      <c r="L4027" t="s">
        <v>62</v>
      </c>
      <c r="M4027" t="s">
        <v>63</v>
      </c>
      <c r="N4027" t="s">
        <v>64</v>
      </c>
      <c r="P4027" t="s">
        <v>65</v>
      </c>
      <c r="R4027">
        <v>1.3</v>
      </c>
      <c r="T4027">
        <v>0.88</v>
      </c>
      <c r="V4027">
        <v>1.92</v>
      </c>
      <c r="W4027" t="s">
        <v>66</v>
      </c>
      <c r="X4027" t="s">
        <v>67</v>
      </c>
      <c r="Y4027" t="s">
        <v>67</v>
      </c>
      <c r="Z4027" t="s">
        <v>68</v>
      </c>
      <c r="AB4027">
        <v>4</v>
      </c>
      <c r="AC4027" t="s">
        <v>61</v>
      </c>
      <c r="AJ4027" t="s">
        <v>69</v>
      </c>
      <c r="AY4027" t="s">
        <v>96</v>
      </c>
      <c r="AZ4027">
        <v>6797</v>
      </c>
      <c r="BA4027" t="s">
        <v>97</v>
      </c>
      <c r="BB4027" t="s">
        <v>98</v>
      </c>
      <c r="BC4027">
        <v>1986</v>
      </c>
      <c r="BD4027" t="s">
        <v>90</v>
      </c>
    </row>
    <row r="4028" spans="1:56" x14ac:dyDescent="0.35">
      <c r="A4028">
        <v>17804352</v>
      </c>
      <c r="B4028" t="s">
        <v>2709</v>
      </c>
      <c r="E4028">
        <v>99</v>
      </c>
      <c r="F4028" t="s">
        <v>58</v>
      </c>
      <c r="G4028" t="s">
        <v>59</v>
      </c>
      <c r="H4028" t="s">
        <v>60</v>
      </c>
      <c r="J4028" t="s">
        <v>86</v>
      </c>
      <c r="L4028" t="s">
        <v>62</v>
      </c>
      <c r="M4028" t="s">
        <v>63</v>
      </c>
      <c r="N4028" t="s">
        <v>64</v>
      </c>
      <c r="P4028" t="s">
        <v>65</v>
      </c>
      <c r="R4028">
        <v>2.2000000000000002</v>
      </c>
      <c r="T4028">
        <v>1.59</v>
      </c>
      <c r="V4028">
        <v>3.04</v>
      </c>
      <c r="W4028" t="s">
        <v>66</v>
      </c>
      <c r="X4028" t="s">
        <v>67</v>
      </c>
      <c r="Y4028" t="s">
        <v>67</v>
      </c>
      <c r="Z4028" t="s">
        <v>68</v>
      </c>
      <c r="AB4028">
        <v>4</v>
      </c>
      <c r="AC4028" t="s">
        <v>61</v>
      </c>
      <c r="AJ4028" t="s">
        <v>69</v>
      </c>
      <c r="AY4028" t="s">
        <v>96</v>
      </c>
      <c r="AZ4028">
        <v>6797</v>
      </c>
      <c r="BA4028" t="s">
        <v>97</v>
      </c>
      <c r="BB4028" t="s">
        <v>98</v>
      </c>
      <c r="BC4028">
        <v>1986</v>
      </c>
      <c r="BD4028" t="s">
        <v>90</v>
      </c>
    </row>
    <row r="4029" spans="1:56" x14ac:dyDescent="0.35">
      <c r="A4029">
        <v>17804352</v>
      </c>
      <c r="B4029" t="s">
        <v>2709</v>
      </c>
      <c r="E4029">
        <v>50</v>
      </c>
      <c r="F4029" t="s">
        <v>58</v>
      </c>
      <c r="G4029" t="s">
        <v>59</v>
      </c>
      <c r="H4029" t="s">
        <v>60</v>
      </c>
      <c r="J4029" t="s">
        <v>86</v>
      </c>
      <c r="L4029" t="s">
        <v>62</v>
      </c>
      <c r="M4029" t="s">
        <v>63</v>
      </c>
      <c r="N4029" t="s">
        <v>64</v>
      </c>
      <c r="P4029" t="s">
        <v>65</v>
      </c>
      <c r="R4029">
        <v>1.9</v>
      </c>
      <c r="T4029">
        <v>1.43</v>
      </c>
      <c r="V4029">
        <v>2.5299999999999998</v>
      </c>
      <c r="W4029" t="s">
        <v>66</v>
      </c>
      <c r="X4029" t="s">
        <v>67</v>
      </c>
      <c r="Y4029" t="s">
        <v>67</v>
      </c>
      <c r="Z4029" t="s">
        <v>68</v>
      </c>
      <c r="AB4029">
        <v>4</v>
      </c>
      <c r="AC4029" t="s">
        <v>61</v>
      </c>
      <c r="AJ4029" t="s">
        <v>69</v>
      </c>
      <c r="AY4029" t="s">
        <v>96</v>
      </c>
      <c r="AZ4029">
        <v>6797</v>
      </c>
      <c r="BA4029" t="s">
        <v>97</v>
      </c>
      <c r="BB4029" t="s">
        <v>98</v>
      </c>
      <c r="BC4029">
        <v>1986</v>
      </c>
      <c r="BD4029" t="s">
        <v>90</v>
      </c>
    </row>
    <row r="4030" spans="1:56" x14ac:dyDescent="0.35">
      <c r="A4030">
        <v>18172673</v>
      </c>
      <c r="B4030" t="s">
        <v>2710</v>
      </c>
      <c r="D4030" t="s">
        <v>57</v>
      </c>
      <c r="E4030">
        <v>99</v>
      </c>
      <c r="F4030" t="s">
        <v>58</v>
      </c>
      <c r="G4030" t="s">
        <v>59</v>
      </c>
      <c r="H4030" t="s">
        <v>60</v>
      </c>
      <c r="I4030" t="s">
        <v>129</v>
      </c>
      <c r="J4030">
        <v>32</v>
      </c>
      <c r="K4030" t="s">
        <v>61</v>
      </c>
      <c r="L4030" t="s">
        <v>74</v>
      </c>
      <c r="M4030" t="s">
        <v>63</v>
      </c>
      <c r="N4030" t="s">
        <v>64</v>
      </c>
      <c r="O4030">
        <v>6</v>
      </c>
      <c r="P4030" t="s">
        <v>65</v>
      </c>
      <c r="R4030">
        <v>0.502</v>
      </c>
      <c r="T4030">
        <v>0.40200000000000002</v>
      </c>
      <c r="V4030">
        <v>0.625</v>
      </c>
      <c r="W4030" t="s">
        <v>66</v>
      </c>
      <c r="X4030" t="s">
        <v>67</v>
      </c>
      <c r="Y4030" t="s">
        <v>67</v>
      </c>
      <c r="Z4030" t="s">
        <v>68</v>
      </c>
      <c r="AB4030">
        <v>4</v>
      </c>
      <c r="AC4030" t="s">
        <v>61</v>
      </c>
      <c r="AJ4030" t="s">
        <v>69</v>
      </c>
      <c r="AY4030" t="s">
        <v>884</v>
      </c>
      <c r="AZ4030">
        <v>97161</v>
      </c>
      <c r="BA4030" t="s">
        <v>885</v>
      </c>
      <c r="BB4030" t="s">
        <v>886</v>
      </c>
      <c r="BC4030">
        <v>1990</v>
      </c>
      <c r="BD4030" t="s">
        <v>73</v>
      </c>
    </row>
    <row r="4031" spans="1:56" x14ac:dyDescent="0.35">
      <c r="A4031">
        <v>18259057</v>
      </c>
      <c r="B4031" t="s">
        <v>2711</v>
      </c>
      <c r="D4031" t="s">
        <v>85</v>
      </c>
      <c r="E4031" t="s">
        <v>86</v>
      </c>
      <c r="F4031" t="s">
        <v>58</v>
      </c>
      <c r="G4031" t="s">
        <v>59</v>
      </c>
      <c r="H4031" t="s">
        <v>60</v>
      </c>
      <c r="I4031" t="s">
        <v>188</v>
      </c>
      <c r="J4031" t="s">
        <v>86</v>
      </c>
      <c r="L4031" t="s">
        <v>190</v>
      </c>
      <c r="M4031" t="s">
        <v>63</v>
      </c>
      <c r="N4031" t="s">
        <v>64</v>
      </c>
      <c r="P4031" t="s">
        <v>100</v>
      </c>
      <c r="Q4031" t="s">
        <v>153</v>
      </c>
      <c r="R4031">
        <v>8.0000000000000002E-3</v>
      </c>
      <c r="W4031" t="s">
        <v>66</v>
      </c>
      <c r="X4031" t="s">
        <v>67</v>
      </c>
      <c r="Y4031" t="s">
        <v>67</v>
      </c>
      <c r="Z4031" t="s">
        <v>68</v>
      </c>
      <c r="AB4031">
        <v>4</v>
      </c>
      <c r="AC4031" t="s">
        <v>61</v>
      </c>
      <c r="AJ4031" t="s">
        <v>69</v>
      </c>
      <c r="AY4031" t="s">
        <v>1973</v>
      </c>
      <c r="AZ4031">
        <v>16467</v>
      </c>
      <c r="BA4031" t="s">
        <v>1974</v>
      </c>
      <c r="BB4031" t="s">
        <v>1975</v>
      </c>
      <c r="BC4031">
        <v>1993</v>
      </c>
      <c r="BD4031" t="s">
        <v>90</v>
      </c>
    </row>
    <row r="4032" spans="1:56" x14ac:dyDescent="0.35">
      <c r="A4032">
        <v>18292972</v>
      </c>
      <c r="B4032" t="s">
        <v>2712</v>
      </c>
      <c r="D4032" t="s">
        <v>85</v>
      </c>
      <c r="E4032" t="s">
        <v>86</v>
      </c>
      <c r="F4032" t="s">
        <v>58</v>
      </c>
      <c r="G4032" t="s">
        <v>59</v>
      </c>
      <c r="H4032" t="s">
        <v>60</v>
      </c>
      <c r="I4032" t="s">
        <v>129</v>
      </c>
      <c r="J4032" t="s">
        <v>86</v>
      </c>
      <c r="L4032" t="s">
        <v>62</v>
      </c>
      <c r="M4032" t="s">
        <v>63</v>
      </c>
      <c r="N4032" t="s">
        <v>64</v>
      </c>
      <c r="P4032" t="s">
        <v>100</v>
      </c>
      <c r="R4032">
        <v>0.12</v>
      </c>
      <c r="W4032" t="s">
        <v>66</v>
      </c>
      <c r="X4032" t="s">
        <v>67</v>
      </c>
      <c r="Y4032" t="s">
        <v>67</v>
      </c>
      <c r="Z4032" t="s">
        <v>68</v>
      </c>
      <c r="AB4032">
        <v>4</v>
      </c>
      <c r="AC4032" t="s">
        <v>61</v>
      </c>
      <c r="AJ4032" t="s">
        <v>69</v>
      </c>
      <c r="AY4032" t="s">
        <v>722</v>
      </c>
      <c r="AZ4032">
        <v>5087</v>
      </c>
      <c r="BA4032" t="s">
        <v>723</v>
      </c>
      <c r="BB4032" t="s">
        <v>724</v>
      </c>
      <c r="BC4032">
        <v>1979</v>
      </c>
      <c r="BD4032" t="s">
        <v>90</v>
      </c>
    </row>
    <row r="4033" spans="1:56" x14ac:dyDescent="0.35">
      <c r="A4033">
        <v>18292972</v>
      </c>
      <c r="B4033" t="s">
        <v>2712</v>
      </c>
      <c r="D4033" t="s">
        <v>85</v>
      </c>
      <c r="E4033" t="s">
        <v>86</v>
      </c>
      <c r="F4033" t="s">
        <v>58</v>
      </c>
      <c r="G4033" t="s">
        <v>59</v>
      </c>
      <c r="H4033" t="s">
        <v>60</v>
      </c>
      <c r="I4033" t="s">
        <v>129</v>
      </c>
      <c r="J4033" t="s">
        <v>86</v>
      </c>
      <c r="L4033" t="s">
        <v>62</v>
      </c>
      <c r="M4033" t="s">
        <v>63</v>
      </c>
      <c r="N4033" t="s">
        <v>64</v>
      </c>
      <c r="P4033" t="s">
        <v>65</v>
      </c>
      <c r="R4033">
        <v>0.1</v>
      </c>
      <c r="T4033">
        <v>0.1</v>
      </c>
      <c r="V4033">
        <v>1</v>
      </c>
      <c r="W4033" t="s">
        <v>66</v>
      </c>
      <c r="X4033" t="s">
        <v>67</v>
      </c>
      <c r="Y4033" t="s">
        <v>67</v>
      </c>
      <c r="Z4033" t="s">
        <v>68</v>
      </c>
      <c r="AB4033">
        <v>4</v>
      </c>
      <c r="AC4033" t="s">
        <v>61</v>
      </c>
      <c r="AJ4033" t="s">
        <v>69</v>
      </c>
      <c r="AY4033" t="s">
        <v>718</v>
      </c>
      <c r="AZ4033">
        <v>10141</v>
      </c>
      <c r="BA4033" t="s">
        <v>719</v>
      </c>
      <c r="BB4033" t="s">
        <v>720</v>
      </c>
      <c r="BC4033">
        <v>1983</v>
      </c>
      <c r="BD4033" t="s">
        <v>721</v>
      </c>
    </row>
    <row r="4034" spans="1:56" x14ac:dyDescent="0.35">
      <c r="A4034">
        <v>18368633</v>
      </c>
      <c r="B4034" t="s">
        <v>2713</v>
      </c>
      <c r="D4034" t="s">
        <v>57</v>
      </c>
      <c r="E4034">
        <v>98</v>
      </c>
      <c r="F4034" t="s">
        <v>58</v>
      </c>
      <c r="G4034" t="s">
        <v>59</v>
      </c>
      <c r="H4034" t="s">
        <v>60</v>
      </c>
      <c r="J4034">
        <v>28</v>
      </c>
      <c r="K4034" t="s">
        <v>61</v>
      </c>
      <c r="L4034" t="s">
        <v>74</v>
      </c>
      <c r="M4034" t="s">
        <v>63</v>
      </c>
      <c r="N4034" t="s">
        <v>64</v>
      </c>
      <c r="P4034" t="s">
        <v>65</v>
      </c>
      <c r="R4034">
        <v>232</v>
      </c>
      <c r="T4034">
        <v>217</v>
      </c>
      <c r="V4034">
        <v>249</v>
      </c>
      <c r="W4034" t="s">
        <v>66</v>
      </c>
      <c r="X4034" t="s">
        <v>67</v>
      </c>
      <c r="Y4034" t="s">
        <v>67</v>
      </c>
      <c r="Z4034" t="s">
        <v>68</v>
      </c>
      <c r="AB4034">
        <v>4</v>
      </c>
      <c r="AC4034" t="s">
        <v>61</v>
      </c>
      <c r="AJ4034" t="s">
        <v>69</v>
      </c>
      <c r="AY4034" t="s">
        <v>263</v>
      </c>
      <c r="AZ4034">
        <v>12858</v>
      </c>
      <c r="BA4034" t="s">
        <v>264</v>
      </c>
      <c r="BB4034" t="s">
        <v>265</v>
      </c>
      <c r="BC4034">
        <v>1986</v>
      </c>
      <c r="BD4034" t="s">
        <v>73</v>
      </c>
    </row>
    <row r="4035" spans="1:56" x14ac:dyDescent="0.35">
      <c r="A4035">
        <v>18540299</v>
      </c>
      <c r="B4035" t="s">
        <v>2714</v>
      </c>
      <c r="D4035" t="s">
        <v>57</v>
      </c>
      <c r="E4035" t="s">
        <v>86</v>
      </c>
      <c r="F4035" t="s">
        <v>58</v>
      </c>
      <c r="G4035" t="s">
        <v>59</v>
      </c>
      <c r="H4035" t="s">
        <v>60</v>
      </c>
      <c r="J4035" t="s">
        <v>86</v>
      </c>
      <c r="M4035" t="s">
        <v>63</v>
      </c>
      <c r="N4035" t="s">
        <v>64</v>
      </c>
      <c r="O4035">
        <v>6</v>
      </c>
      <c r="P4035" t="s">
        <v>201</v>
      </c>
      <c r="R4035">
        <v>46.4</v>
      </c>
      <c r="W4035" t="s">
        <v>66</v>
      </c>
      <c r="X4035" t="s">
        <v>67</v>
      </c>
      <c r="Y4035" t="s">
        <v>67</v>
      </c>
      <c r="Z4035" t="s">
        <v>68</v>
      </c>
      <c r="AB4035">
        <v>4</v>
      </c>
      <c r="AC4035" t="s">
        <v>61</v>
      </c>
      <c r="AJ4035" t="s">
        <v>69</v>
      </c>
      <c r="AY4035" t="s">
        <v>138</v>
      </c>
      <c r="AZ4035">
        <v>120926</v>
      </c>
      <c r="BA4035" t="s">
        <v>139</v>
      </c>
      <c r="BB4035" t="s">
        <v>140</v>
      </c>
      <c r="BC4035">
        <v>1980</v>
      </c>
      <c r="BD4035" t="s">
        <v>90</v>
      </c>
    </row>
    <row r="4036" spans="1:56" x14ac:dyDescent="0.35">
      <c r="A4036">
        <v>19398131</v>
      </c>
      <c r="B4036" t="s">
        <v>2715</v>
      </c>
      <c r="E4036">
        <v>58.9</v>
      </c>
      <c r="F4036" t="s">
        <v>58</v>
      </c>
      <c r="G4036" t="s">
        <v>59</v>
      </c>
      <c r="H4036" t="s">
        <v>60</v>
      </c>
      <c r="I4036" t="s">
        <v>705</v>
      </c>
      <c r="J4036" t="s">
        <v>86</v>
      </c>
      <c r="L4036" t="s">
        <v>62</v>
      </c>
      <c r="M4036" t="s">
        <v>63</v>
      </c>
      <c r="N4036" t="s">
        <v>64</v>
      </c>
      <c r="P4036" t="s">
        <v>65</v>
      </c>
      <c r="R4036">
        <v>1</v>
      </c>
      <c r="T4036">
        <v>1</v>
      </c>
      <c r="V4036">
        <v>10</v>
      </c>
      <c r="W4036" t="s">
        <v>66</v>
      </c>
      <c r="X4036" t="s">
        <v>67</v>
      </c>
      <c r="Y4036" t="s">
        <v>67</v>
      </c>
      <c r="Z4036" t="s">
        <v>68</v>
      </c>
      <c r="AB4036">
        <v>4</v>
      </c>
      <c r="AC4036" t="s">
        <v>61</v>
      </c>
      <c r="AJ4036" t="s">
        <v>69</v>
      </c>
      <c r="AY4036" t="s">
        <v>96</v>
      </c>
      <c r="AZ4036">
        <v>6797</v>
      </c>
      <c r="BA4036" t="s">
        <v>97</v>
      </c>
      <c r="BB4036" t="s">
        <v>98</v>
      </c>
      <c r="BC4036">
        <v>1986</v>
      </c>
      <c r="BD4036" t="s">
        <v>90</v>
      </c>
    </row>
    <row r="4037" spans="1:56" x14ac:dyDescent="0.35">
      <c r="A4037">
        <v>19406510</v>
      </c>
      <c r="B4037" t="s">
        <v>2716</v>
      </c>
      <c r="D4037" t="s">
        <v>85</v>
      </c>
      <c r="E4037" t="s">
        <v>86</v>
      </c>
      <c r="F4037" t="s">
        <v>58</v>
      </c>
      <c r="G4037" t="s">
        <v>59</v>
      </c>
      <c r="H4037" t="s">
        <v>60</v>
      </c>
      <c r="I4037" t="s">
        <v>129</v>
      </c>
      <c r="J4037" t="s">
        <v>86</v>
      </c>
      <c r="L4037" t="s">
        <v>62</v>
      </c>
      <c r="M4037" t="s">
        <v>63</v>
      </c>
      <c r="N4037" t="s">
        <v>64</v>
      </c>
      <c r="P4037" t="s">
        <v>100</v>
      </c>
      <c r="R4037">
        <v>6.9</v>
      </c>
      <c r="W4037" t="s">
        <v>66</v>
      </c>
      <c r="X4037" t="s">
        <v>67</v>
      </c>
      <c r="Y4037" t="s">
        <v>67</v>
      </c>
      <c r="Z4037" t="s">
        <v>68</v>
      </c>
      <c r="AB4037">
        <v>4</v>
      </c>
      <c r="AC4037" t="s">
        <v>61</v>
      </c>
      <c r="AJ4037" t="s">
        <v>69</v>
      </c>
      <c r="AY4037" t="s">
        <v>722</v>
      </c>
      <c r="AZ4037">
        <v>5087</v>
      </c>
      <c r="BA4037" t="s">
        <v>723</v>
      </c>
      <c r="BB4037" t="s">
        <v>724</v>
      </c>
      <c r="BC4037">
        <v>1979</v>
      </c>
      <c r="BD4037" t="s">
        <v>90</v>
      </c>
    </row>
    <row r="4038" spans="1:56" x14ac:dyDescent="0.35">
      <c r="A4038">
        <v>19406510</v>
      </c>
      <c r="B4038" t="s">
        <v>2716</v>
      </c>
      <c r="D4038" t="s">
        <v>85</v>
      </c>
      <c r="E4038" t="s">
        <v>86</v>
      </c>
      <c r="F4038" t="s">
        <v>58</v>
      </c>
      <c r="G4038" t="s">
        <v>59</v>
      </c>
      <c r="H4038" t="s">
        <v>60</v>
      </c>
      <c r="I4038" t="s">
        <v>129</v>
      </c>
      <c r="J4038" t="s">
        <v>86</v>
      </c>
      <c r="L4038" t="s">
        <v>62</v>
      </c>
      <c r="M4038" t="s">
        <v>63</v>
      </c>
      <c r="N4038" t="s">
        <v>64</v>
      </c>
      <c r="P4038" t="s">
        <v>65</v>
      </c>
      <c r="R4038">
        <v>6.9</v>
      </c>
      <c r="T4038">
        <v>5.6</v>
      </c>
      <c r="V4038">
        <v>8.1</v>
      </c>
      <c r="W4038" t="s">
        <v>66</v>
      </c>
      <c r="X4038" t="s">
        <v>67</v>
      </c>
      <c r="Y4038" t="s">
        <v>67</v>
      </c>
      <c r="Z4038" t="s">
        <v>68</v>
      </c>
      <c r="AB4038">
        <v>4</v>
      </c>
      <c r="AC4038" t="s">
        <v>61</v>
      </c>
      <c r="AJ4038" t="s">
        <v>69</v>
      </c>
      <c r="AY4038" t="s">
        <v>718</v>
      </c>
      <c r="AZ4038">
        <v>10141</v>
      </c>
      <c r="BA4038" t="s">
        <v>719</v>
      </c>
      <c r="BB4038" t="s">
        <v>720</v>
      </c>
      <c r="BC4038">
        <v>1983</v>
      </c>
      <c r="BD4038" t="s">
        <v>721</v>
      </c>
    </row>
    <row r="4039" spans="1:56" x14ac:dyDescent="0.35">
      <c r="A4039">
        <v>19406510</v>
      </c>
      <c r="B4039" t="s">
        <v>2716</v>
      </c>
      <c r="D4039" t="s">
        <v>85</v>
      </c>
      <c r="E4039" t="s">
        <v>86</v>
      </c>
      <c r="F4039" t="s">
        <v>58</v>
      </c>
      <c r="G4039" t="s">
        <v>59</v>
      </c>
      <c r="H4039" t="s">
        <v>60</v>
      </c>
      <c r="J4039" t="s">
        <v>86</v>
      </c>
      <c r="L4039" t="s">
        <v>62</v>
      </c>
      <c r="M4039" t="s">
        <v>63</v>
      </c>
      <c r="N4039" t="s">
        <v>64</v>
      </c>
      <c r="P4039" t="s">
        <v>100</v>
      </c>
      <c r="T4039">
        <v>5</v>
      </c>
      <c r="V4039">
        <v>15</v>
      </c>
      <c r="W4039" t="s">
        <v>66</v>
      </c>
      <c r="X4039" t="s">
        <v>67</v>
      </c>
      <c r="Y4039" t="s">
        <v>67</v>
      </c>
      <c r="Z4039" t="s">
        <v>68</v>
      </c>
      <c r="AB4039">
        <v>4</v>
      </c>
      <c r="AC4039" t="s">
        <v>61</v>
      </c>
      <c r="AJ4039" t="s">
        <v>69</v>
      </c>
      <c r="AY4039" t="s">
        <v>715</v>
      </c>
      <c r="AZ4039">
        <v>5671</v>
      </c>
      <c r="BA4039" t="s">
        <v>716</v>
      </c>
      <c r="BB4039" t="s">
        <v>717</v>
      </c>
      <c r="BC4039">
        <v>1977</v>
      </c>
      <c r="BD4039" t="s">
        <v>90</v>
      </c>
    </row>
    <row r="4040" spans="1:56" x14ac:dyDescent="0.35">
      <c r="A4040">
        <v>19549985</v>
      </c>
      <c r="B4040" t="s">
        <v>2717</v>
      </c>
      <c r="D4040" t="s">
        <v>57</v>
      </c>
      <c r="E4040" t="s">
        <v>128</v>
      </c>
      <c r="F4040" t="s">
        <v>58</v>
      </c>
      <c r="G4040" t="s">
        <v>59</v>
      </c>
      <c r="H4040" t="s">
        <v>60</v>
      </c>
      <c r="I4040" t="s">
        <v>129</v>
      </c>
      <c r="J4040" t="s">
        <v>86</v>
      </c>
      <c r="K4040" t="s">
        <v>61</v>
      </c>
      <c r="L4040" t="s">
        <v>74</v>
      </c>
      <c r="M4040" t="s">
        <v>63</v>
      </c>
      <c r="N4040" t="s">
        <v>64</v>
      </c>
      <c r="P4040" t="s">
        <v>65</v>
      </c>
      <c r="R4040">
        <v>49</v>
      </c>
      <c r="T4040">
        <v>46.3</v>
      </c>
      <c r="V4040">
        <v>51.9</v>
      </c>
      <c r="W4040" t="s">
        <v>66</v>
      </c>
      <c r="X4040" t="s">
        <v>67</v>
      </c>
      <c r="Y4040" t="s">
        <v>67</v>
      </c>
      <c r="Z4040" t="s">
        <v>68</v>
      </c>
      <c r="AB4040">
        <v>4</v>
      </c>
      <c r="AC4040" t="s">
        <v>61</v>
      </c>
      <c r="AJ4040" t="s">
        <v>69</v>
      </c>
      <c r="AY4040" t="s">
        <v>541</v>
      </c>
      <c r="AZ4040">
        <v>2721</v>
      </c>
      <c r="BA4040" t="s">
        <v>542</v>
      </c>
      <c r="BB4040" t="s">
        <v>543</v>
      </c>
      <c r="BC4040">
        <v>1989</v>
      </c>
      <c r="BD4040" t="s">
        <v>544</v>
      </c>
    </row>
    <row r="4041" spans="1:56" x14ac:dyDescent="0.35">
      <c r="A4041">
        <v>19902046</v>
      </c>
      <c r="B4041" t="s">
        <v>2718</v>
      </c>
      <c r="D4041" t="s">
        <v>85</v>
      </c>
      <c r="E4041" t="s">
        <v>86</v>
      </c>
      <c r="F4041" t="s">
        <v>58</v>
      </c>
      <c r="G4041" t="s">
        <v>59</v>
      </c>
      <c r="H4041" t="s">
        <v>60</v>
      </c>
      <c r="J4041" t="s">
        <v>86</v>
      </c>
      <c r="L4041" t="s">
        <v>62</v>
      </c>
      <c r="M4041" t="s">
        <v>63</v>
      </c>
      <c r="N4041" t="s">
        <v>64</v>
      </c>
      <c r="P4041" t="s">
        <v>100</v>
      </c>
      <c r="R4041">
        <v>7.2999999999999995E-2</v>
      </c>
      <c r="T4041">
        <v>6.5299999999999997E-2</v>
      </c>
      <c r="V4041">
        <v>8.1500000000000003E-2</v>
      </c>
      <c r="W4041" t="s">
        <v>706</v>
      </c>
      <c r="X4041" t="s">
        <v>67</v>
      </c>
      <c r="Y4041" t="s">
        <v>67</v>
      </c>
      <c r="Z4041" t="s">
        <v>68</v>
      </c>
      <c r="AB4041">
        <v>4</v>
      </c>
      <c r="AC4041" t="s">
        <v>61</v>
      </c>
      <c r="AJ4041" t="s">
        <v>69</v>
      </c>
      <c r="AY4041" t="s">
        <v>2719</v>
      </c>
      <c r="AZ4041">
        <v>6917</v>
      </c>
      <c r="BA4041" t="s">
        <v>2720</v>
      </c>
      <c r="BB4041" t="s">
        <v>2721</v>
      </c>
      <c r="BC4041">
        <v>1979</v>
      </c>
      <c r="BD4041" t="s">
        <v>90</v>
      </c>
    </row>
    <row r="4042" spans="1:56" x14ac:dyDescent="0.35">
      <c r="A4042">
        <v>19902046</v>
      </c>
      <c r="B4042" t="s">
        <v>2718</v>
      </c>
      <c r="D4042" t="s">
        <v>85</v>
      </c>
      <c r="E4042" t="s">
        <v>86</v>
      </c>
      <c r="F4042" t="s">
        <v>58</v>
      </c>
      <c r="G4042" t="s">
        <v>59</v>
      </c>
      <c r="H4042" t="s">
        <v>60</v>
      </c>
      <c r="J4042" t="s">
        <v>86</v>
      </c>
      <c r="L4042" t="s">
        <v>62</v>
      </c>
      <c r="M4042" t="s">
        <v>63</v>
      </c>
      <c r="N4042" t="s">
        <v>64</v>
      </c>
      <c r="P4042" t="s">
        <v>100</v>
      </c>
      <c r="R4042">
        <v>0.13700000000000001</v>
      </c>
      <c r="T4042">
        <v>0.113</v>
      </c>
      <c r="V4042">
        <v>0.16600000000000001</v>
      </c>
      <c r="W4042" t="s">
        <v>706</v>
      </c>
      <c r="X4042" t="s">
        <v>67</v>
      </c>
      <c r="Y4042" t="s">
        <v>67</v>
      </c>
      <c r="Z4042" t="s">
        <v>68</v>
      </c>
      <c r="AB4042">
        <v>4</v>
      </c>
      <c r="AC4042" t="s">
        <v>61</v>
      </c>
      <c r="AJ4042" t="s">
        <v>69</v>
      </c>
      <c r="AY4042" t="s">
        <v>2719</v>
      </c>
      <c r="AZ4042">
        <v>6917</v>
      </c>
      <c r="BA4042" t="s">
        <v>2720</v>
      </c>
      <c r="BB4042" t="s">
        <v>2721</v>
      </c>
      <c r="BC4042">
        <v>1979</v>
      </c>
      <c r="BD4042" t="s">
        <v>90</v>
      </c>
    </row>
    <row r="4043" spans="1:56" x14ac:dyDescent="0.35">
      <c r="A4043">
        <v>19902046</v>
      </c>
      <c r="B4043" t="s">
        <v>2718</v>
      </c>
      <c r="D4043" t="s">
        <v>85</v>
      </c>
      <c r="E4043" t="s">
        <v>86</v>
      </c>
      <c r="F4043" t="s">
        <v>58</v>
      </c>
      <c r="G4043" t="s">
        <v>59</v>
      </c>
      <c r="H4043" t="s">
        <v>60</v>
      </c>
      <c r="J4043" t="s">
        <v>86</v>
      </c>
      <c r="L4043" t="s">
        <v>62</v>
      </c>
      <c r="M4043" t="s">
        <v>63</v>
      </c>
      <c r="N4043" t="s">
        <v>64</v>
      </c>
      <c r="P4043" t="s">
        <v>100</v>
      </c>
      <c r="R4043">
        <v>0.2</v>
      </c>
      <c r="T4043">
        <v>0.16400000000000001</v>
      </c>
      <c r="V4043">
        <v>0.24399999999999999</v>
      </c>
      <c r="W4043" t="s">
        <v>706</v>
      </c>
      <c r="X4043" t="s">
        <v>67</v>
      </c>
      <c r="Y4043" t="s">
        <v>67</v>
      </c>
      <c r="Z4043" t="s">
        <v>68</v>
      </c>
      <c r="AB4043">
        <v>4</v>
      </c>
      <c r="AC4043" t="s">
        <v>61</v>
      </c>
      <c r="AJ4043" t="s">
        <v>69</v>
      </c>
      <c r="AY4043" t="s">
        <v>2719</v>
      </c>
      <c r="AZ4043">
        <v>6917</v>
      </c>
      <c r="BA4043" t="s">
        <v>2720</v>
      </c>
      <c r="BB4043" t="s">
        <v>2721</v>
      </c>
      <c r="BC4043">
        <v>1979</v>
      </c>
      <c r="BD4043" t="s">
        <v>90</v>
      </c>
    </row>
    <row r="4044" spans="1:56" x14ac:dyDescent="0.35">
      <c r="A4044">
        <v>19902046</v>
      </c>
      <c r="B4044" t="s">
        <v>2718</v>
      </c>
      <c r="D4044" t="s">
        <v>85</v>
      </c>
      <c r="E4044" t="s">
        <v>86</v>
      </c>
      <c r="F4044" t="s">
        <v>58</v>
      </c>
      <c r="G4044" t="s">
        <v>59</v>
      </c>
      <c r="H4044" t="s">
        <v>60</v>
      </c>
      <c r="J4044" t="s">
        <v>86</v>
      </c>
      <c r="L4044" t="s">
        <v>62</v>
      </c>
      <c r="M4044" t="s">
        <v>63</v>
      </c>
      <c r="N4044" t="s">
        <v>64</v>
      </c>
      <c r="P4044" t="s">
        <v>100</v>
      </c>
      <c r="R4044">
        <v>0.32400000000000001</v>
      </c>
      <c r="T4044">
        <v>0.27400000000000002</v>
      </c>
      <c r="V4044">
        <v>0.38300000000000001</v>
      </c>
      <c r="W4044" t="s">
        <v>706</v>
      </c>
      <c r="X4044" t="s">
        <v>67</v>
      </c>
      <c r="Y4044" t="s">
        <v>67</v>
      </c>
      <c r="Z4044" t="s">
        <v>68</v>
      </c>
      <c r="AB4044">
        <v>4</v>
      </c>
      <c r="AC4044" t="s">
        <v>61</v>
      </c>
      <c r="AJ4044" t="s">
        <v>69</v>
      </c>
      <c r="AY4044" t="s">
        <v>2719</v>
      </c>
      <c r="AZ4044">
        <v>6917</v>
      </c>
      <c r="BA4044" t="s">
        <v>2720</v>
      </c>
      <c r="BB4044" t="s">
        <v>2721</v>
      </c>
      <c r="BC4044">
        <v>1979</v>
      </c>
      <c r="BD4044" t="s">
        <v>90</v>
      </c>
    </row>
    <row r="4045" spans="1:56" x14ac:dyDescent="0.35">
      <c r="A4045">
        <v>19902046</v>
      </c>
      <c r="B4045" t="s">
        <v>2718</v>
      </c>
      <c r="D4045" t="s">
        <v>85</v>
      </c>
      <c r="E4045" t="s">
        <v>86</v>
      </c>
      <c r="F4045" t="s">
        <v>58</v>
      </c>
      <c r="G4045" t="s">
        <v>59</v>
      </c>
      <c r="H4045" t="s">
        <v>60</v>
      </c>
      <c r="J4045" t="s">
        <v>86</v>
      </c>
      <c r="L4045" t="s">
        <v>62</v>
      </c>
      <c r="M4045" t="s">
        <v>63</v>
      </c>
      <c r="N4045" t="s">
        <v>64</v>
      </c>
      <c r="P4045" t="s">
        <v>100</v>
      </c>
      <c r="R4045">
        <v>0.15</v>
      </c>
      <c r="T4045">
        <v>0.126</v>
      </c>
      <c r="V4045">
        <v>0.17899999999999999</v>
      </c>
      <c r="W4045" t="s">
        <v>706</v>
      </c>
      <c r="X4045" t="s">
        <v>67</v>
      </c>
      <c r="Y4045" t="s">
        <v>67</v>
      </c>
      <c r="Z4045" t="s">
        <v>68</v>
      </c>
      <c r="AB4045">
        <v>4</v>
      </c>
      <c r="AC4045" t="s">
        <v>61</v>
      </c>
      <c r="AJ4045" t="s">
        <v>69</v>
      </c>
      <c r="AY4045" t="s">
        <v>2719</v>
      </c>
      <c r="AZ4045">
        <v>6917</v>
      </c>
      <c r="BA4045" t="s">
        <v>2720</v>
      </c>
      <c r="BB4045" t="s">
        <v>2721</v>
      </c>
      <c r="BC4045">
        <v>1979</v>
      </c>
      <c r="BD4045" t="s">
        <v>90</v>
      </c>
    </row>
    <row r="4046" spans="1:56" x14ac:dyDescent="0.35">
      <c r="A4046">
        <v>19902046</v>
      </c>
      <c r="B4046" t="s">
        <v>2718</v>
      </c>
      <c r="D4046" t="s">
        <v>85</v>
      </c>
      <c r="E4046" t="s">
        <v>86</v>
      </c>
      <c r="F4046" t="s">
        <v>58</v>
      </c>
      <c r="G4046" t="s">
        <v>59</v>
      </c>
      <c r="H4046" t="s">
        <v>60</v>
      </c>
      <c r="J4046" t="s">
        <v>86</v>
      </c>
      <c r="L4046" t="s">
        <v>62</v>
      </c>
      <c r="M4046" t="s">
        <v>63</v>
      </c>
      <c r="N4046" t="s">
        <v>64</v>
      </c>
      <c r="P4046" t="s">
        <v>100</v>
      </c>
      <c r="R4046">
        <v>0.54700000000000004</v>
      </c>
      <c r="T4046">
        <v>0.46100000000000002</v>
      </c>
      <c r="V4046">
        <v>0.64900000000000002</v>
      </c>
      <c r="W4046" t="s">
        <v>706</v>
      </c>
      <c r="X4046" t="s">
        <v>67</v>
      </c>
      <c r="Y4046" t="s">
        <v>67</v>
      </c>
      <c r="Z4046" t="s">
        <v>68</v>
      </c>
      <c r="AB4046">
        <v>4</v>
      </c>
      <c r="AC4046" t="s">
        <v>61</v>
      </c>
      <c r="AJ4046" t="s">
        <v>69</v>
      </c>
      <c r="AY4046" t="s">
        <v>2719</v>
      </c>
      <c r="AZ4046">
        <v>6917</v>
      </c>
      <c r="BA4046" t="s">
        <v>2720</v>
      </c>
      <c r="BB4046" t="s">
        <v>2721</v>
      </c>
      <c r="BC4046">
        <v>1979</v>
      </c>
      <c r="BD4046" t="s">
        <v>90</v>
      </c>
    </row>
    <row r="4047" spans="1:56" x14ac:dyDescent="0.35">
      <c r="A4047">
        <v>19902046</v>
      </c>
      <c r="B4047" t="s">
        <v>2718</v>
      </c>
      <c r="D4047" t="s">
        <v>85</v>
      </c>
      <c r="E4047" t="s">
        <v>86</v>
      </c>
      <c r="F4047" t="s">
        <v>58</v>
      </c>
      <c r="G4047" t="s">
        <v>59</v>
      </c>
      <c r="H4047" t="s">
        <v>60</v>
      </c>
      <c r="J4047" t="s">
        <v>86</v>
      </c>
      <c r="M4047" t="s">
        <v>63</v>
      </c>
      <c r="N4047" t="s">
        <v>64</v>
      </c>
      <c r="P4047" t="s">
        <v>100</v>
      </c>
      <c r="R4047">
        <v>0.30299999999999999</v>
      </c>
      <c r="T4047">
        <v>0.28299999999999997</v>
      </c>
      <c r="V4047">
        <v>0.32500000000000001</v>
      </c>
      <c r="W4047" t="s">
        <v>66</v>
      </c>
      <c r="X4047" t="s">
        <v>67</v>
      </c>
      <c r="Y4047" t="s">
        <v>67</v>
      </c>
      <c r="Z4047" t="s">
        <v>68</v>
      </c>
      <c r="AB4047">
        <v>4</v>
      </c>
      <c r="AC4047" t="s">
        <v>61</v>
      </c>
      <c r="AJ4047" t="s">
        <v>69</v>
      </c>
      <c r="AY4047" t="s">
        <v>2703</v>
      </c>
      <c r="AZ4047">
        <v>685</v>
      </c>
      <c r="BA4047" t="s">
        <v>2722</v>
      </c>
      <c r="BB4047" t="s">
        <v>2723</v>
      </c>
      <c r="BC4047">
        <v>1974</v>
      </c>
      <c r="BD4047" t="s">
        <v>90</v>
      </c>
    </row>
    <row r="4048" spans="1:56" x14ac:dyDescent="0.35">
      <c r="A4048">
        <v>19902046</v>
      </c>
      <c r="B4048" t="s">
        <v>2718</v>
      </c>
      <c r="D4048" t="s">
        <v>85</v>
      </c>
      <c r="E4048" t="s">
        <v>86</v>
      </c>
      <c r="F4048" t="s">
        <v>58</v>
      </c>
      <c r="G4048" t="s">
        <v>59</v>
      </c>
      <c r="H4048" t="s">
        <v>60</v>
      </c>
      <c r="J4048" t="s">
        <v>86</v>
      </c>
      <c r="L4048" t="s">
        <v>62</v>
      </c>
      <c r="M4048" t="s">
        <v>63</v>
      </c>
      <c r="N4048" t="s">
        <v>64</v>
      </c>
      <c r="P4048" t="s">
        <v>100</v>
      </c>
      <c r="R4048">
        <v>7.4999999999999997E-2</v>
      </c>
      <c r="T4048">
        <v>5.7299999999999997E-2</v>
      </c>
      <c r="V4048">
        <v>9.8199999999999996E-2</v>
      </c>
      <c r="W4048" t="s">
        <v>706</v>
      </c>
      <c r="X4048" t="s">
        <v>67</v>
      </c>
      <c r="Y4048" t="s">
        <v>67</v>
      </c>
      <c r="Z4048" t="s">
        <v>68</v>
      </c>
      <c r="AB4048">
        <v>4</v>
      </c>
      <c r="AC4048" t="s">
        <v>61</v>
      </c>
      <c r="AJ4048" t="s">
        <v>69</v>
      </c>
      <c r="AY4048" t="s">
        <v>2719</v>
      </c>
      <c r="AZ4048">
        <v>6917</v>
      </c>
      <c r="BA4048" t="s">
        <v>2720</v>
      </c>
      <c r="BB4048" t="s">
        <v>2721</v>
      </c>
      <c r="BC4048">
        <v>1979</v>
      </c>
      <c r="BD4048" t="s">
        <v>90</v>
      </c>
    </row>
    <row r="4049" spans="1:56" x14ac:dyDescent="0.35">
      <c r="A4049">
        <v>19902046</v>
      </c>
      <c r="B4049" t="s">
        <v>2718</v>
      </c>
      <c r="D4049" t="s">
        <v>85</v>
      </c>
      <c r="E4049" t="s">
        <v>86</v>
      </c>
      <c r="F4049" t="s">
        <v>58</v>
      </c>
      <c r="G4049" t="s">
        <v>59</v>
      </c>
      <c r="H4049" t="s">
        <v>60</v>
      </c>
      <c r="J4049" t="s">
        <v>86</v>
      </c>
      <c r="L4049" t="s">
        <v>62</v>
      </c>
      <c r="M4049" t="s">
        <v>63</v>
      </c>
      <c r="N4049" t="s">
        <v>64</v>
      </c>
      <c r="P4049" t="s">
        <v>100</v>
      </c>
      <c r="R4049">
        <v>0.1</v>
      </c>
      <c r="T4049">
        <v>7.8799999999999995E-2</v>
      </c>
      <c r="V4049">
        <v>0.126</v>
      </c>
      <c r="W4049" t="s">
        <v>706</v>
      </c>
      <c r="X4049" t="s">
        <v>67</v>
      </c>
      <c r="Y4049" t="s">
        <v>67</v>
      </c>
      <c r="Z4049" t="s">
        <v>68</v>
      </c>
      <c r="AB4049">
        <v>4</v>
      </c>
      <c r="AC4049" t="s">
        <v>61</v>
      </c>
      <c r="AJ4049" t="s">
        <v>69</v>
      </c>
      <c r="AY4049" t="s">
        <v>2719</v>
      </c>
      <c r="AZ4049">
        <v>6917</v>
      </c>
      <c r="BA4049" t="s">
        <v>2720</v>
      </c>
      <c r="BB4049" t="s">
        <v>2721</v>
      </c>
      <c r="BC4049">
        <v>1979</v>
      </c>
      <c r="BD4049" t="s">
        <v>90</v>
      </c>
    </row>
    <row r="4050" spans="1:56" x14ac:dyDescent="0.35">
      <c r="A4050">
        <v>20662844</v>
      </c>
      <c r="B4050" t="s">
        <v>2724</v>
      </c>
      <c r="D4050" t="s">
        <v>57</v>
      </c>
      <c r="E4050">
        <v>95</v>
      </c>
      <c r="F4050" t="s">
        <v>58</v>
      </c>
      <c r="G4050" t="s">
        <v>59</v>
      </c>
      <c r="H4050" t="s">
        <v>60</v>
      </c>
      <c r="J4050">
        <v>30</v>
      </c>
      <c r="K4050" t="s">
        <v>61</v>
      </c>
      <c r="L4050" t="s">
        <v>74</v>
      </c>
      <c r="M4050" t="s">
        <v>63</v>
      </c>
      <c r="N4050" t="s">
        <v>64</v>
      </c>
      <c r="P4050" t="s">
        <v>65</v>
      </c>
      <c r="R4050">
        <v>448</v>
      </c>
      <c r="W4050" t="s">
        <v>66</v>
      </c>
      <c r="X4050" t="s">
        <v>67</v>
      </c>
      <c r="Y4050" t="s">
        <v>67</v>
      </c>
      <c r="Z4050" t="s">
        <v>68</v>
      </c>
      <c r="AB4050">
        <v>4</v>
      </c>
      <c r="AC4050" t="s">
        <v>61</v>
      </c>
      <c r="AJ4050" t="s">
        <v>69</v>
      </c>
      <c r="AY4050" t="s">
        <v>286</v>
      </c>
      <c r="AZ4050">
        <v>12448</v>
      </c>
      <c r="BA4050" t="s">
        <v>287</v>
      </c>
      <c r="BB4050" t="s">
        <v>288</v>
      </c>
      <c r="BC4050">
        <v>1984</v>
      </c>
      <c r="BD4050" t="s">
        <v>73</v>
      </c>
    </row>
    <row r="4051" spans="1:56" x14ac:dyDescent="0.35">
      <c r="A4051">
        <v>21265509</v>
      </c>
      <c r="B4051" t="s">
        <v>2725</v>
      </c>
      <c r="D4051" t="s">
        <v>85</v>
      </c>
      <c r="E4051" t="s">
        <v>86</v>
      </c>
      <c r="F4051" t="s">
        <v>58</v>
      </c>
      <c r="G4051" t="s">
        <v>59</v>
      </c>
      <c r="H4051" t="s">
        <v>60</v>
      </c>
      <c r="J4051" t="s">
        <v>86</v>
      </c>
      <c r="L4051" t="s">
        <v>62</v>
      </c>
      <c r="M4051" t="s">
        <v>63</v>
      </c>
      <c r="N4051" t="s">
        <v>64</v>
      </c>
      <c r="O4051">
        <v>5</v>
      </c>
      <c r="P4051" t="s">
        <v>201</v>
      </c>
      <c r="R4051">
        <v>190</v>
      </c>
      <c r="W4051" t="s">
        <v>66</v>
      </c>
      <c r="X4051" t="s">
        <v>67</v>
      </c>
      <c r="Y4051" t="s">
        <v>67</v>
      </c>
      <c r="Z4051" t="s">
        <v>68</v>
      </c>
      <c r="AB4051">
        <v>4</v>
      </c>
      <c r="AC4051" t="s">
        <v>61</v>
      </c>
      <c r="AJ4051" t="s">
        <v>69</v>
      </c>
      <c r="AY4051" t="s">
        <v>173</v>
      </c>
      <c r="AZ4051">
        <v>167113</v>
      </c>
      <c r="BA4051" t="s">
        <v>174</v>
      </c>
      <c r="BB4051" t="s">
        <v>175</v>
      </c>
      <c r="BC4051">
        <v>1974</v>
      </c>
      <c r="BD4051" t="s">
        <v>90</v>
      </c>
    </row>
    <row r="4052" spans="1:56" x14ac:dyDescent="0.35">
      <c r="A4052">
        <v>21548732</v>
      </c>
      <c r="B4052" t="s">
        <v>2726</v>
      </c>
      <c r="D4052" t="s">
        <v>85</v>
      </c>
      <c r="E4052" t="s">
        <v>86</v>
      </c>
      <c r="F4052" t="s">
        <v>58</v>
      </c>
      <c r="G4052" t="s">
        <v>59</v>
      </c>
      <c r="H4052" t="s">
        <v>60</v>
      </c>
      <c r="J4052" t="s">
        <v>86</v>
      </c>
      <c r="L4052" t="s">
        <v>74</v>
      </c>
      <c r="M4052" t="s">
        <v>63</v>
      </c>
      <c r="N4052" t="s">
        <v>64</v>
      </c>
      <c r="P4052" t="s">
        <v>201</v>
      </c>
      <c r="Q4052" t="s">
        <v>153</v>
      </c>
      <c r="R4052">
        <v>240</v>
      </c>
      <c r="W4052" t="s">
        <v>66</v>
      </c>
      <c r="X4052" t="s">
        <v>67</v>
      </c>
      <c r="Y4052" t="s">
        <v>67</v>
      </c>
      <c r="Z4052" t="s">
        <v>68</v>
      </c>
      <c r="AB4052">
        <v>4</v>
      </c>
      <c r="AC4052" t="s">
        <v>61</v>
      </c>
      <c r="AJ4052" t="s">
        <v>69</v>
      </c>
      <c r="AY4052" t="s">
        <v>525</v>
      </c>
      <c r="AZ4052">
        <v>14379</v>
      </c>
      <c r="BA4052" t="s">
        <v>2363</v>
      </c>
      <c r="BB4052" t="s">
        <v>2364</v>
      </c>
      <c r="BC4052">
        <v>1979</v>
      </c>
      <c r="BD4052" t="s">
        <v>90</v>
      </c>
    </row>
    <row r="4053" spans="1:56" x14ac:dyDescent="0.35">
      <c r="A4053">
        <v>21548732</v>
      </c>
      <c r="B4053" t="s">
        <v>2726</v>
      </c>
      <c r="D4053" t="s">
        <v>85</v>
      </c>
      <c r="E4053" t="s">
        <v>86</v>
      </c>
      <c r="F4053" t="s">
        <v>58</v>
      </c>
      <c r="G4053" t="s">
        <v>59</v>
      </c>
      <c r="H4053" t="s">
        <v>60</v>
      </c>
      <c r="J4053" t="s">
        <v>86</v>
      </c>
      <c r="L4053" t="s">
        <v>74</v>
      </c>
      <c r="M4053" t="s">
        <v>63</v>
      </c>
      <c r="N4053" t="s">
        <v>64</v>
      </c>
      <c r="P4053" t="s">
        <v>201</v>
      </c>
      <c r="Q4053" t="s">
        <v>153</v>
      </c>
      <c r="R4053">
        <v>13</v>
      </c>
      <c r="W4053" t="s">
        <v>66</v>
      </c>
      <c r="X4053" t="s">
        <v>67</v>
      </c>
      <c r="Y4053" t="s">
        <v>67</v>
      </c>
      <c r="Z4053" t="s">
        <v>68</v>
      </c>
      <c r="AB4053">
        <v>4</v>
      </c>
      <c r="AC4053" t="s">
        <v>61</v>
      </c>
      <c r="AJ4053" t="s">
        <v>69</v>
      </c>
      <c r="AY4053" t="s">
        <v>525</v>
      </c>
      <c r="AZ4053">
        <v>14379</v>
      </c>
      <c r="BA4053" t="s">
        <v>2363</v>
      </c>
      <c r="BB4053" t="s">
        <v>2364</v>
      </c>
      <c r="BC4053">
        <v>1979</v>
      </c>
      <c r="BD4053" t="s">
        <v>90</v>
      </c>
    </row>
    <row r="4054" spans="1:56" x14ac:dyDescent="0.35">
      <c r="A4054">
        <v>21609905</v>
      </c>
      <c r="B4054" t="s">
        <v>2727</v>
      </c>
      <c r="E4054">
        <v>87.2</v>
      </c>
      <c r="F4054" t="s">
        <v>58</v>
      </c>
      <c r="G4054" t="s">
        <v>59</v>
      </c>
      <c r="H4054" t="s">
        <v>60</v>
      </c>
      <c r="J4054" t="s">
        <v>86</v>
      </c>
      <c r="L4054" t="s">
        <v>62</v>
      </c>
      <c r="M4054" t="s">
        <v>63</v>
      </c>
      <c r="N4054" t="s">
        <v>64</v>
      </c>
      <c r="P4054" t="s">
        <v>65</v>
      </c>
      <c r="Q4054" t="s">
        <v>153</v>
      </c>
      <c r="R4054">
        <v>30</v>
      </c>
      <c r="W4054" t="s">
        <v>66</v>
      </c>
      <c r="X4054" t="s">
        <v>67</v>
      </c>
      <c r="Y4054" t="s">
        <v>67</v>
      </c>
      <c r="Z4054" t="s">
        <v>68</v>
      </c>
      <c r="AB4054">
        <v>4</v>
      </c>
      <c r="AC4054" t="s">
        <v>61</v>
      </c>
      <c r="AJ4054" t="s">
        <v>69</v>
      </c>
      <c r="AY4054" t="s">
        <v>96</v>
      </c>
      <c r="AZ4054">
        <v>6797</v>
      </c>
      <c r="BA4054" t="s">
        <v>97</v>
      </c>
      <c r="BB4054" t="s">
        <v>98</v>
      </c>
      <c r="BC4054">
        <v>1986</v>
      </c>
      <c r="BD4054" t="s">
        <v>90</v>
      </c>
    </row>
    <row r="4055" spans="1:56" x14ac:dyDescent="0.35">
      <c r="A4055">
        <v>21725462</v>
      </c>
      <c r="B4055" t="s">
        <v>2728</v>
      </c>
      <c r="E4055">
        <v>80</v>
      </c>
      <c r="F4055" t="s">
        <v>58</v>
      </c>
      <c r="G4055" t="s">
        <v>59</v>
      </c>
      <c r="H4055" t="s">
        <v>60</v>
      </c>
      <c r="J4055" t="s">
        <v>86</v>
      </c>
      <c r="L4055" t="s">
        <v>62</v>
      </c>
      <c r="M4055" t="s">
        <v>63</v>
      </c>
      <c r="N4055" t="s">
        <v>64</v>
      </c>
      <c r="P4055" t="s">
        <v>65</v>
      </c>
      <c r="R4055">
        <v>19.399999999999999</v>
      </c>
      <c r="T4055">
        <v>15.7</v>
      </c>
      <c r="V4055">
        <v>24.1</v>
      </c>
      <c r="W4055" t="s">
        <v>66</v>
      </c>
      <c r="X4055" t="s">
        <v>67</v>
      </c>
      <c r="Y4055" t="s">
        <v>67</v>
      </c>
      <c r="Z4055" t="s">
        <v>68</v>
      </c>
      <c r="AB4055">
        <v>4</v>
      </c>
      <c r="AC4055" t="s">
        <v>61</v>
      </c>
      <c r="AJ4055" t="s">
        <v>69</v>
      </c>
      <c r="AY4055" t="s">
        <v>96</v>
      </c>
      <c r="AZ4055">
        <v>6797</v>
      </c>
      <c r="BA4055" t="s">
        <v>97</v>
      </c>
      <c r="BB4055" t="s">
        <v>98</v>
      </c>
      <c r="BC4055">
        <v>1986</v>
      </c>
      <c r="BD4055" t="s">
        <v>90</v>
      </c>
    </row>
    <row r="4056" spans="1:56" x14ac:dyDescent="0.35">
      <c r="A4056">
        <v>21725462</v>
      </c>
      <c r="B4056" t="s">
        <v>2728</v>
      </c>
      <c r="E4056">
        <v>48</v>
      </c>
      <c r="F4056" t="s">
        <v>58</v>
      </c>
      <c r="G4056" t="s">
        <v>59</v>
      </c>
      <c r="H4056" t="s">
        <v>60</v>
      </c>
      <c r="J4056" t="s">
        <v>86</v>
      </c>
      <c r="L4056" t="s">
        <v>62</v>
      </c>
      <c r="M4056" t="s">
        <v>63</v>
      </c>
      <c r="N4056" t="s">
        <v>64</v>
      </c>
      <c r="P4056" t="s">
        <v>65</v>
      </c>
      <c r="R4056">
        <v>17.5</v>
      </c>
      <c r="T4056">
        <v>15.7</v>
      </c>
      <c r="V4056">
        <v>19.7</v>
      </c>
      <c r="W4056" t="s">
        <v>66</v>
      </c>
      <c r="X4056" t="s">
        <v>67</v>
      </c>
      <c r="Y4056" t="s">
        <v>67</v>
      </c>
      <c r="Z4056" t="s">
        <v>68</v>
      </c>
      <c r="AB4056">
        <v>4</v>
      </c>
      <c r="AC4056" t="s">
        <v>61</v>
      </c>
      <c r="AJ4056" t="s">
        <v>69</v>
      </c>
      <c r="AY4056" t="s">
        <v>96</v>
      </c>
      <c r="AZ4056">
        <v>6797</v>
      </c>
      <c r="BA4056" t="s">
        <v>97</v>
      </c>
      <c r="BB4056" t="s">
        <v>98</v>
      </c>
      <c r="BC4056">
        <v>1986</v>
      </c>
      <c r="BD4056" t="s">
        <v>90</v>
      </c>
    </row>
    <row r="4057" spans="1:56" x14ac:dyDescent="0.35">
      <c r="A4057">
        <v>21725462</v>
      </c>
      <c r="B4057" t="s">
        <v>2728</v>
      </c>
      <c r="E4057">
        <v>80</v>
      </c>
      <c r="F4057" t="s">
        <v>58</v>
      </c>
      <c r="G4057" t="s">
        <v>59</v>
      </c>
      <c r="H4057" t="s">
        <v>60</v>
      </c>
      <c r="J4057" t="s">
        <v>86</v>
      </c>
      <c r="L4057" t="s">
        <v>62</v>
      </c>
      <c r="M4057" t="s">
        <v>63</v>
      </c>
      <c r="N4057" t="s">
        <v>64</v>
      </c>
      <c r="P4057" t="s">
        <v>65</v>
      </c>
      <c r="R4057">
        <v>21.3</v>
      </c>
      <c r="T4057">
        <v>16.5</v>
      </c>
      <c r="V4057">
        <v>27.4</v>
      </c>
      <c r="W4057" t="s">
        <v>66</v>
      </c>
      <c r="X4057" t="s">
        <v>67</v>
      </c>
      <c r="Y4057" t="s">
        <v>67</v>
      </c>
      <c r="Z4057" t="s">
        <v>68</v>
      </c>
      <c r="AB4057">
        <v>4</v>
      </c>
      <c r="AC4057" t="s">
        <v>61</v>
      </c>
      <c r="AJ4057" t="s">
        <v>69</v>
      </c>
      <c r="AY4057" t="s">
        <v>96</v>
      </c>
      <c r="AZ4057">
        <v>6797</v>
      </c>
      <c r="BA4057" t="s">
        <v>97</v>
      </c>
      <c r="BB4057" t="s">
        <v>98</v>
      </c>
      <c r="BC4057">
        <v>1986</v>
      </c>
      <c r="BD4057" t="s">
        <v>90</v>
      </c>
    </row>
    <row r="4058" spans="1:56" x14ac:dyDescent="0.35">
      <c r="A4058">
        <v>21725462</v>
      </c>
      <c r="B4058" t="s">
        <v>2728</v>
      </c>
      <c r="E4058">
        <v>100</v>
      </c>
      <c r="F4058" t="s">
        <v>58</v>
      </c>
      <c r="G4058" t="s">
        <v>59</v>
      </c>
      <c r="H4058" t="s">
        <v>60</v>
      </c>
      <c r="J4058" t="s">
        <v>86</v>
      </c>
      <c r="L4058" t="s">
        <v>62</v>
      </c>
      <c r="M4058" t="s">
        <v>63</v>
      </c>
      <c r="N4058" t="s">
        <v>64</v>
      </c>
      <c r="P4058" t="s">
        <v>65</v>
      </c>
      <c r="R4058">
        <v>16.3</v>
      </c>
      <c r="T4058">
        <v>14.2</v>
      </c>
      <c r="V4058">
        <v>18</v>
      </c>
      <c r="W4058" t="s">
        <v>66</v>
      </c>
      <c r="X4058" t="s">
        <v>67</v>
      </c>
      <c r="Y4058" t="s">
        <v>67</v>
      </c>
      <c r="Z4058" t="s">
        <v>68</v>
      </c>
      <c r="AB4058">
        <v>4</v>
      </c>
      <c r="AC4058" t="s">
        <v>61</v>
      </c>
      <c r="AJ4058" t="s">
        <v>69</v>
      </c>
      <c r="AY4058" t="s">
        <v>96</v>
      </c>
      <c r="AZ4058">
        <v>6797</v>
      </c>
      <c r="BA4058" t="s">
        <v>97</v>
      </c>
      <c r="BB4058" t="s">
        <v>98</v>
      </c>
      <c r="BC4058">
        <v>1986</v>
      </c>
      <c r="BD4058" t="s">
        <v>90</v>
      </c>
    </row>
    <row r="4059" spans="1:56" x14ac:dyDescent="0.35">
      <c r="A4059">
        <v>22037974</v>
      </c>
      <c r="B4059" t="s">
        <v>2729</v>
      </c>
      <c r="D4059" t="s">
        <v>57</v>
      </c>
      <c r="E4059" t="s">
        <v>86</v>
      </c>
      <c r="F4059" t="s">
        <v>58</v>
      </c>
      <c r="G4059" t="s">
        <v>59</v>
      </c>
      <c r="H4059" t="s">
        <v>60</v>
      </c>
      <c r="J4059">
        <v>32</v>
      </c>
      <c r="K4059" t="s">
        <v>61</v>
      </c>
      <c r="L4059" t="s">
        <v>74</v>
      </c>
      <c r="M4059" t="s">
        <v>63</v>
      </c>
      <c r="N4059" t="s">
        <v>64</v>
      </c>
      <c r="O4059">
        <v>6</v>
      </c>
      <c r="P4059" t="s">
        <v>65</v>
      </c>
      <c r="R4059">
        <v>7.52</v>
      </c>
      <c r="T4059">
        <v>6.48</v>
      </c>
      <c r="V4059">
        <v>8.7200000000000006</v>
      </c>
      <c r="W4059" t="s">
        <v>66</v>
      </c>
      <c r="X4059" t="s">
        <v>67</v>
      </c>
      <c r="Y4059" t="s">
        <v>67</v>
      </c>
      <c r="Z4059" t="s">
        <v>68</v>
      </c>
      <c r="AB4059">
        <v>4</v>
      </c>
      <c r="AC4059" t="s">
        <v>61</v>
      </c>
      <c r="AJ4059" t="s">
        <v>69</v>
      </c>
      <c r="AY4059" t="s">
        <v>141</v>
      </c>
      <c r="AZ4059">
        <v>12447</v>
      </c>
      <c r="BA4059" t="s">
        <v>142</v>
      </c>
      <c r="BB4059" t="s">
        <v>143</v>
      </c>
      <c r="BC4059">
        <v>1985</v>
      </c>
      <c r="BD4059" t="s">
        <v>73</v>
      </c>
    </row>
    <row r="4060" spans="1:56" x14ac:dyDescent="0.35">
      <c r="A4060">
        <v>22104627</v>
      </c>
      <c r="B4060" t="s">
        <v>2730</v>
      </c>
      <c r="D4060" t="s">
        <v>57</v>
      </c>
      <c r="E4060">
        <v>95</v>
      </c>
      <c r="F4060" t="s">
        <v>58</v>
      </c>
      <c r="G4060" t="s">
        <v>59</v>
      </c>
      <c r="H4060" t="s">
        <v>60</v>
      </c>
      <c r="J4060">
        <v>31</v>
      </c>
      <c r="K4060" t="s">
        <v>61</v>
      </c>
      <c r="L4060" t="s">
        <v>74</v>
      </c>
      <c r="M4060" t="s">
        <v>63</v>
      </c>
      <c r="N4060" t="s">
        <v>64</v>
      </c>
      <c r="P4060" t="s">
        <v>65</v>
      </c>
      <c r="R4060">
        <v>8.5</v>
      </c>
      <c r="T4060">
        <v>8.1999999999999993</v>
      </c>
      <c r="V4060">
        <v>8.8000000000000007</v>
      </c>
      <c r="W4060" t="s">
        <v>66</v>
      </c>
      <c r="X4060" t="s">
        <v>67</v>
      </c>
      <c r="Y4060" t="s">
        <v>67</v>
      </c>
      <c r="Z4060" t="s">
        <v>68</v>
      </c>
      <c r="AB4060">
        <v>4</v>
      </c>
      <c r="AC4060" t="s">
        <v>61</v>
      </c>
      <c r="AJ4060" t="s">
        <v>69</v>
      </c>
      <c r="AY4060" t="s">
        <v>286</v>
      </c>
      <c r="AZ4060">
        <v>12448</v>
      </c>
      <c r="BA4060" t="s">
        <v>287</v>
      </c>
      <c r="BB4060" t="s">
        <v>288</v>
      </c>
      <c r="BC4060">
        <v>1984</v>
      </c>
      <c r="BD4060" t="s">
        <v>73</v>
      </c>
    </row>
    <row r="4061" spans="1:56" x14ac:dyDescent="0.35">
      <c r="A4061">
        <v>22212551</v>
      </c>
      <c r="B4061" t="s">
        <v>2731</v>
      </c>
      <c r="D4061" t="s">
        <v>85</v>
      </c>
      <c r="E4061">
        <v>22</v>
      </c>
      <c r="F4061" t="s">
        <v>58</v>
      </c>
      <c r="G4061" t="s">
        <v>59</v>
      </c>
      <c r="H4061" t="s">
        <v>60</v>
      </c>
      <c r="J4061" t="s">
        <v>86</v>
      </c>
      <c r="L4061" t="s">
        <v>62</v>
      </c>
      <c r="M4061" t="s">
        <v>63</v>
      </c>
      <c r="N4061" t="s">
        <v>64</v>
      </c>
      <c r="P4061" t="s">
        <v>100</v>
      </c>
      <c r="R4061">
        <v>0.53900000000000003</v>
      </c>
      <c r="T4061">
        <v>0.33400000000000002</v>
      </c>
      <c r="V4061">
        <v>0.86899999999999999</v>
      </c>
      <c r="W4061" t="s">
        <v>66</v>
      </c>
      <c r="X4061" t="s">
        <v>67</v>
      </c>
      <c r="Y4061" t="s">
        <v>67</v>
      </c>
      <c r="Z4061" t="s">
        <v>68</v>
      </c>
      <c r="AB4061">
        <v>4</v>
      </c>
      <c r="AC4061" t="s">
        <v>61</v>
      </c>
      <c r="AJ4061" t="s">
        <v>69</v>
      </c>
      <c r="AY4061" t="s">
        <v>795</v>
      </c>
      <c r="AZ4061">
        <v>6615</v>
      </c>
      <c r="BA4061" t="s">
        <v>796</v>
      </c>
      <c r="BB4061" t="s">
        <v>797</v>
      </c>
      <c r="BC4061">
        <v>1970</v>
      </c>
      <c r="BD4061" t="s">
        <v>90</v>
      </c>
    </row>
    <row r="4062" spans="1:56" x14ac:dyDescent="0.35">
      <c r="A4062">
        <v>22212551</v>
      </c>
      <c r="B4062" t="s">
        <v>2731</v>
      </c>
      <c r="D4062" t="s">
        <v>85</v>
      </c>
      <c r="E4062">
        <v>100</v>
      </c>
      <c r="F4062" t="s">
        <v>58</v>
      </c>
      <c r="G4062" t="s">
        <v>59</v>
      </c>
      <c r="H4062" t="s">
        <v>60</v>
      </c>
      <c r="J4062" t="s">
        <v>86</v>
      </c>
      <c r="L4062" t="s">
        <v>62</v>
      </c>
      <c r="M4062" t="s">
        <v>63</v>
      </c>
      <c r="N4062" t="s">
        <v>64</v>
      </c>
      <c r="P4062" t="s">
        <v>65</v>
      </c>
      <c r="R4062">
        <v>0.95699999999999996</v>
      </c>
      <c r="T4062">
        <v>0.48099999999999998</v>
      </c>
      <c r="V4062">
        <v>2</v>
      </c>
      <c r="W4062" t="s">
        <v>66</v>
      </c>
      <c r="X4062" t="s">
        <v>67</v>
      </c>
      <c r="Y4062" t="s">
        <v>67</v>
      </c>
      <c r="Z4062" t="s">
        <v>68</v>
      </c>
      <c r="AB4062">
        <v>4</v>
      </c>
      <c r="AC4062" t="s">
        <v>61</v>
      </c>
      <c r="AJ4062" t="s">
        <v>69</v>
      </c>
      <c r="AY4062" t="s">
        <v>795</v>
      </c>
      <c r="AZ4062">
        <v>6615</v>
      </c>
      <c r="BA4062" t="s">
        <v>796</v>
      </c>
      <c r="BB4062" t="s">
        <v>797</v>
      </c>
      <c r="BC4062">
        <v>1970</v>
      </c>
      <c r="BD4062" t="s">
        <v>90</v>
      </c>
    </row>
    <row r="4063" spans="1:56" x14ac:dyDescent="0.35">
      <c r="A4063">
        <v>22212551</v>
      </c>
      <c r="B4063" t="s">
        <v>2731</v>
      </c>
      <c r="D4063" t="s">
        <v>85</v>
      </c>
      <c r="E4063">
        <v>18</v>
      </c>
      <c r="F4063" t="s">
        <v>58</v>
      </c>
      <c r="G4063" t="s">
        <v>59</v>
      </c>
      <c r="H4063" t="s">
        <v>60</v>
      </c>
      <c r="J4063" t="s">
        <v>86</v>
      </c>
      <c r="L4063" t="s">
        <v>62</v>
      </c>
      <c r="M4063" t="s">
        <v>63</v>
      </c>
      <c r="N4063" t="s">
        <v>64</v>
      </c>
      <c r="P4063" t="s">
        <v>100</v>
      </c>
      <c r="R4063">
        <v>0.56200000000000006</v>
      </c>
      <c r="T4063">
        <v>0.36899999999999999</v>
      </c>
      <c r="V4063">
        <v>0.86499999999999999</v>
      </c>
      <c r="W4063" t="s">
        <v>66</v>
      </c>
      <c r="X4063" t="s">
        <v>67</v>
      </c>
      <c r="Y4063" t="s">
        <v>67</v>
      </c>
      <c r="Z4063" t="s">
        <v>68</v>
      </c>
      <c r="AB4063">
        <v>4</v>
      </c>
      <c r="AC4063" t="s">
        <v>61</v>
      </c>
      <c r="AJ4063" t="s">
        <v>69</v>
      </c>
      <c r="AY4063" t="s">
        <v>795</v>
      </c>
      <c r="AZ4063">
        <v>6615</v>
      </c>
      <c r="BA4063" t="s">
        <v>796</v>
      </c>
      <c r="BB4063" t="s">
        <v>797</v>
      </c>
      <c r="BC4063">
        <v>1970</v>
      </c>
      <c r="BD4063" t="s">
        <v>90</v>
      </c>
    </row>
    <row r="4064" spans="1:56" x14ac:dyDescent="0.35">
      <c r="A4064">
        <v>22431625</v>
      </c>
      <c r="B4064" t="s">
        <v>2732</v>
      </c>
      <c r="E4064">
        <v>96</v>
      </c>
      <c r="F4064" t="s">
        <v>58</v>
      </c>
      <c r="G4064" t="s">
        <v>59</v>
      </c>
      <c r="H4064" t="s">
        <v>60</v>
      </c>
      <c r="I4064" t="s">
        <v>705</v>
      </c>
      <c r="J4064" t="s">
        <v>86</v>
      </c>
      <c r="L4064" t="s">
        <v>74</v>
      </c>
      <c r="M4064" t="s">
        <v>63</v>
      </c>
      <c r="N4064" t="s">
        <v>64</v>
      </c>
      <c r="P4064" t="s">
        <v>65</v>
      </c>
      <c r="R4064">
        <v>1.1999999999999999E-3</v>
      </c>
      <c r="T4064">
        <v>8.9999999999999998E-4</v>
      </c>
      <c r="V4064">
        <v>1.6000000000000001E-3</v>
      </c>
      <c r="W4064" t="s">
        <v>66</v>
      </c>
      <c r="X4064" t="s">
        <v>67</v>
      </c>
      <c r="Y4064" t="s">
        <v>67</v>
      </c>
      <c r="Z4064" t="s">
        <v>68</v>
      </c>
      <c r="AB4064">
        <v>4</v>
      </c>
      <c r="AC4064" t="s">
        <v>61</v>
      </c>
      <c r="AJ4064" t="s">
        <v>69</v>
      </c>
      <c r="AY4064" t="s">
        <v>96</v>
      </c>
      <c r="AZ4064">
        <v>6797</v>
      </c>
      <c r="BA4064" t="s">
        <v>97</v>
      </c>
      <c r="BB4064" t="s">
        <v>98</v>
      </c>
      <c r="BC4064">
        <v>1986</v>
      </c>
      <c r="BD4064" t="s">
        <v>90</v>
      </c>
    </row>
    <row r="4065" spans="1:56" x14ac:dyDescent="0.35">
      <c r="A4065">
        <v>22431625</v>
      </c>
      <c r="B4065" t="s">
        <v>2732</v>
      </c>
      <c r="E4065">
        <v>96</v>
      </c>
      <c r="F4065" t="s">
        <v>58</v>
      </c>
      <c r="G4065" t="s">
        <v>59</v>
      </c>
      <c r="H4065" t="s">
        <v>60</v>
      </c>
      <c r="J4065" t="s">
        <v>86</v>
      </c>
      <c r="L4065" t="s">
        <v>62</v>
      </c>
      <c r="M4065" t="s">
        <v>63</v>
      </c>
      <c r="N4065" t="s">
        <v>64</v>
      </c>
      <c r="P4065" t="s">
        <v>65</v>
      </c>
      <c r="R4065">
        <v>8.0000000000000004E-4</v>
      </c>
      <c r="T4065">
        <v>6.9999999999999999E-4</v>
      </c>
      <c r="V4065">
        <v>1E-3</v>
      </c>
      <c r="W4065" t="s">
        <v>66</v>
      </c>
      <c r="X4065" t="s">
        <v>67</v>
      </c>
      <c r="Y4065" t="s">
        <v>67</v>
      </c>
      <c r="Z4065" t="s">
        <v>68</v>
      </c>
      <c r="AB4065">
        <v>4</v>
      </c>
      <c r="AC4065" t="s">
        <v>61</v>
      </c>
      <c r="AJ4065" t="s">
        <v>69</v>
      </c>
      <c r="AY4065" t="s">
        <v>96</v>
      </c>
      <c r="AZ4065">
        <v>6797</v>
      </c>
      <c r="BA4065" t="s">
        <v>97</v>
      </c>
      <c r="BB4065" t="s">
        <v>98</v>
      </c>
      <c r="BC4065">
        <v>1986</v>
      </c>
      <c r="BD4065" t="s">
        <v>90</v>
      </c>
    </row>
    <row r="4066" spans="1:56" x14ac:dyDescent="0.35">
      <c r="A4066">
        <v>22726007</v>
      </c>
      <c r="B4066" t="s">
        <v>2733</v>
      </c>
      <c r="D4066" t="s">
        <v>57</v>
      </c>
      <c r="E4066" t="s">
        <v>2734</v>
      </c>
      <c r="F4066" t="s">
        <v>58</v>
      </c>
      <c r="G4066" t="s">
        <v>59</v>
      </c>
      <c r="H4066" t="s">
        <v>60</v>
      </c>
      <c r="J4066" t="s">
        <v>86</v>
      </c>
      <c r="K4066" t="s">
        <v>61</v>
      </c>
      <c r="L4066" t="s">
        <v>74</v>
      </c>
      <c r="M4066" t="s">
        <v>63</v>
      </c>
      <c r="N4066" t="s">
        <v>64</v>
      </c>
      <c r="O4066">
        <v>6</v>
      </c>
      <c r="P4066" t="s">
        <v>65</v>
      </c>
      <c r="R4066">
        <v>92.7</v>
      </c>
      <c r="W4066" t="s">
        <v>66</v>
      </c>
      <c r="X4066" t="s">
        <v>67</v>
      </c>
      <c r="Y4066" t="s">
        <v>67</v>
      </c>
      <c r="Z4066" t="s">
        <v>68</v>
      </c>
      <c r="AB4066">
        <v>4</v>
      </c>
      <c r="AC4066" t="s">
        <v>61</v>
      </c>
      <c r="AJ4066" t="s">
        <v>69</v>
      </c>
      <c r="AY4066" t="s">
        <v>141</v>
      </c>
      <c r="AZ4066">
        <v>12447</v>
      </c>
      <c r="BA4066" t="s">
        <v>142</v>
      </c>
      <c r="BB4066" t="s">
        <v>143</v>
      </c>
      <c r="BC4066">
        <v>1985</v>
      </c>
      <c r="BD4066" t="s">
        <v>760</v>
      </c>
    </row>
    <row r="4067" spans="1:56" x14ac:dyDescent="0.35">
      <c r="A4067">
        <v>22726007</v>
      </c>
      <c r="B4067" t="s">
        <v>2733</v>
      </c>
      <c r="D4067" t="s">
        <v>57</v>
      </c>
      <c r="E4067" t="s">
        <v>128</v>
      </c>
      <c r="F4067" t="s">
        <v>58</v>
      </c>
      <c r="G4067" t="s">
        <v>59</v>
      </c>
      <c r="H4067" t="s">
        <v>60</v>
      </c>
      <c r="I4067" t="s">
        <v>129</v>
      </c>
      <c r="J4067" t="s">
        <v>86</v>
      </c>
      <c r="K4067" t="s">
        <v>61</v>
      </c>
      <c r="L4067" t="s">
        <v>74</v>
      </c>
      <c r="M4067" t="s">
        <v>63</v>
      </c>
      <c r="N4067" t="s">
        <v>64</v>
      </c>
      <c r="P4067" t="s">
        <v>65</v>
      </c>
      <c r="R4067">
        <v>94.6</v>
      </c>
      <c r="W4067" t="s">
        <v>66</v>
      </c>
      <c r="X4067" t="s">
        <v>67</v>
      </c>
      <c r="Y4067" t="s">
        <v>67</v>
      </c>
      <c r="Z4067" t="s">
        <v>68</v>
      </c>
      <c r="AB4067">
        <v>4</v>
      </c>
      <c r="AC4067" t="s">
        <v>61</v>
      </c>
      <c r="AJ4067" t="s">
        <v>69</v>
      </c>
      <c r="AY4067" t="s">
        <v>134</v>
      </c>
      <c r="AZ4067">
        <v>15031</v>
      </c>
      <c r="BA4067" t="s">
        <v>135</v>
      </c>
      <c r="BB4067" t="s">
        <v>136</v>
      </c>
      <c r="BC4067">
        <v>1995</v>
      </c>
      <c r="BD4067" t="s">
        <v>133</v>
      </c>
    </row>
    <row r="4068" spans="1:56" x14ac:dyDescent="0.35">
      <c r="A4068">
        <v>22936863</v>
      </c>
      <c r="B4068" t="s">
        <v>2735</v>
      </c>
      <c r="E4068">
        <v>98.2</v>
      </c>
      <c r="F4068" t="s">
        <v>58</v>
      </c>
      <c r="G4068" t="s">
        <v>59</v>
      </c>
      <c r="H4068" t="s">
        <v>60</v>
      </c>
      <c r="J4068" t="s">
        <v>86</v>
      </c>
      <c r="L4068" t="s">
        <v>62</v>
      </c>
      <c r="M4068" t="s">
        <v>63</v>
      </c>
      <c r="N4068" t="s">
        <v>64</v>
      </c>
      <c r="P4068" t="s">
        <v>65</v>
      </c>
      <c r="R4068">
        <v>13.8</v>
      </c>
      <c r="T4068">
        <v>9.4700000000000006</v>
      </c>
      <c r="V4068">
        <v>20</v>
      </c>
      <c r="W4068" t="s">
        <v>66</v>
      </c>
      <c r="X4068" t="s">
        <v>67</v>
      </c>
      <c r="Y4068" t="s">
        <v>67</v>
      </c>
      <c r="Z4068" t="s">
        <v>68</v>
      </c>
      <c r="AB4068">
        <v>4</v>
      </c>
      <c r="AC4068" t="s">
        <v>61</v>
      </c>
      <c r="AJ4068" t="s">
        <v>69</v>
      </c>
      <c r="AY4068" t="s">
        <v>96</v>
      </c>
      <c r="AZ4068">
        <v>6797</v>
      </c>
      <c r="BA4068" t="s">
        <v>97</v>
      </c>
      <c r="BB4068" t="s">
        <v>98</v>
      </c>
      <c r="BC4068">
        <v>1986</v>
      </c>
      <c r="BD4068" t="s">
        <v>90</v>
      </c>
    </row>
    <row r="4069" spans="1:56" x14ac:dyDescent="0.35">
      <c r="A4069">
        <v>22936863</v>
      </c>
      <c r="B4069" t="s">
        <v>2735</v>
      </c>
      <c r="E4069">
        <v>12.8</v>
      </c>
      <c r="F4069" t="s">
        <v>58</v>
      </c>
      <c r="G4069" t="s">
        <v>59</v>
      </c>
      <c r="H4069" t="s">
        <v>60</v>
      </c>
      <c r="J4069" t="s">
        <v>86</v>
      </c>
      <c r="L4069" t="s">
        <v>62</v>
      </c>
      <c r="M4069" t="s">
        <v>63</v>
      </c>
      <c r="N4069" t="s">
        <v>64</v>
      </c>
      <c r="P4069" t="s">
        <v>65</v>
      </c>
      <c r="R4069">
        <v>0.94199999999999995</v>
      </c>
      <c r="T4069">
        <v>0.70299999999999996</v>
      </c>
      <c r="V4069">
        <v>1.026</v>
      </c>
      <c r="W4069" t="s">
        <v>66</v>
      </c>
      <c r="X4069" t="s">
        <v>67</v>
      </c>
      <c r="Y4069" t="s">
        <v>67</v>
      </c>
      <c r="Z4069" t="s">
        <v>68</v>
      </c>
      <c r="AB4069">
        <v>4</v>
      </c>
      <c r="AC4069" t="s">
        <v>61</v>
      </c>
      <c r="AJ4069" t="s">
        <v>69</v>
      </c>
      <c r="AY4069" t="s">
        <v>96</v>
      </c>
      <c r="AZ4069">
        <v>6797</v>
      </c>
      <c r="BA4069" t="s">
        <v>97</v>
      </c>
      <c r="BB4069" t="s">
        <v>98</v>
      </c>
      <c r="BC4069">
        <v>1986</v>
      </c>
      <c r="BD4069" t="s">
        <v>90</v>
      </c>
    </row>
    <row r="4070" spans="1:56" x14ac:dyDescent="0.35">
      <c r="A4070">
        <v>23060142</v>
      </c>
      <c r="B4070" t="s">
        <v>2736</v>
      </c>
      <c r="D4070" t="s">
        <v>85</v>
      </c>
      <c r="E4070" t="s">
        <v>86</v>
      </c>
      <c r="F4070" t="s">
        <v>58</v>
      </c>
      <c r="G4070" t="s">
        <v>59</v>
      </c>
      <c r="H4070" t="s">
        <v>60</v>
      </c>
      <c r="J4070" t="s">
        <v>86</v>
      </c>
      <c r="L4070" t="s">
        <v>62</v>
      </c>
      <c r="M4070" t="s">
        <v>63</v>
      </c>
      <c r="N4070" t="s">
        <v>64</v>
      </c>
      <c r="P4070" t="s">
        <v>100</v>
      </c>
      <c r="R4070">
        <v>35</v>
      </c>
      <c r="W4070" t="s">
        <v>66</v>
      </c>
      <c r="X4070" t="s">
        <v>67</v>
      </c>
      <c r="Y4070" t="s">
        <v>67</v>
      </c>
      <c r="Z4070" t="s">
        <v>68</v>
      </c>
      <c r="AB4070">
        <v>4</v>
      </c>
      <c r="AC4070" t="s">
        <v>61</v>
      </c>
      <c r="AJ4070" t="s">
        <v>69</v>
      </c>
      <c r="AY4070" t="s">
        <v>412</v>
      </c>
      <c r="AZ4070">
        <v>901</v>
      </c>
      <c r="BA4070" t="s">
        <v>413</v>
      </c>
      <c r="BB4070" t="s">
        <v>414</v>
      </c>
      <c r="BC4070">
        <v>1969</v>
      </c>
      <c r="BD4070" t="s">
        <v>90</v>
      </c>
    </row>
    <row r="4071" spans="1:56" x14ac:dyDescent="0.35">
      <c r="A4071">
        <v>23103982</v>
      </c>
      <c r="B4071" t="s">
        <v>2737</v>
      </c>
      <c r="E4071">
        <v>98.9</v>
      </c>
      <c r="F4071" t="s">
        <v>58</v>
      </c>
      <c r="G4071" t="s">
        <v>59</v>
      </c>
      <c r="H4071" t="s">
        <v>60</v>
      </c>
      <c r="J4071" t="s">
        <v>86</v>
      </c>
      <c r="L4071" t="s">
        <v>62</v>
      </c>
      <c r="M4071" t="s">
        <v>63</v>
      </c>
      <c r="N4071" t="s">
        <v>64</v>
      </c>
      <c r="P4071" t="s">
        <v>65</v>
      </c>
      <c r="Q4071" t="s">
        <v>153</v>
      </c>
      <c r="R4071">
        <v>101</v>
      </c>
      <c r="W4071" t="s">
        <v>66</v>
      </c>
      <c r="X4071" t="s">
        <v>67</v>
      </c>
      <c r="Y4071" t="s">
        <v>67</v>
      </c>
      <c r="Z4071" t="s">
        <v>68</v>
      </c>
      <c r="AB4071">
        <v>4</v>
      </c>
      <c r="AC4071" t="s">
        <v>61</v>
      </c>
      <c r="AJ4071" t="s">
        <v>69</v>
      </c>
      <c r="AY4071" t="s">
        <v>116</v>
      </c>
      <c r="AZ4071">
        <v>344</v>
      </c>
      <c r="BA4071" t="s">
        <v>117</v>
      </c>
      <c r="BB4071" t="s">
        <v>118</v>
      </c>
      <c r="BC4071">
        <v>1992</v>
      </c>
      <c r="BD4071" t="s">
        <v>90</v>
      </c>
    </row>
    <row r="4072" spans="1:56" x14ac:dyDescent="0.35">
      <c r="A4072">
        <v>23135220</v>
      </c>
      <c r="B4072" t="s">
        <v>2738</v>
      </c>
      <c r="D4072" t="s">
        <v>57</v>
      </c>
      <c r="E4072">
        <v>98</v>
      </c>
      <c r="F4072" t="s">
        <v>58</v>
      </c>
      <c r="G4072" t="s">
        <v>59</v>
      </c>
      <c r="H4072" t="s">
        <v>60</v>
      </c>
      <c r="J4072" t="s">
        <v>86</v>
      </c>
      <c r="K4072" t="s">
        <v>61</v>
      </c>
      <c r="L4072" t="s">
        <v>74</v>
      </c>
      <c r="M4072" t="s">
        <v>63</v>
      </c>
      <c r="N4072" t="s">
        <v>64</v>
      </c>
      <c r="O4072">
        <v>6</v>
      </c>
      <c r="P4072" t="s">
        <v>65</v>
      </c>
      <c r="R4072">
        <v>5.48</v>
      </c>
      <c r="T4072">
        <v>4.91</v>
      </c>
      <c r="V4072">
        <v>6.12</v>
      </c>
      <c r="W4072" t="s">
        <v>66</v>
      </c>
      <c r="X4072" t="s">
        <v>67</v>
      </c>
      <c r="Y4072" t="s">
        <v>67</v>
      </c>
      <c r="Z4072" t="s">
        <v>68</v>
      </c>
      <c r="AB4072">
        <v>4</v>
      </c>
      <c r="AC4072" t="s">
        <v>61</v>
      </c>
      <c r="AJ4072" t="s">
        <v>69</v>
      </c>
      <c r="AY4072" t="s">
        <v>120</v>
      </c>
      <c r="AZ4072">
        <v>14097</v>
      </c>
      <c r="BA4072" t="s">
        <v>121</v>
      </c>
      <c r="BB4072" t="s">
        <v>122</v>
      </c>
      <c r="BC4072">
        <v>1989</v>
      </c>
      <c r="BD4072" t="s">
        <v>123</v>
      </c>
    </row>
    <row r="4073" spans="1:56" x14ac:dyDescent="0.35">
      <c r="A4073">
        <v>23135220</v>
      </c>
      <c r="B4073" t="s">
        <v>2738</v>
      </c>
      <c r="D4073" t="s">
        <v>57</v>
      </c>
      <c r="E4073">
        <v>98</v>
      </c>
      <c r="F4073" t="s">
        <v>58</v>
      </c>
      <c r="G4073" t="s">
        <v>59</v>
      </c>
      <c r="H4073" t="s">
        <v>60</v>
      </c>
      <c r="J4073">
        <v>30</v>
      </c>
      <c r="K4073" t="s">
        <v>61</v>
      </c>
      <c r="L4073" t="s">
        <v>74</v>
      </c>
      <c r="M4073" t="s">
        <v>63</v>
      </c>
      <c r="N4073" t="s">
        <v>64</v>
      </c>
      <c r="P4073" t="s">
        <v>65</v>
      </c>
      <c r="R4073">
        <v>8.3000000000000007</v>
      </c>
      <c r="T4073">
        <v>7.13</v>
      </c>
      <c r="V4073">
        <v>9.66</v>
      </c>
      <c r="W4073" t="s">
        <v>66</v>
      </c>
      <c r="X4073" t="s">
        <v>67</v>
      </c>
      <c r="Y4073" t="s">
        <v>67</v>
      </c>
      <c r="Z4073" t="s">
        <v>68</v>
      </c>
      <c r="AB4073">
        <v>4</v>
      </c>
      <c r="AC4073" t="s">
        <v>61</v>
      </c>
      <c r="AJ4073" t="s">
        <v>69</v>
      </c>
      <c r="AY4073" t="s">
        <v>75</v>
      </c>
      <c r="AZ4073">
        <v>3217</v>
      </c>
      <c r="BA4073" t="s">
        <v>76</v>
      </c>
      <c r="BB4073" t="s">
        <v>77</v>
      </c>
      <c r="BC4073">
        <v>1990</v>
      </c>
      <c r="BD4073" t="s">
        <v>73</v>
      </c>
    </row>
    <row r="4074" spans="1:56" x14ac:dyDescent="0.35">
      <c r="A4074">
        <v>23149522</v>
      </c>
      <c r="B4074" t="s">
        <v>2739</v>
      </c>
      <c r="D4074" t="s">
        <v>85</v>
      </c>
      <c r="E4074" t="s">
        <v>86</v>
      </c>
      <c r="F4074" t="s">
        <v>58</v>
      </c>
      <c r="G4074" t="s">
        <v>59</v>
      </c>
      <c r="H4074" t="s">
        <v>60</v>
      </c>
      <c r="J4074" t="s">
        <v>86</v>
      </c>
      <c r="L4074" t="s">
        <v>74</v>
      </c>
      <c r="M4074" t="s">
        <v>63</v>
      </c>
      <c r="N4074" t="s">
        <v>64</v>
      </c>
      <c r="P4074" t="s">
        <v>201</v>
      </c>
      <c r="Q4074" t="s">
        <v>153</v>
      </c>
      <c r="R4074">
        <v>280</v>
      </c>
      <c r="W4074" t="s">
        <v>66</v>
      </c>
      <c r="X4074" t="s">
        <v>67</v>
      </c>
      <c r="Y4074" t="s">
        <v>67</v>
      </c>
      <c r="Z4074" t="s">
        <v>68</v>
      </c>
      <c r="AB4074">
        <v>4</v>
      </c>
      <c r="AC4074" t="s">
        <v>61</v>
      </c>
      <c r="AJ4074" t="s">
        <v>69</v>
      </c>
      <c r="AY4074" t="s">
        <v>525</v>
      </c>
      <c r="AZ4074">
        <v>14379</v>
      </c>
      <c r="BA4074" t="s">
        <v>2363</v>
      </c>
      <c r="BB4074" t="s">
        <v>2364</v>
      </c>
      <c r="BC4074">
        <v>1979</v>
      </c>
      <c r="BD4074" t="s">
        <v>90</v>
      </c>
    </row>
    <row r="4075" spans="1:56" x14ac:dyDescent="0.35">
      <c r="A4075">
        <v>23149522</v>
      </c>
      <c r="B4075" t="s">
        <v>2739</v>
      </c>
      <c r="D4075" t="s">
        <v>57</v>
      </c>
      <c r="E4075" t="s">
        <v>86</v>
      </c>
      <c r="F4075" t="s">
        <v>58</v>
      </c>
      <c r="G4075" t="s">
        <v>59</v>
      </c>
      <c r="H4075" t="s">
        <v>60</v>
      </c>
      <c r="J4075" t="s">
        <v>86</v>
      </c>
      <c r="K4075" t="s">
        <v>184</v>
      </c>
      <c r="L4075" t="s">
        <v>62</v>
      </c>
      <c r="M4075" t="s">
        <v>63</v>
      </c>
      <c r="N4075" t="s">
        <v>64</v>
      </c>
      <c r="P4075" t="s">
        <v>201</v>
      </c>
      <c r="Q4075" t="s">
        <v>153</v>
      </c>
      <c r="R4075">
        <v>1.93</v>
      </c>
      <c r="W4075" t="s">
        <v>66</v>
      </c>
      <c r="X4075" t="s">
        <v>67</v>
      </c>
      <c r="Y4075" t="s">
        <v>67</v>
      </c>
      <c r="Z4075" t="s">
        <v>68</v>
      </c>
      <c r="AB4075">
        <v>4</v>
      </c>
      <c r="AC4075" t="s">
        <v>61</v>
      </c>
      <c r="AJ4075" t="s">
        <v>69</v>
      </c>
      <c r="AY4075" t="s">
        <v>2356</v>
      </c>
      <c r="AZ4075">
        <v>17981</v>
      </c>
      <c r="BA4075" t="s">
        <v>2357</v>
      </c>
      <c r="BB4075" t="s">
        <v>2358</v>
      </c>
      <c r="BC4075">
        <v>1997</v>
      </c>
      <c r="BD4075" t="s">
        <v>283</v>
      </c>
    </row>
    <row r="4076" spans="1:56" x14ac:dyDescent="0.35">
      <c r="A4076">
        <v>23184669</v>
      </c>
      <c r="B4076" t="s">
        <v>2740</v>
      </c>
      <c r="D4076" t="s">
        <v>57</v>
      </c>
      <c r="E4076">
        <v>97.7</v>
      </c>
      <c r="F4076" t="s">
        <v>58</v>
      </c>
      <c r="G4076" t="s">
        <v>59</v>
      </c>
      <c r="H4076" t="s">
        <v>60</v>
      </c>
      <c r="J4076">
        <v>30</v>
      </c>
      <c r="K4076" t="s">
        <v>61</v>
      </c>
      <c r="L4076" t="s">
        <v>74</v>
      </c>
      <c r="M4076" t="s">
        <v>63</v>
      </c>
      <c r="N4076" t="s">
        <v>64</v>
      </c>
      <c r="P4076" t="s">
        <v>65</v>
      </c>
      <c r="R4076">
        <v>0.28000000000000003</v>
      </c>
      <c r="T4076">
        <v>0.23</v>
      </c>
      <c r="V4076">
        <v>0.33</v>
      </c>
      <c r="W4076" t="s">
        <v>66</v>
      </c>
      <c r="X4076" t="s">
        <v>67</v>
      </c>
      <c r="Y4076" t="s">
        <v>67</v>
      </c>
      <c r="Z4076" t="s">
        <v>68</v>
      </c>
      <c r="AB4076">
        <v>4</v>
      </c>
      <c r="AC4076" t="s">
        <v>61</v>
      </c>
      <c r="AJ4076" t="s">
        <v>69</v>
      </c>
      <c r="AY4076" t="s">
        <v>309</v>
      </c>
      <c r="AZ4076">
        <v>17138</v>
      </c>
      <c r="BA4076" t="s">
        <v>310</v>
      </c>
      <c r="BB4076" t="s">
        <v>311</v>
      </c>
      <c r="BC4076">
        <v>1991</v>
      </c>
      <c r="BD4076" t="s">
        <v>73</v>
      </c>
    </row>
    <row r="4077" spans="1:56" x14ac:dyDescent="0.35">
      <c r="A4077">
        <v>23184669</v>
      </c>
      <c r="B4077" t="s">
        <v>2740</v>
      </c>
      <c r="D4077" t="s">
        <v>57</v>
      </c>
      <c r="E4077">
        <v>97.7</v>
      </c>
      <c r="F4077" t="s">
        <v>58</v>
      </c>
      <c r="G4077" t="s">
        <v>59</v>
      </c>
      <c r="H4077" t="s">
        <v>60</v>
      </c>
      <c r="J4077">
        <v>30</v>
      </c>
      <c r="K4077" t="s">
        <v>61</v>
      </c>
      <c r="L4077" t="s">
        <v>62</v>
      </c>
      <c r="M4077" t="s">
        <v>63</v>
      </c>
      <c r="N4077" t="s">
        <v>64</v>
      </c>
      <c r="P4077" t="s">
        <v>65</v>
      </c>
      <c r="R4077">
        <v>0.64</v>
      </c>
      <c r="T4077">
        <v>0.53</v>
      </c>
      <c r="V4077">
        <v>0.79</v>
      </c>
      <c r="W4077" t="s">
        <v>66</v>
      </c>
      <c r="X4077" t="s">
        <v>67</v>
      </c>
      <c r="Y4077" t="s">
        <v>67</v>
      </c>
      <c r="Z4077" t="s">
        <v>68</v>
      </c>
      <c r="AB4077">
        <v>4</v>
      </c>
      <c r="AC4077" t="s">
        <v>61</v>
      </c>
      <c r="AJ4077" t="s">
        <v>69</v>
      </c>
      <c r="AY4077" t="s">
        <v>309</v>
      </c>
      <c r="AZ4077">
        <v>17138</v>
      </c>
      <c r="BA4077" t="s">
        <v>310</v>
      </c>
      <c r="BB4077" t="s">
        <v>311</v>
      </c>
      <c r="BC4077">
        <v>1991</v>
      </c>
      <c r="BD4077" t="s">
        <v>73</v>
      </c>
    </row>
    <row r="4078" spans="1:56" x14ac:dyDescent="0.35">
      <c r="A4078">
        <v>23184669</v>
      </c>
      <c r="B4078" t="s">
        <v>2740</v>
      </c>
      <c r="D4078" t="s">
        <v>85</v>
      </c>
      <c r="E4078">
        <v>97.7</v>
      </c>
      <c r="F4078" t="s">
        <v>58</v>
      </c>
      <c r="G4078" t="s">
        <v>59</v>
      </c>
      <c r="H4078" t="s">
        <v>60</v>
      </c>
      <c r="J4078">
        <v>30</v>
      </c>
      <c r="K4078" t="s">
        <v>61</v>
      </c>
      <c r="L4078" t="s">
        <v>62</v>
      </c>
      <c r="M4078" t="s">
        <v>63</v>
      </c>
      <c r="N4078" t="s">
        <v>64</v>
      </c>
      <c r="P4078" t="s">
        <v>65</v>
      </c>
      <c r="R4078">
        <v>0.75</v>
      </c>
      <c r="T4078">
        <v>0.61</v>
      </c>
      <c r="V4078">
        <v>0.92</v>
      </c>
      <c r="W4078" t="s">
        <v>66</v>
      </c>
      <c r="X4078" t="s">
        <v>67</v>
      </c>
      <c r="Y4078" t="s">
        <v>67</v>
      </c>
      <c r="Z4078" t="s">
        <v>68</v>
      </c>
      <c r="AB4078">
        <v>4</v>
      </c>
      <c r="AC4078" t="s">
        <v>61</v>
      </c>
      <c r="AJ4078" t="s">
        <v>69</v>
      </c>
      <c r="AY4078" t="s">
        <v>309</v>
      </c>
      <c r="AZ4078">
        <v>17138</v>
      </c>
      <c r="BA4078" t="s">
        <v>310</v>
      </c>
      <c r="BB4078" t="s">
        <v>311</v>
      </c>
      <c r="BC4078">
        <v>1991</v>
      </c>
      <c r="BD4078" t="s">
        <v>73</v>
      </c>
    </row>
    <row r="4079" spans="1:56" x14ac:dyDescent="0.35">
      <c r="A4079">
        <v>23184669</v>
      </c>
      <c r="B4079" t="s">
        <v>2740</v>
      </c>
      <c r="D4079" t="s">
        <v>57</v>
      </c>
      <c r="E4079">
        <v>97.7</v>
      </c>
      <c r="F4079" t="s">
        <v>58</v>
      </c>
      <c r="G4079" t="s">
        <v>59</v>
      </c>
      <c r="H4079" t="s">
        <v>60</v>
      </c>
      <c r="J4079">
        <v>30</v>
      </c>
      <c r="K4079" t="s">
        <v>61</v>
      </c>
      <c r="L4079" t="s">
        <v>62</v>
      </c>
      <c r="M4079" t="s">
        <v>63</v>
      </c>
      <c r="N4079" t="s">
        <v>64</v>
      </c>
      <c r="P4079" t="s">
        <v>65</v>
      </c>
      <c r="R4079">
        <v>0.75</v>
      </c>
      <c r="T4079">
        <v>0.62</v>
      </c>
      <c r="V4079">
        <v>0.9</v>
      </c>
      <c r="W4079" t="s">
        <v>66</v>
      </c>
      <c r="X4079" t="s">
        <v>67</v>
      </c>
      <c r="Y4079" t="s">
        <v>67</v>
      </c>
      <c r="Z4079" t="s">
        <v>68</v>
      </c>
      <c r="AB4079">
        <v>4</v>
      </c>
      <c r="AC4079" t="s">
        <v>61</v>
      </c>
      <c r="AJ4079" t="s">
        <v>69</v>
      </c>
      <c r="AY4079" t="s">
        <v>309</v>
      </c>
      <c r="AZ4079">
        <v>17138</v>
      </c>
      <c r="BA4079" t="s">
        <v>310</v>
      </c>
      <c r="BB4079" t="s">
        <v>311</v>
      </c>
      <c r="BC4079">
        <v>1991</v>
      </c>
      <c r="BD4079" t="s">
        <v>73</v>
      </c>
    </row>
    <row r="4080" spans="1:56" x14ac:dyDescent="0.35">
      <c r="A4080">
        <v>24544045</v>
      </c>
      <c r="B4080" t="s">
        <v>2741</v>
      </c>
      <c r="D4080" t="s">
        <v>57</v>
      </c>
      <c r="E4080">
        <v>95</v>
      </c>
      <c r="F4080" t="s">
        <v>58</v>
      </c>
      <c r="G4080" t="s">
        <v>59</v>
      </c>
      <c r="H4080" t="s">
        <v>60</v>
      </c>
      <c r="J4080">
        <v>31</v>
      </c>
      <c r="K4080" t="s">
        <v>61</v>
      </c>
      <c r="L4080" t="s">
        <v>74</v>
      </c>
      <c r="M4080" t="s">
        <v>63</v>
      </c>
      <c r="N4080" t="s">
        <v>64</v>
      </c>
      <c r="P4080" t="s">
        <v>65</v>
      </c>
      <c r="R4080">
        <v>16.5</v>
      </c>
      <c r="T4080">
        <v>15</v>
      </c>
      <c r="V4080">
        <v>18</v>
      </c>
      <c r="W4080" t="s">
        <v>66</v>
      </c>
      <c r="X4080" t="s">
        <v>67</v>
      </c>
      <c r="Y4080" t="s">
        <v>67</v>
      </c>
      <c r="Z4080" t="s">
        <v>68</v>
      </c>
      <c r="AB4080">
        <v>4</v>
      </c>
      <c r="AC4080" t="s">
        <v>61</v>
      </c>
      <c r="AJ4080" t="s">
        <v>69</v>
      </c>
      <c r="AY4080" t="s">
        <v>263</v>
      </c>
      <c r="AZ4080">
        <v>12858</v>
      </c>
      <c r="BA4080" t="s">
        <v>264</v>
      </c>
      <c r="BB4080" t="s">
        <v>265</v>
      </c>
      <c r="BC4080">
        <v>1986</v>
      </c>
      <c r="BD4080" t="s">
        <v>73</v>
      </c>
    </row>
    <row r="4081" spans="1:56" x14ac:dyDescent="0.35">
      <c r="A4081">
        <v>24544045</v>
      </c>
      <c r="B4081" t="s">
        <v>2741</v>
      </c>
      <c r="D4081" t="s">
        <v>57</v>
      </c>
      <c r="E4081" t="s">
        <v>128</v>
      </c>
      <c r="F4081" t="s">
        <v>58</v>
      </c>
      <c r="G4081" t="s">
        <v>59</v>
      </c>
      <c r="H4081" t="s">
        <v>60</v>
      </c>
      <c r="I4081" t="s">
        <v>129</v>
      </c>
      <c r="J4081" t="s">
        <v>86</v>
      </c>
      <c r="K4081" t="s">
        <v>61</v>
      </c>
      <c r="L4081" t="s">
        <v>74</v>
      </c>
      <c r="M4081" t="s">
        <v>63</v>
      </c>
      <c r="N4081" t="s">
        <v>64</v>
      </c>
      <c r="P4081" t="s">
        <v>65</v>
      </c>
      <c r="R4081">
        <v>14.2</v>
      </c>
      <c r="W4081" t="s">
        <v>66</v>
      </c>
      <c r="X4081" t="s">
        <v>67</v>
      </c>
      <c r="Y4081" t="s">
        <v>67</v>
      </c>
      <c r="Z4081" t="s">
        <v>68</v>
      </c>
      <c r="AB4081">
        <v>4</v>
      </c>
      <c r="AC4081" t="s">
        <v>61</v>
      </c>
      <c r="AJ4081" t="s">
        <v>69</v>
      </c>
      <c r="AY4081" t="s">
        <v>134</v>
      </c>
      <c r="AZ4081">
        <v>15031</v>
      </c>
      <c r="BA4081" t="s">
        <v>135</v>
      </c>
      <c r="BB4081" t="s">
        <v>136</v>
      </c>
      <c r="BC4081">
        <v>1995</v>
      </c>
      <c r="BD4081" t="s">
        <v>133</v>
      </c>
    </row>
    <row r="4082" spans="1:56" x14ac:dyDescent="0.35">
      <c r="A4082">
        <v>24544045</v>
      </c>
      <c r="B4082" t="s">
        <v>2741</v>
      </c>
      <c r="D4082" t="s">
        <v>57</v>
      </c>
      <c r="E4082">
        <v>95</v>
      </c>
      <c r="F4082" t="s">
        <v>58</v>
      </c>
      <c r="G4082" t="s">
        <v>59</v>
      </c>
      <c r="H4082" t="s">
        <v>60</v>
      </c>
      <c r="J4082">
        <v>28</v>
      </c>
      <c r="K4082" t="s">
        <v>61</v>
      </c>
      <c r="L4082" t="s">
        <v>74</v>
      </c>
      <c r="M4082" t="s">
        <v>63</v>
      </c>
      <c r="N4082" t="s">
        <v>64</v>
      </c>
      <c r="P4082" t="s">
        <v>65</v>
      </c>
      <c r="R4082">
        <v>14.2</v>
      </c>
      <c r="W4082" t="s">
        <v>66</v>
      </c>
      <c r="X4082" t="s">
        <v>67</v>
      </c>
      <c r="Y4082" t="s">
        <v>67</v>
      </c>
      <c r="Z4082" t="s">
        <v>68</v>
      </c>
      <c r="AB4082">
        <v>4</v>
      </c>
      <c r="AC4082" t="s">
        <v>61</v>
      </c>
      <c r="AJ4082" t="s">
        <v>69</v>
      </c>
      <c r="AY4082" t="s">
        <v>286</v>
      </c>
      <c r="AZ4082">
        <v>12448</v>
      </c>
      <c r="BA4082" t="s">
        <v>287</v>
      </c>
      <c r="BB4082" t="s">
        <v>288</v>
      </c>
      <c r="BC4082">
        <v>1984</v>
      </c>
      <c r="BD4082" t="s">
        <v>73</v>
      </c>
    </row>
    <row r="4083" spans="1:56" x14ac:dyDescent="0.35">
      <c r="A4083">
        <v>25154523</v>
      </c>
      <c r="B4083" t="s">
        <v>2742</v>
      </c>
      <c r="D4083" t="s">
        <v>57</v>
      </c>
      <c r="E4083">
        <v>91</v>
      </c>
      <c r="F4083" t="s">
        <v>58</v>
      </c>
      <c r="G4083" t="s">
        <v>59</v>
      </c>
      <c r="H4083" t="s">
        <v>60</v>
      </c>
      <c r="J4083" t="s">
        <v>86</v>
      </c>
      <c r="K4083" t="s">
        <v>61</v>
      </c>
      <c r="L4083" t="s">
        <v>74</v>
      </c>
      <c r="M4083" t="s">
        <v>63</v>
      </c>
      <c r="N4083" t="s">
        <v>64</v>
      </c>
      <c r="P4083" t="s">
        <v>65</v>
      </c>
      <c r="R4083">
        <v>0.13500000000000001</v>
      </c>
      <c r="T4083">
        <v>9.8000000000000004E-2</v>
      </c>
      <c r="V4083">
        <v>0.187</v>
      </c>
      <c r="W4083" t="s">
        <v>66</v>
      </c>
      <c r="X4083" t="s">
        <v>67</v>
      </c>
      <c r="Y4083" t="s">
        <v>67</v>
      </c>
      <c r="Z4083" t="s">
        <v>68</v>
      </c>
      <c r="AB4083">
        <v>4</v>
      </c>
      <c r="AC4083" t="s">
        <v>61</v>
      </c>
      <c r="AJ4083" t="s">
        <v>69</v>
      </c>
      <c r="AY4083" t="s">
        <v>258</v>
      </c>
      <c r="AZ4083">
        <v>10954</v>
      </c>
      <c r="BA4083" t="s">
        <v>259</v>
      </c>
      <c r="BB4083" t="s">
        <v>260</v>
      </c>
      <c r="BC4083">
        <v>1984</v>
      </c>
      <c r="BD4083" t="s">
        <v>261</v>
      </c>
    </row>
    <row r="4084" spans="1:56" x14ac:dyDescent="0.35">
      <c r="A4084">
        <v>25154523</v>
      </c>
      <c r="B4084" t="s">
        <v>2742</v>
      </c>
      <c r="C4084" t="s">
        <v>91</v>
      </c>
      <c r="D4084" t="s">
        <v>57</v>
      </c>
      <c r="E4084">
        <v>90</v>
      </c>
      <c r="F4084" t="s">
        <v>58</v>
      </c>
      <c r="G4084" t="s">
        <v>59</v>
      </c>
      <c r="H4084" t="s">
        <v>60</v>
      </c>
      <c r="I4084" t="s">
        <v>177</v>
      </c>
      <c r="J4084" t="s">
        <v>86</v>
      </c>
      <c r="L4084" t="s">
        <v>74</v>
      </c>
      <c r="M4084" t="s">
        <v>63</v>
      </c>
      <c r="N4084" t="s">
        <v>64</v>
      </c>
      <c r="P4084" t="s">
        <v>65</v>
      </c>
      <c r="R4084">
        <v>0.128</v>
      </c>
      <c r="T4084">
        <v>0.11600000000000001</v>
      </c>
      <c r="V4084">
        <v>0.14099999999999999</v>
      </c>
      <c r="W4084" t="s">
        <v>66</v>
      </c>
      <c r="X4084" t="s">
        <v>67</v>
      </c>
      <c r="Y4084" t="s">
        <v>67</v>
      </c>
      <c r="Z4084" t="s">
        <v>68</v>
      </c>
      <c r="AB4084">
        <v>4</v>
      </c>
      <c r="AC4084" t="s">
        <v>61</v>
      </c>
      <c r="AJ4084" t="s">
        <v>69</v>
      </c>
      <c r="AY4084" t="s">
        <v>309</v>
      </c>
      <c r="AZ4084">
        <v>20506</v>
      </c>
      <c r="BA4084" t="s">
        <v>2743</v>
      </c>
      <c r="BB4084" t="s">
        <v>2744</v>
      </c>
      <c r="BC4084">
        <v>1993</v>
      </c>
      <c r="BD4084" t="s">
        <v>90</v>
      </c>
    </row>
    <row r="4085" spans="1:56" x14ac:dyDescent="0.35">
      <c r="A4085">
        <v>25155300</v>
      </c>
      <c r="B4085" t="s">
        <v>2745</v>
      </c>
      <c r="E4085" t="s">
        <v>86</v>
      </c>
      <c r="F4085" t="s">
        <v>58</v>
      </c>
      <c r="G4085" t="s">
        <v>59</v>
      </c>
      <c r="H4085" t="s">
        <v>60</v>
      </c>
      <c r="I4085" t="s">
        <v>188</v>
      </c>
      <c r="J4085" t="s">
        <v>86</v>
      </c>
      <c r="L4085" t="s">
        <v>74</v>
      </c>
      <c r="M4085" t="s">
        <v>63</v>
      </c>
      <c r="N4085" t="s">
        <v>64</v>
      </c>
      <c r="P4085" t="s">
        <v>100</v>
      </c>
      <c r="R4085">
        <v>3.4</v>
      </c>
      <c r="W4085" t="s">
        <v>66</v>
      </c>
      <c r="X4085" t="s">
        <v>67</v>
      </c>
      <c r="Y4085" t="s">
        <v>67</v>
      </c>
      <c r="Z4085" t="s">
        <v>68</v>
      </c>
      <c r="AB4085">
        <v>4</v>
      </c>
      <c r="AC4085" t="s">
        <v>61</v>
      </c>
      <c r="AJ4085" t="s">
        <v>69</v>
      </c>
      <c r="AY4085" t="s">
        <v>116</v>
      </c>
      <c r="AZ4085">
        <v>344</v>
      </c>
      <c r="BA4085" t="s">
        <v>117</v>
      </c>
      <c r="BB4085" t="s">
        <v>118</v>
      </c>
      <c r="BC4085">
        <v>1992</v>
      </c>
      <c r="BD4085" t="s">
        <v>90</v>
      </c>
    </row>
    <row r="4086" spans="1:56" x14ac:dyDescent="0.35">
      <c r="A4086">
        <v>25167833</v>
      </c>
      <c r="B4086" t="s">
        <v>2746</v>
      </c>
      <c r="E4086">
        <v>74</v>
      </c>
      <c r="F4086" t="s">
        <v>58</v>
      </c>
      <c r="G4086" t="s">
        <v>59</v>
      </c>
      <c r="H4086" t="s">
        <v>60</v>
      </c>
      <c r="J4086" t="s">
        <v>86</v>
      </c>
      <c r="L4086" t="s">
        <v>62</v>
      </c>
      <c r="M4086" t="s">
        <v>63</v>
      </c>
      <c r="N4086" t="s">
        <v>64</v>
      </c>
      <c r="P4086" t="s">
        <v>65</v>
      </c>
      <c r="R4086">
        <v>0.17</v>
      </c>
      <c r="T4086">
        <v>0.12</v>
      </c>
      <c r="V4086">
        <v>0.23</v>
      </c>
      <c r="W4086" t="s">
        <v>66</v>
      </c>
      <c r="X4086" t="s">
        <v>67</v>
      </c>
      <c r="Y4086" t="s">
        <v>67</v>
      </c>
      <c r="Z4086" t="s">
        <v>68</v>
      </c>
      <c r="AB4086">
        <v>4</v>
      </c>
      <c r="AC4086" t="s">
        <v>61</v>
      </c>
      <c r="AJ4086" t="s">
        <v>69</v>
      </c>
      <c r="AY4086" t="s">
        <v>96</v>
      </c>
      <c r="AZ4086">
        <v>6797</v>
      </c>
      <c r="BA4086" t="s">
        <v>97</v>
      </c>
      <c r="BB4086" t="s">
        <v>98</v>
      </c>
      <c r="BC4086">
        <v>1986</v>
      </c>
      <c r="BD4086" t="s">
        <v>90</v>
      </c>
    </row>
    <row r="4087" spans="1:56" x14ac:dyDescent="0.35">
      <c r="A4087">
        <v>25338516</v>
      </c>
      <c r="B4087" t="s">
        <v>2747</v>
      </c>
      <c r="D4087" t="s">
        <v>57</v>
      </c>
      <c r="E4087" t="s">
        <v>1796</v>
      </c>
      <c r="F4087" t="s">
        <v>58</v>
      </c>
      <c r="G4087" t="s">
        <v>59</v>
      </c>
      <c r="H4087" t="s">
        <v>60</v>
      </c>
      <c r="J4087">
        <v>32</v>
      </c>
      <c r="K4087" t="s">
        <v>61</v>
      </c>
      <c r="L4087" t="s">
        <v>74</v>
      </c>
      <c r="M4087" t="s">
        <v>63</v>
      </c>
      <c r="N4087" t="s">
        <v>64</v>
      </c>
      <c r="O4087">
        <v>6</v>
      </c>
      <c r="P4087" t="s">
        <v>65</v>
      </c>
      <c r="R4087">
        <v>0.495</v>
      </c>
      <c r="W4087" t="s">
        <v>66</v>
      </c>
      <c r="X4087" t="s">
        <v>67</v>
      </c>
      <c r="Y4087" t="s">
        <v>67</v>
      </c>
      <c r="Z4087" t="s">
        <v>68</v>
      </c>
      <c r="AB4087">
        <v>4</v>
      </c>
      <c r="AC4087" t="s">
        <v>61</v>
      </c>
      <c r="AJ4087" t="s">
        <v>69</v>
      </c>
      <c r="AY4087" t="s">
        <v>141</v>
      </c>
      <c r="AZ4087">
        <v>12447</v>
      </c>
      <c r="BA4087" t="s">
        <v>142</v>
      </c>
      <c r="BB4087" t="s">
        <v>143</v>
      </c>
      <c r="BC4087">
        <v>1985</v>
      </c>
      <c r="BD4087" t="s">
        <v>73</v>
      </c>
    </row>
    <row r="4088" spans="1:56" x14ac:dyDescent="0.35">
      <c r="A4088">
        <v>25474413</v>
      </c>
      <c r="B4088" t="s">
        <v>2748</v>
      </c>
      <c r="E4088">
        <v>46</v>
      </c>
      <c r="F4088" t="s">
        <v>58</v>
      </c>
      <c r="G4088" t="s">
        <v>59</v>
      </c>
      <c r="H4088" t="s">
        <v>60</v>
      </c>
      <c r="J4088" t="s">
        <v>86</v>
      </c>
      <c r="L4088" t="s">
        <v>62</v>
      </c>
      <c r="M4088" t="s">
        <v>63</v>
      </c>
      <c r="N4088" t="s">
        <v>64</v>
      </c>
      <c r="P4088" t="s">
        <v>65</v>
      </c>
      <c r="R4088">
        <v>6.0999999999999999E-2</v>
      </c>
      <c r="T4088">
        <v>4.2000000000000003E-2</v>
      </c>
      <c r="V4088">
        <v>8.7999999999999995E-2</v>
      </c>
      <c r="W4088" t="s">
        <v>66</v>
      </c>
      <c r="X4088" t="s">
        <v>67</v>
      </c>
      <c r="Y4088" t="s">
        <v>67</v>
      </c>
      <c r="Z4088" t="s">
        <v>68</v>
      </c>
      <c r="AB4088">
        <v>4</v>
      </c>
      <c r="AC4088" t="s">
        <v>61</v>
      </c>
      <c r="AJ4088" t="s">
        <v>69</v>
      </c>
      <c r="AY4088" t="s">
        <v>96</v>
      </c>
      <c r="AZ4088">
        <v>6797</v>
      </c>
      <c r="BA4088" t="s">
        <v>97</v>
      </c>
      <c r="BB4088" t="s">
        <v>98</v>
      </c>
      <c r="BC4088">
        <v>1986</v>
      </c>
      <c r="BD4088" t="s">
        <v>90</v>
      </c>
    </row>
    <row r="4089" spans="1:56" x14ac:dyDescent="0.35">
      <c r="A4089">
        <v>25474413</v>
      </c>
      <c r="B4089" t="s">
        <v>2748</v>
      </c>
      <c r="E4089">
        <v>22.9</v>
      </c>
      <c r="F4089" t="s">
        <v>58</v>
      </c>
      <c r="G4089" t="s">
        <v>59</v>
      </c>
      <c r="H4089" t="s">
        <v>60</v>
      </c>
      <c r="J4089" t="s">
        <v>86</v>
      </c>
      <c r="L4089" t="s">
        <v>62</v>
      </c>
      <c r="M4089" t="s">
        <v>63</v>
      </c>
      <c r="N4089" t="s">
        <v>64</v>
      </c>
      <c r="P4089" t="s">
        <v>65</v>
      </c>
      <c r="R4089">
        <v>2.5000000000000001E-2</v>
      </c>
      <c r="T4089">
        <v>1.4999999999999999E-2</v>
      </c>
      <c r="V4089">
        <v>4.2000000000000003E-2</v>
      </c>
      <c r="W4089" t="s">
        <v>66</v>
      </c>
      <c r="X4089" t="s">
        <v>67</v>
      </c>
      <c r="Y4089" t="s">
        <v>67</v>
      </c>
      <c r="Z4089" t="s">
        <v>68</v>
      </c>
      <c r="AB4089">
        <v>4</v>
      </c>
      <c r="AC4089" t="s">
        <v>61</v>
      </c>
      <c r="AJ4089" t="s">
        <v>69</v>
      </c>
      <c r="AY4089" t="s">
        <v>96</v>
      </c>
      <c r="AZ4089">
        <v>6797</v>
      </c>
      <c r="BA4089" t="s">
        <v>97</v>
      </c>
      <c r="BB4089" t="s">
        <v>98</v>
      </c>
      <c r="BC4089">
        <v>1986</v>
      </c>
      <c r="BD4089" t="s">
        <v>90</v>
      </c>
    </row>
    <row r="4090" spans="1:56" x14ac:dyDescent="0.35">
      <c r="A4090">
        <v>25646713</v>
      </c>
      <c r="B4090" t="s">
        <v>2749</v>
      </c>
      <c r="D4090" t="s">
        <v>85</v>
      </c>
      <c r="E4090" t="s">
        <v>86</v>
      </c>
      <c r="F4090" t="s">
        <v>58</v>
      </c>
      <c r="G4090" t="s">
        <v>59</v>
      </c>
      <c r="H4090" t="s">
        <v>60</v>
      </c>
      <c r="J4090" t="s">
        <v>86</v>
      </c>
      <c r="L4090" t="s">
        <v>62</v>
      </c>
      <c r="M4090" t="s">
        <v>63</v>
      </c>
      <c r="N4090" t="s">
        <v>64</v>
      </c>
      <c r="O4090">
        <v>6</v>
      </c>
      <c r="P4090" t="s">
        <v>100</v>
      </c>
      <c r="T4090">
        <v>3.6</v>
      </c>
      <c r="V4090">
        <v>11.2</v>
      </c>
      <c r="W4090" t="s">
        <v>66</v>
      </c>
      <c r="X4090" t="s">
        <v>67</v>
      </c>
      <c r="Y4090" t="s">
        <v>67</v>
      </c>
      <c r="Z4090" t="s">
        <v>68</v>
      </c>
      <c r="AB4090">
        <v>4</v>
      </c>
      <c r="AC4090" t="s">
        <v>61</v>
      </c>
      <c r="AJ4090" t="s">
        <v>69</v>
      </c>
      <c r="AY4090" t="s">
        <v>173</v>
      </c>
      <c r="AZ4090">
        <v>167113</v>
      </c>
      <c r="BA4090" t="s">
        <v>174</v>
      </c>
      <c r="BB4090" t="s">
        <v>175</v>
      </c>
      <c r="BC4090">
        <v>1974</v>
      </c>
      <c r="BD4090" t="s">
        <v>90</v>
      </c>
    </row>
    <row r="4091" spans="1:56" x14ac:dyDescent="0.35">
      <c r="A4091">
        <v>25646713</v>
      </c>
      <c r="B4091" t="s">
        <v>2749</v>
      </c>
      <c r="D4091" t="s">
        <v>85</v>
      </c>
      <c r="E4091" t="s">
        <v>86</v>
      </c>
      <c r="F4091" t="s">
        <v>58</v>
      </c>
      <c r="G4091" t="s">
        <v>59</v>
      </c>
      <c r="H4091" t="s">
        <v>60</v>
      </c>
      <c r="J4091" t="s">
        <v>86</v>
      </c>
      <c r="L4091" t="s">
        <v>62</v>
      </c>
      <c r="M4091" t="s">
        <v>63</v>
      </c>
      <c r="N4091" t="s">
        <v>64</v>
      </c>
      <c r="P4091" t="s">
        <v>100</v>
      </c>
      <c r="R4091">
        <v>6.4</v>
      </c>
      <c r="W4091" t="s">
        <v>66</v>
      </c>
      <c r="X4091" t="s">
        <v>67</v>
      </c>
      <c r="Y4091" t="s">
        <v>67</v>
      </c>
      <c r="Z4091" t="s">
        <v>68</v>
      </c>
      <c r="AB4091">
        <v>4</v>
      </c>
      <c r="AC4091" t="s">
        <v>61</v>
      </c>
      <c r="AJ4091" t="s">
        <v>69</v>
      </c>
      <c r="AY4091" t="s">
        <v>173</v>
      </c>
      <c r="AZ4091">
        <v>167113</v>
      </c>
      <c r="BA4091" t="s">
        <v>174</v>
      </c>
      <c r="BB4091" t="s">
        <v>175</v>
      </c>
      <c r="BC4091">
        <v>1974</v>
      </c>
      <c r="BD4091" t="s">
        <v>90</v>
      </c>
    </row>
    <row r="4092" spans="1:56" x14ac:dyDescent="0.35">
      <c r="A4092">
        <v>25646779</v>
      </c>
      <c r="B4092" t="s">
        <v>2750</v>
      </c>
      <c r="D4092" t="s">
        <v>85</v>
      </c>
      <c r="E4092" t="s">
        <v>86</v>
      </c>
      <c r="F4092" t="s">
        <v>58</v>
      </c>
      <c r="G4092" t="s">
        <v>59</v>
      </c>
      <c r="H4092" t="s">
        <v>60</v>
      </c>
      <c r="J4092" t="s">
        <v>86</v>
      </c>
      <c r="L4092" t="s">
        <v>62</v>
      </c>
      <c r="M4092" t="s">
        <v>63</v>
      </c>
      <c r="N4092" t="s">
        <v>64</v>
      </c>
      <c r="O4092">
        <v>6</v>
      </c>
      <c r="P4092" t="s">
        <v>100</v>
      </c>
      <c r="T4092">
        <v>0.56000000000000005</v>
      </c>
      <c r="V4092">
        <v>1</v>
      </c>
      <c r="W4092" t="s">
        <v>66</v>
      </c>
      <c r="X4092" t="s">
        <v>67</v>
      </c>
      <c r="Y4092" t="s">
        <v>67</v>
      </c>
      <c r="Z4092" t="s">
        <v>68</v>
      </c>
      <c r="AB4092">
        <v>4</v>
      </c>
      <c r="AC4092" t="s">
        <v>61</v>
      </c>
      <c r="AJ4092" t="s">
        <v>69</v>
      </c>
      <c r="AY4092" t="s">
        <v>173</v>
      </c>
      <c r="AZ4092">
        <v>167113</v>
      </c>
      <c r="BA4092" t="s">
        <v>174</v>
      </c>
      <c r="BB4092" t="s">
        <v>175</v>
      </c>
      <c r="BC4092">
        <v>1974</v>
      </c>
      <c r="BD4092" t="s">
        <v>90</v>
      </c>
    </row>
    <row r="4093" spans="1:56" x14ac:dyDescent="0.35">
      <c r="A4093">
        <v>25646779</v>
      </c>
      <c r="B4093" t="s">
        <v>2750</v>
      </c>
      <c r="D4093" t="s">
        <v>85</v>
      </c>
      <c r="E4093" t="s">
        <v>86</v>
      </c>
      <c r="F4093" t="s">
        <v>58</v>
      </c>
      <c r="G4093" t="s">
        <v>59</v>
      </c>
      <c r="H4093" t="s">
        <v>60</v>
      </c>
      <c r="J4093" t="s">
        <v>86</v>
      </c>
      <c r="L4093" t="s">
        <v>62</v>
      </c>
      <c r="M4093" t="s">
        <v>63</v>
      </c>
      <c r="N4093" t="s">
        <v>64</v>
      </c>
      <c r="O4093">
        <v>6</v>
      </c>
      <c r="P4093" t="s">
        <v>100</v>
      </c>
      <c r="Q4093" t="s">
        <v>435</v>
      </c>
      <c r="R4093">
        <v>2</v>
      </c>
      <c r="W4093" t="s">
        <v>66</v>
      </c>
      <c r="X4093" t="s">
        <v>67</v>
      </c>
      <c r="Y4093" t="s">
        <v>67</v>
      </c>
      <c r="Z4093" t="s">
        <v>68</v>
      </c>
      <c r="AB4093">
        <v>4</v>
      </c>
      <c r="AC4093" t="s">
        <v>61</v>
      </c>
      <c r="AJ4093" t="s">
        <v>69</v>
      </c>
      <c r="AY4093" t="s">
        <v>173</v>
      </c>
      <c r="AZ4093">
        <v>167113</v>
      </c>
      <c r="BA4093" t="s">
        <v>174</v>
      </c>
      <c r="BB4093" t="s">
        <v>175</v>
      </c>
      <c r="BC4093">
        <v>1974</v>
      </c>
      <c r="BD4093" t="s">
        <v>90</v>
      </c>
    </row>
    <row r="4094" spans="1:56" x14ac:dyDescent="0.35">
      <c r="A4094">
        <v>25646779</v>
      </c>
      <c r="B4094" t="s">
        <v>2750</v>
      </c>
      <c r="D4094" t="s">
        <v>85</v>
      </c>
      <c r="E4094" t="s">
        <v>86</v>
      </c>
      <c r="F4094" t="s">
        <v>58</v>
      </c>
      <c r="G4094" t="s">
        <v>59</v>
      </c>
      <c r="H4094" t="s">
        <v>60</v>
      </c>
      <c r="J4094" t="s">
        <v>86</v>
      </c>
      <c r="L4094" t="s">
        <v>62</v>
      </c>
      <c r="M4094" t="s">
        <v>63</v>
      </c>
      <c r="N4094" t="s">
        <v>64</v>
      </c>
      <c r="O4094">
        <v>5</v>
      </c>
      <c r="P4094" t="s">
        <v>100</v>
      </c>
      <c r="T4094">
        <v>0.56000000000000005</v>
      </c>
      <c r="V4094">
        <v>1</v>
      </c>
      <c r="W4094" t="s">
        <v>66</v>
      </c>
      <c r="X4094" t="s">
        <v>67</v>
      </c>
      <c r="Y4094" t="s">
        <v>67</v>
      </c>
      <c r="Z4094" t="s">
        <v>68</v>
      </c>
      <c r="AB4094">
        <v>4</v>
      </c>
      <c r="AC4094" t="s">
        <v>61</v>
      </c>
      <c r="AJ4094" t="s">
        <v>69</v>
      </c>
      <c r="AY4094" t="s">
        <v>173</v>
      </c>
      <c r="AZ4094">
        <v>167113</v>
      </c>
      <c r="BA4094" t="s">
        <v>174</v>
      </c>
      <c r="BB4094" t="s">
        <v>175</v>
      </c>
      <c r="BC4094">
        <v>1974</v>
      </c>
      <c r="BD4094" t="s">
        <v>90</v>
      </c>
    </row>
    <row r="4095" spans="1:56" x14ac:dyDescent="0.35">
      <c r="A4095">
        <v>25954136</v>
      </c>
      <c r="B4095" t="s">
        <v>2751</v>
      </c>
      <c r="E4095">
        <v>41.5</v>
      </c>
      <c r="F4095" t="s">
        <v>58</v>
      </c>
      <c r="G4095" t="s">
        <v>59</v>
      </c>
      <c r="H4095" t="s">
        <v>60</v>
      </c>
      <c r="J4095" t="s">
        <v>86</v>
      </c>
      <c r="L4095" t="s">
        <v>62</v>
      </c>
      <c r="M4095" t="s">
        <v>63</v>
      </c>
      <c r="N4095" t="s">
        <v>64</v>
      </c>
      <c r="P4095" t="s">
        <v>65</v>
      </c>
      <c r="Q4095" t="s">
        <v>153</v>
      </c>
      <c r="R4095">
        <v>100</v>
      </c>
      <c r="W4095" t="s">
        <v>66</v>
      </c>
      <c r="X4095" t="s">
        <v>67</v>
      </c>
      <c r="Y4095" t="s">
        <v>67</v>
      </c>
      <c r="Z4095" t="s">
        <v>68</v>
      </c>
      <c r="AB4095">
        <v>4</v>
      </c>
      <c r="AC4095" t="s">
        <v>61</v>
      </c>
      <c r="AJ4095" t="s">
        <v>69</v>
      </c>
      <c r="AY4095" t="s">
        <v>96</v>
      </c>
      <c r="AZ4095">
        <v>6797</v>
      </c>
      <c r="BA4095" t="s">
        <v>97</v>
      </c>
      <c r="BB4095" t="s">
        <v>98</v>
      </c>
      <c r="BC4095">
        <v>1986</v>
      </c>
      <c r="BD4095" t="s">
        <v>90</v>
      </c>
    </row>
    <row r="4096" spans="1:56" x14ac:dyDescent="0.35">
      <c r="A4096">
        <v>26062793</v>
      </c>
      <c r="B4096" t="s">
        <v>2752</v>
      </c>
      <c r="E4096">
        <v>19.8</v>
      </c>
      <c r="F4096" t="s">
        <v>58</v>
      </c>
      <c r="G4096" t="s">
        <v>59</v>
      </c>
      <c r="H4096" t="s">
        <v>60</v>
      </c>
      <c r="J4096" t="s">
        <v>86</v>
      </c>
      <c r="L4096" t="s">
        <v>62</v>
      </c>
      <c r="M4096" t="s">
        <v>63</v>
      </c>
      <c r="N4096" t="s">
        <v>64</v>
      </c>
      <c r="R4096">
        <v>0.26</v>
      </c>
      <c r="T4096">
        <v>0.17</v>
      </c>
      <c r="V4096">
        <v>0.48</v>
      </c>
      <c r="W4096" t="s">
        <v>66</v>
      </c>
      <c r="X4096" t="s">
        <v>67</v>
      </c>
      <c r="Y4096" t="s">
        <v>67</v>
      </c>
      <c r="Z4096" t="s">
        <v>68</v>
      </c>
      <c r="AB4096">
        <v>4</v>
      </c>
      <c r="AC4096" t="s">
        <v>61</v>
      </c>
      <c r="AJ4096" t="s">
        <v>69</v>
      </c>
      <c r="AY4096" t="s">
        <v>116</v>
      </c>
      <c r="AZ4096">
        <v>344</v>
      </c>
      <c r="BA4096" t="s">
        <v>117</v>
      </c>
      <c r="BB4096" t="s">
        <v>118</v>
      </c>
      <c r="BC4096">
        <v>1992</v>
      </c>
      <c r="BD4096" t="s">
        <v>90</v>
      </c>
    </row>
    <row r="4097" spans="1:56" x14ac:dyDescent="0.35">
      <c r="A4097">
        <v>26062793</v>
      </c>
      <c r="B4097" t="s">
        <v>2752</v>
      </c>
      <c r="E4097">
        <v>39.799999999999997</v>
      </c>
      <c r="F4097" t="s">
        <v>58</v>
      </c>
      <c r="G4097" t="s">
        <v>59</v>
      </c>
      <c r="H4097" t="s">
        <v>60</v>
      </c>
      <c r="J4097" t="s">
        <v>86</v>
      </c>
      <c r="L4097" t="s">
        <v>62</v>
      </c>
      <c r="M4097" t="s">
        <v>63</v>
      </c>
      <c r="N4097" t="s">
        <v>64</v>
      </c>
      <c r="R4097">
        <v>0.22</v>
      </c>
      <c r="T4097">
        <v>0.19</v>
      </c>
      <c r="V4097">
        <v>0.26</v>
      </c>
      <c r="W4097" t="s">
        <v>66</v>
      </c>
      <c r="X4097" t="s">
        <v>67</v>
      </c>
      <c r="Y4097" t="s">
        <v>67</v>
      </c>
      <c r="Z4097" t="s">
        <v>68</v>
      </c>
      <c r="AB4097">
        <v>4</v>
      </c>
      <c r="AC4097" t="s">
        <v>61</v>
      </c>
      <c r="AJ4097" t="s">
        <v>69</v>
      </c>
      <c r="AY4097" t="s">
        <v>116</v>
      </c>
      <c r="AZ4097">
        <v>344</v>
      </c>
      <c r="BA4097" t="s">
        <v>117</v>
      </c>
      <c r="BB4097" t="s">
        <v>118</v>
      </c>
      <c r="BC4097">
        <v>1992</v>
      </c>
      <c r="BD4097" t="s">
        <v>90</v>
      </c>
    </row>
    <row r="4098" spans="1:56" x14ac:dyDescent="0.35">
      <c r="A4098">
        <v>26530201</v>
      </c>
      <c r="B4098" t="s">
        <v>2753</v>
      </c>
      <c r="D4098" t="s">
        <v>85</v>
      </c>
      <c r="E4098" t="s">
        <v>86</v>
      </c>
      <c r="F4098" t="s">
        <v>58</v>
      </c>
      <c r="G4098" t="s">
        <v>59</v>
      </c>
      <c r="H4098" t="s">
        <v>60</v>
      </c>
      <c r="J4098" t="s">
        <v>86</v>
      </c>
      <c r="L4098" t="s">
        <v>62</v>
      </c>
      <c r="M4098" t="s">
        <v>63</v>
      </c>
      <c r="N4098" t="s">
        <v>64</v>
      </c>
      <c r="O4098" t="s">
        <v>955</v>
      </c>
      <c r="P4098" t="s">
        <v>65</v>
      </c>
      <c r="R4098">
        <v>0.14000000000000001</v>
      </c>
      <c r="T4098">
        <v>9.7699999999999995E-2</v>
      </c>
      <c r="V4098">
        <v>0.20200000000000001</v>
      </c>
      <c r="W4098" t="s">
        <v>66</v>
      </c>
      <c r="X4098" t="s">
        <v>67</v>
      </c>
      <c r="Y4098" t="s">
        <v>67</v>
      </c>
      <c r="Z4098" t="s">
        <v>68</v>
      </c>
      <c r="AB4098">
        <v>4</v>
      </c>
      <c r="AC4098" t="s">
        <v>61</v>
      </c>
      <c r="AJ4098" t="s">
        <v>69</v>
      </c>
      <c r="AY4098" t="s">
        <v>2754</v>
      </c>
      <c r="AZ4098">
        <v>81371</v>
      </c>
      <c r="BA4098" t="s">
        <v>2755</v>
      </c>
      <c r="BB4098" t="s">
        <v>2756</v>
      </c>
      <c r="BC4098">
        <v>1987</v>
      </c>
      <c r="BD4098" t="s">
        <v>90</v>
      </c>
    </row>
    <row r="4099" spans="1:56" x14ac:dyDescent="0.35">
      <c r="A4099">
        <v>26530201</v>
      </c>
      <c r="B4099" t="s">
        <v>2753</v>
      </c>
      <c r="E4099">
        <v>90</v>
      </c>
      <c r="F4099" t="s">
        <v>58</v>
      </c>
      <c r="G4099" t="s">
        <v>59</v>
      </c>
      <c r="H4099" t="s">
        <v>60</v>
      </c>
      <c r="J4099" t="s">
        <v>86</v>
      </c>
      <c r="L4099" t="s">
        <v>62</v>
      </c>
      <c r="M4099" t="s">
        <v>63</v>
      </c>
      <c r="N4099" t="s">
        <v>64</v>
      </c>
      <c r="P4099" t="s">
        <v>65</v>
      </c>
      <c r="R4099">
        <v>0.14000000000000001</v>
      </c>
      <c r="T4099">
        <v>9.8000000000000004E-2</v>
      </c>
      <c r="V4099">
        <v>0.20200000000000001</v>
      </c>
      <c r="W4099" t="s">
        <v>66</v>
      </c>
      <c r="X4099" t="s">
        <v>67</v>
      </c>
      <c r="Y4099" t="s">
        <v>67</v>
      </c>
      <c r="Z4099" t="s">
        <v>68</v>
      </c>
      <c r="AB4099">
        <v>4</v>
      </c>
      <c r="AC4099" t="s">
        <v>61</v>
      </c>
      <c r="AJ4099" t="s">
        <v>69</v>
      </c>
      <c r="AY4099" t="s">
        <v>116</v>
      </c>
      <c r="AZ4099">
        <v>344</v>
      </c>
      <c r="BA4099" t="s">
        <v>117</v>
      </c>
      <c r="BB4099" t="s">
        <v>118</v>
      </c>
      <c r="BC4099">
        <v>1992</v>
      </c>
      <c r="BD4099" t="s">
        <v>90</v>
      </c>
    </row>
    <row r="4100" spans="1:56" x14ac:dyDescent="0.35">
      <c r="A4100">
        <v>26628228</v>
      </c>
      <c r="B4100" t="s">
        <v>2757</v>
      </c>
      <c r="D4100" t="s">
        <v>85</v>
      </c>
      <c r="E4100">
        <v>99</v>
      </c>
      <c r="F4100" t="s">
        <v>58</v>
      </c>
      <c r="G4100" t="s">
        <v>59</v>
      </c>
      <c r="H4100" t="s">
        <v>60</v>
      </c>
      <c r="J4100">
        <v>30</v>
      </c>
      <c r="K4100" t="s">
        <v>61</v>
      </c>
      <c r="L4100" t="s">
        <v>74</v>
      </c>
      <c r="M4100" t="s">
        <v>63</v>
      </c>
      <c r="N4100" t="s">
        <v>64</v>
      </c>
      <c r="P4100" t="s">
        <v>100</v>
      </c>
      <c r="R4100">
        <v>5.46</v>
      </c>
      <c r="T4100">
        <v>5.09</v>
      </c>
      <c r="V4100">
        <v>5.87</v>
      </c>
      <c r="W4100" t="s">
        <v>66</v>
      </c>
      <c r="X4100" t="s">
        <v>67</v>
      </c>
      <c r="Y4100" t="s">
        <v>67</v>
      </c>
      <c r="Z4100" t="s">
        <v>68</v>
      </c>
      <c r="AB4100">
        <v>4</v>
      </c>
      <c r="AC4100" t="s">
        <v>61</v>
      </c>
      <c r="AJ4100" t="s">
        <v>69</v>
      </c>
      <c r="AY4100" t="s">
        <v>75</v>
      </c>
      <c r="AZ4100">
        <v>3217</v>
      </c>
      <c r="BA4100" t="s">
        <v>76</v>
      </c>
      <c r="BB4100" t="s">
        <v>77</v>
      </c>
      <c r="BC4100">
        <v>1990</v>
      </c>
      <c r="BD4100" t="s">
        <v>73</v>
      </c>
    </row>
    <row r="4101" spans="1:56" x14ac:dyDescent="0.35">
      <c r="A4101">
        <v>26761400</v>
      </c>
      <c r="B4101" t="s">
        <v>2758</v>
      </c>
      <c r="D4101" t="s">
        <v>85</v>
      </c>
      <c r="E4101" t="s">
        <v>128</v>
      </c>
      <c r="F4101" t="s">
        <v>58</v>
      </c>
      <c r="G4101" t="s">
        <v>59</v>
      </c>
      <c r="H4101" t="s">
        <v>60</v>
      </c>
      <c r="I4101" t="s">
        <v>129</v>
      </c>
      <c r="J4101" t="s">
        <v>86</v>
      </c>
      <c r="L4101" t="s">
        <v>74</v>
      </c>
      <c r="M4101" t="s">
        <v>63</v>
      </c>
      <c r="N4101" t="s">
        <v>64</v>
      </c>
      <c r="P4101" t="s">
        <v>65</v>
      </c>
      <c r="Q4101" t="s">
        <v>153</v>
      </c>
      <c r="R4101">
        <v>1</v>
      </c>
      <c r="W4101" t="s">
        <v>66</v>
      </c>
      <c r="X4101" t="s">
        <v>67</v>
      </c>
      <c r="Y4101" t="s">
        <v>67</v>
      </c>
      <c r="Z4101" t="s">
        <v>68</v>
      </c>
      <c r="AB4101">
        <v>4</v>
      </c>
      <c r="AC4101" t="s">
        <v>61</v>
      </c>
      <c r="AJ4101" t="s">
        <v>69</v>
      </c>
      <c r="AY4101" t="s">
        <v>630</v>
      </c>
      <c r="AZ4101">
        <v>15040</v>
      </c>
      <c r="BA4101" t="s">
        <v>631</v>
      </c>
      <c r="BB4101" t="s">
        <v>632</v>
      </c>
      <c r="BC4101">
        <v>1995</v>
      </c>
      <c r="BD4101" t="s">
        <v>90</v>
      </c>
    </row>
    <row r="4102" spans="1:56" x14ac:dyDescent="0.35">
      <c r="A4102">
        <v>26761400</v>
      </c>
      <c r="B4102" t="s">
        <v>2758</v>
      </c>
      <c r="D4102" t="s">
        <v>57</v>
      </c>
      <c r="E4102" t="s">
        <v>86</v>
      </c>
      <c r="F4102" t="s">
        <v>58</v>
      </c>
      <c r="G4102" t="s">
        <v>59</v>
      </c>
      <c r="H4102" t="s">
        <v>60</v>
      </c>
      <c r="J4102" t="s">
        <v>86</v>
      </c>
      <c r="L4102" t="s">
        <v>62</v>
      </c>
      <c r="M4102" t="s">
        <v>63</v>
      </c>
      <c r="N4102" t="s">
        <v>64</v>
      </c>
      <c r="O4102">
        <v>2</v>
      </c>
      <c r="P4102" t="s">
        <v>65</v>
      </c>
      <c r="Q4102" t="s">
        <v>153</v>
      </c>
      <c r="R4102">
        <v>0.66</v>
      </c>
      <c r="W4102" t="s">
        <v>66</v>
      </c>
      <c r="X4102" t="s">
        <v>67</v>
      </c>
      <c r="Y4102" t="s">
        <v>67</v>
      </c>
      <c r="Z4102" t="s">
        <v>68</v>
      </c>
      <c r="AB4102">
        <v>4</v>
      </c>
      <c r="AC4102" t="s">
        <v>61</v>
      </c>
      <c r="AJ4102" t="s">
        <v>69</v>
      </c>
      <c r="AY4102" t="s">
        <v>633</v>
      </c>
      <c r="AZ4102">
        <v>180491</v>
      </c>
      <c r="BA4102" t="s">
        <v>634</v>
      </c>
      <c r="BB4102" t="s">
        <v>635</v>
      </c>
      <c r="BC4102">
        <v>2000</v>
      </c>
      <c r="BD4102" t="s">
        <v>90</v>
      </c>
    </row>
    <row r="4103" spans="1:56" x14ac:dyDescent="0.35">
      <c r="A4103">
        <v>26761400</v>
      </c>
      <c r="B4103" t="s">
        <v>2758</v>
      </c>
      <c r="D4103" t="s">
        <v>85</v>
      </c>
      <c r="E4103" t="s">
        <v>128</v>
      </c>
      <c r="F4103" t="s">
        <v>58</v>
      </c>
      <c r="G4103" t="s">
        <v>59</v>
      </c>
      <c r="H4103" t="s">
        <v>60</v>
      </c>
      <c r="I4103" t="s">
        <v>129</v>
      </c>
      <c r="J4103" t="s">
        <v>86</v>
      </c>
      <c r="L4103" t="s">
        <v>62</v>
      </c>
      <c r="M4103" t="s">
        <v>63</v>
      </c>
      <c r="N4103" t="s">
        <v>64</v>
      </c>
      <c r="P4103" t="s">
        <v>65</v>
      </c>
      <c r="Q4103" t="s">
        <v>153</v>
      </c>
      <c r="R4103">
        <v>0.47</v>
      </c>
      <c r="W4103" t="s">
        <v>66</v>
      </c>
      <c r="X4103" t="s">
        <v>67</v>
      </c>
      <c r="Y4103" t="s">
        <v>67</v>
      </c>
      <c r="Z4103" t="s">
        <v>68</v>
      </c>
      <c r="AB4103">
        <v>4</v>
      </c>
      <c r="AC4103" t="s">
        <v>61</v>
      </c>
      <c r="AJ4103" t="s">
        <v>69</v>
      </c>
      <c r="AY4103" t="s">
        <v>630</v>
      </c>
      <c r="AZ4103">
        <v>15040</v>
      </c>
      <c r="BA4103" t="s">
        <v>631</v>
      </c>
      <c r="BB4103" t="s">
        <v>632</v>
      </c>
      <c r="BC4103">
        <v>1995</v>
      </c>
      <c r="BD4103" t="s">
        <v>90</v>
      </c>
    </row>
    <row r="4104" spans="1:56" x14ac:dyDescent="0.35">
      <c r="A4104">
        <v>27176938</v>
      </c>
      <c r="B4104" t="s">
        <v>2759</v>
      </c>
      <c r="D4104" t="s">
        <v>57</v>
      </c>
      <c r="E4104" t="s">
        <v>86</v>
      </c>
      <c r="F4104" t="s">
        <v>58</v>
      </c>
      <c r="G4104" t="s">
        <v>59</v>
      </c>
      <c r="H4104" t="s">
        <v>60</v>
      </c>
      <c r="I4104" t="s">
        <v>188</v>
      </c>
      <c r="J4104">
        <v>4</v>
      </c>
      <c r="K4104" t="s">
        <v>61</v>
      </c>
      <c r="L4104" t="s">
        <v>74</v>
      </c>
      <c r="M4104" t="s">
        <v>63</v>
      </c>
      <c r="N4104" t="s">
        <v>64</v>
      </c>
      <c r="O4104">
        <v>6</v>
      </c>
      <c r="P4104" t="s">
        <v>65</v>
      </c>
      <c r="R4104">
        <v>0.32300000000000001</v>
      </c>
      <c r="T4104">
        <v>0.29199999999999998</v>
      </c>
      <c r="V4104">
        <v>0.35699999999999998</v>
      </c>
      <c r="W4104" t="s">
        <v>66</v>
      </c>
      <c r="X4104" t="s">
        <v>67</v>
      </c>
      <c r="Y4104" t="s">
        <v>67</v>
      </c>
      <c r="Z4104" t="s">
        <v>68</v>
      </c>
      <c r="AB4104">
        <v>4</v>
      </c>
      <c r="AC4104" t="s">
        <v>61</v>
      </c>
      <c r="AJ4104" t="s">
        <v>69</v>
      </c>
      <c r="AY4104" t="s">
        <v>929</v>
      </c>
      <c r="AZ4104">
        <v>107584</v>
      </c>
      <c r="BA4104" t="s">
        <v>930</v>
      </c>
      <c r="BB4104" t="s">
        <v>931</v>
      </c>
      <c r="BC4104">
        <v>2007</v>
      </c>
      <c r="BD4104" t="s">
        <v>73</v>
      </c>
    </row>
    <row r="4105" spans="1:56" x14ac:dyDescent="0.35">
      <c r="A4105">
        <v>27304138</v>
      </c>
      <c r="B4105" t="s">
        <v>2760</v>
      </c>
      <c r="D4105" t="s">
        <v>57</v>
      </c>
      <c r="E4105">
        <v>99.9</v>
      </c>
      <c r="F4105" t="s">
        <v>58</v>
      </c>
      <c r="G4105" t="s">
        <v>59</v>
      </c>
      <c r="H4105" t="s">
        <v>60</v>
      </c>
      <c r="J4105">
        <v>30</v>
      </c>
      <c r="K4105" t="s">
        <v>61</v>
      </c>
      <c r="L4105" t="s">
        <v>62</v>
      </c>
      <c r="M4105" t="s">
        <v>63</v>
      </c>
      <c r="N4105" t="s">
        <v>64</v>
      </c>
      <c r="P4105" t="s">
        <v>65</v>
      </c>
      <c r="R4105">
        <v>2.63E-3</v>
      </c>
      <c r="T4105">
        <v>2.2300000000000002E-3</v>
      </c>
      <c r="V4105">
        <v>3.0999999999999999E-3</v>
      </c>
      <c r="W4105" t="s">
        <v>66</v>
      </c>
      <c r="X4105" t="s">
        <v>67</v>
      </c>
      <c r="Y4105" t="s">
        <v>67</v>
      </c>
      <c r="Z4105" t="s">
        <v>68</v>
      </c>
      <c r="AB4105">
        <v>4</v>
      </c>
      <c r="AC4105" t="s">
        <v>61</v>
      </c>
      <c r="AJ4105" t="s">
        <v>69</v>
      </c>
      <c r="AY4105" t="s">
        <v>309</v>
      </c>
      <c r="AZ4105">
        <v>17138</v>
      </c>
      <c r="BA4105" t="s">
        <v>310</v>
      </c>
      <c r="BB4105" t="s">
        <v>311</v>
      </c>
      <c r="BC4105">
        <v>1991</v>
      </c>
      <c r="BD4105" t="s">
        <v>73</v>
      </c>
    </row>
    <row r="4106" spans="1:56" x14ac:dyDescent="0.35">
      <c r="A4106">
        <v>27304138</v>
      </c>
      <c r="B4106" t="s">
        <v>2760</v>
      </c>
      <c r="D4106" t="s">
        <v>85</v>
      </c>
      <c r="E4106">
        <v>99.9</v>
      </c>
      <c r="F4106" t="s">
        <v>58</v>
      </c>
      <c r="G4106" t="s">
        <v>59</v>
      </c>
      <c r="H4106" t="s">
        <v>60</v>
      </c>
      <c r="J4106">
        <v>30</v>
      </c>
      <c r="K4106" t="s">
        <v>61</v>
      </c>
      <c r="L4106" t="s">
        <v>62</v>
      </c>
      <c r="M4106" t="s">
        <v>63</v>
      </c>
      <c r="N4106" t="s">
        <v>64</v>
      </c>
      <c r="P4106" t="s">
        <v>65</v>
      </c>
      <c r="R4106">
        <v>4.3099999999999996E-3</v>
      </c>
      <c r="T4106">
        <v>3.81E-3</v>
      </c>
      <c r="V4106">
        <v>4.8799999999999998E-3</v>
      </c>
      <c r="W4106" t="s">
        <v>66</v>
      </c>
      <c r="X4106" t="s">
        <v>67</v>
      </c>
      <c r="Y4106" t="s">
        <v>67</v>
      </c>
      <c r="Z4106" t="s">
        <v>68</v>
      </c>
      <c r="AB4106">
        <v>4</v>
      </c>
      <c r="AC4106" t="s">
        <v>61</v>
      </c>
      <c r="AJ4106" t="s">
        <v>69</v>
      </c>
      <c r="AY4106" t="s">
        <v>309</v>
      </c>
      <c r="AZ4106">
        <v>17138</v>
      </c>
      <c r="BA4106" t="s">
        <v>310</v>
      </c>
      <c r="BB4106" t="s">
        <v>311</v>
      </c>
      <c r="BC4106">
        <v>1991</v>
      </c>
      <c r="BD4106" t="s">
        <v>73</v>
      </c>
    </row>
    <row r="4107" spans="1:56" x14ac:dyDescent="0.35">
      <c r="A4107">
        <v>27304138</v>
      </c>
      <c r="B4107" t="s">
        <v>2760</v>
      </c>
      <c r="D4107" t="s">
        <v>57</v>
      </c>
      <c r="E4107">
        <v>99.9</v>
      </c>
      <c r="F4107" t="s">
        <v>58</v>
      </c>
      <c r="G4107" t="s">
        <v>59</v>
      </c>
      <c r="H4107" t="s">
        <v>60</v>
      </c>
      <c r="J4107">
        <v>30</v>
      </c>
      <c r="K4107" t="s">
        <v>61</v>
      </c>
      <c r="L4107" t="s">
        <v>62</v>
      </c>
      <c r="M4107" t="s">
        <v>63</v>
      </c>
      <c r="N4107" t="s">
        <v>64</v>
      </c>
      <c r="P4107" t="s">
        <v>65</v>
      </c>
      <c r="R4107">
        <v>6.3200000000000001E-3</v>
      </c>
      <c r="T4107">
        <v>5.5500000000000002E-3</v>
      </c>
      <c r="V4107">
        <v>7.1900000000000002E-3</v>
      </c>
      <c r="W4107" t="s">
        <v>66</v>
      </c>
      <c r="X4107" t="s">
        <v>67</v>
      </c>
      <c r="Y4107" t="s">
        <v>67</v>
      </c>
      <c r="Z4107" t="s">
        <v>68</v>
      </c>
      <c r="AB4107">
        <v>4</v>
      </c>
      <c r="AC4107" t="s">
        <v>61</v>
      </c>
      <c r="AJ4107" t="s">
        <v>69</v>
      </c>
      <c r="AY4107" t="s">
        <v>309</v>
      </c>
      <c r="AZ4107">
        <v>17138</v>
      </c>
      <c r="BA4107" t="s">
        <v>310</v>
      </c>
      <c r="BB4107" t="s">
        <v>311</v>
      </c>
      <c r="BC4107">
        <v>1991</v>
      </c>
      <c r="BD4107" t="s">
        <v>73</v>
      </c>
    </row>
    <row r="4108" spans="1:56" x14ac:dyDescent="0.35">
      <c r="A4108">
        <v>27304138</v>
      </c>
      <c r="B4108" t="s">
        <v>2760</v>
      </c>
      <c r="D4108" t="s">
        <v>57</v>
      </c>
      <c r="E4108">
        <v>99.9</v>
      </c>
      <c r="F4108" t="s">
        <v>58</v>
      </c>
      <c r="G4108" t="s">
        <v>59</v>
      </c>
      <c r="H4108" t="s">
        <v>60</v>
      </c>
      <c r="J4108">
        <v>30</v>
      </c>
      <c r="K4108" t="s">
        <v>61</v>
      </c>
      <c r="L4108" t="s">
        <v>74</v>
      </c>
      <c r="M4108" t="s">
        <v>63</v>
      </c>
      <c r="N4108" t="s">
        <v>64</v>
      </c>
      <c r="P4108" t="s">
        <v>65</v>
      </c>
      <c r="R4108">
        <v>2.4499999999999999E-3</v>
      </c>
      <c r="W4108" t="s">
        <v>66</v>
      </c>
      <c r="X4108" t="s">
        <v>67</v>
      </c>
      <c r="Y4108" t="s">
        <v>67</v>
      </c>
      <c r="Z4108" t="s">
        <v>68</v>
      </c>
      <c r="AB4108">
        <v>4</v>
      </c>
      <c r="AC4108" t="s">
        <v>61</v>
      </c>
      <c r="AJ4108" t="s">
        <v>69</v>
      </c>
      <c r="AY4108" t="s">
        <v>309</v>
      </c>
      <c r="AZ4108">
        <v>17138</v>
      </c>
      <c r="BA4108" t="s">
        <v>310</v>
      </c>
      <c r="BB4108" t="s">
        <v>311</v>
      </c>
      <c r="BC4108">
        <v>1991</v>
      </c>
      <c r="BD4108" t="s">
        <v>73</v>
      </c>
    </row>
    <row r="4109" spans="1:56" x14ac:dyDescent="0.35">
      <c r="A4109">
        <v>27554263</v>
      </c>
      <c r="B4109" t="s">
        <v>2761</v>
      </c>
      <c r="D4109" t="s">
        <v>85</v>
      </c>
      <c r="E4109" t="s">
        <v>128</v>
      </c>
      <c r="F4109" t="s">
        <v>58</v>
      </c>
      <c r="G4109" t="s">
        <v>59</v>
      </c>
      <c r="H4109" t="s">
        <v>60</v>
      </c>
      <c r="I4109" t="s">
        <v>129</v>
      </c>
      <c r="J4109" t="s">
        <v>86</v>
      </c>
      <c r="L4109" t="s">
        <v>74</v>
      </c>
      <c r="M4109" t="s">
        <v>63</v>
      </c>
      <c r="N4109" t="s">
        <v>64</v>
      </c>
      <c r="P4109" t="s">
        <v>65</v>
      </c>
      <c r="Q4109" t="s">
        <v>153</v>
      </c>
      <c r="R4109">
        <v>0.28999999999999998</v>
      </c>
      <c r="W4109" t="s">
        <v>66</v>
      </c>
      <c r="X4109" t="s">
        <v>67</v>
      </c>
      <c r="Y4109" t="s">
        <v>67</v>
      </c>
      <c r="Z4109" t="s">
        <v>68</v>
      </c>
      <c r="AB4109">
        <v>4</v>
      </c>
      <c r="AC4109" t="s">
        <v>61</v>
      </c>
      <c r="AJ4109" t="s">
        <v>69</v>
      </c>
      <c r="AY4109" t="s">
        <v>630</v>
      </c>
      <c r="AZ4109">
        <v>15040</v>
      </c>
      <c r="BA4109" t="s">
        <v>631</v>
      </c>
      <c r="BB4109" t="s">
        <v>632</v>
      </c>
      <c r="BC4109">
        <v>1995</v>
      </c>
      <c r="BD4109" t="s">
        <v>90</v>
      </c>
    </row>
    <row r="4110" spans="1:56" x14ac:dyDescent="0.35">
      <c r="A4110">
        <v>27554263</v>
      </c>
      <c r="B4110" t="s">
        <v>2761</v>
      </c>
      <c r="D4110" t="s">
        <v>57</v>
      </c>
      <c r="E4110" t="s">
        <v>86</v>
      </c>
      <c r="F4110" t="s">
        <v>58</v>
      </c>
      <c r="G4110" t="s">
        <v>59</v>
      </c>
      <c r="H4110" t="s">
        <v>60</v>
      </c>
      <c r="J4110" t="s">
        <v>86</v>
      </c>
      <c r="L4110" t="s">
        <v>62</v>
      </c>
      <c r="M4110" t="s">
        <v>63</v>
      </c>
      <c r="N4110" t="s">
        <v>64</v>
      </c>
      <c r="O4110">
        <v>2</v>
      </c>
      <c r="P4110" t="s">
        <v>65</v>
      </c>
      <c r="Q4110" t="s">
        <v>153</v>
      </c>
      <c r="R4110">
        <v>0.19</v>
      </c>
      <c r="W4110" t="s">
        <v>66</v>
      </c>
      <c r="X4110" t="s">
        <v>67</v>
      </c>
      <c r="Y4110" t="s">
        <v>67</v>
      </c>
      <c r="Z4110" t="s">
        <v>68</v>
      </c>
      <c r="AB4110">
        <v>4</v>
      </c>
      <c r="AC4110" t="s">
        <v>61</v>
      </c>
      <c r="AJ4110" t="s">
        <v>69</v>
      </c>
      <c r="AY4110" t="s">
        <v>633</v>
      </c>
      <c r="AZ4110">
        <v>180491</v>
      </c>
      <c r="BA4110" t="s">
        <v>634</v>
      </c>
      <c r="BB4110" t="s">
        <v>635</v>
      </c>
      <c r="BC4110">
        <v>2000</v>
      </c>
      <c r="BD4110" t="s">
        <v>90</v>
      </c>
    </row>
    <row r="4111" spans="1:56" x14ac:dyDescent="0.35">
      <c r="A4111">
        <v>27554263</v>
      </c>
      <c r="B4111" t="s">
        <v>2761</v>
      </c>
      <c r="D4111" t="s">
        <v>85</v>
      </c>
      <c r="E4111" t="s">
        <v>128</v>
      </c>
      <c r="F4111" t="s">
        <v>58</v>
      </c>
      <c r="G4111" t="s">
        <v>59</v>
      </c>
      <c r="H4111" t="s">
        <v>60</v>
      </c>
      <c r="I4111" t="s">
        <v>129</v>
      </c>
      <c r="J4111" t="s">
        <v>86</v>
      </c>
      <c r="L4111" t="s">
        <v>62</v>
      </c>
      <c r="M4111" t="s">
        <v>63</v>
      </c>
      <c r="N4111" t="s">
        <v>64</v>
      </c>
      <c r="P4111" t="s">
        <v>65</v>
      </c>
      <c r="Q4111" t="s">
        <v>153</v>
      </c>
      <c r="R4111">
        <v>0.14000000000000001</v>
      </c>
      <c r="W4111" t="s">
        <v>66</v>
      </c>
      <c r="X4111" t="s">
        <v>67</v>
      </c>
      <c r="Y4111" t="s">
        <v>67</v>
      </c>
      <c r="Z4111" t="s">
        <v>68</v>
      </c>
      <c r="AB4111">
        <v>4</v>
      </c>
      <c r="AC4111" t="s">
        <v>61</v>
      </c>
      <c r="AJ4111" t="s">
        <v>69</v>
      </c>
      <c r="AY4111" t="s">
        <v>630</v>
      </c>
      <c r="AZ4111">
        <v>15040</v>
      </c>
      <c r="BA4111" t="s">
        <v>631</v>
      </c>
      <c r="BB4111" t="s">
        <v>632</v>
      </c>
      <c r="BC4111">
        <v>1995</v>
      </c>
      <c r="BD4111" t="s">
        <v>90</v>
      </c>
    </row>
    <row r="4112" spans="1:56" x14ac:dyDescent="0.35">
      <c r="A4112">
        <v>27774136</v>
      </c>
      <c r="B4112" t="s">
        <v>2762</v>
      </c>
      <c r="D4112" t="s">
        <v>85</v>
      </c>
      <c r="E4112" t="s">
        <v>86</v>
      </c>
      <c r="F4112" t="s">
        <v>58</v>
      </c>
      <c r="G4112" t="s">
        <v>59</v>
      </c>
      <c r="H4112" t="s">
        <v>60</v>
      </c>
      <c r="J4112" t="s">
        <v>86</v>
      </c>
      <c r="L4112" t="s">
        <v>62</v>
      </c>
      <c r="M4112" t="s">
        <v>63</v>
      </c>
      <c r="N4112" t="s">
        <v>64</v>
      </c>
      <c r="P4112" t="s">
        <v>201</v>
      </c>
      <c r="R4112">
        <v>4.8</v>
      </c>
      <c r="W4112" t="s">
        <v>66</v>
      </c>
      <c r="X4112" t="s">
        <v>67</v>
      </c>
      <c r="Y4112" t="s">
        <v>67</v>
      </c>
      <c r="Z4112" t="s">
        <v>68</v>
      </c>
      <c r="AB4112">
        <v>4</v>
      </c>
      <c r="AC4112" t="s">
        <v>61</v>
      </c>
      <c r="AJ4112" t="s">
        <v>69</v>
      </c>
      <c r="AY4112" t="s">
        <v>275</v>
      </c>
      <c r="AZ4112">
        <v>2042</v>
      </c>
      <c r="BA4112" t="s">
        <v>1490</v>
      </c>
      <c r="BB4112" t="s">
        <v>1491</v>
      </c>
      <c r="BC4112">
        <v>1960</v>
      </c>
      <c r="BD4112" t="s">
        <v>90</v>
      </c>
    </row>
    <row r="4113" spans="1:56" x14ac:dyDescent="0.35">
      <c r="A4113">
        <v>27774136</v>
      </c>
      <c r="B4113" t="s">
        <v>2762</v>
      </c>
      <c r="D4113" t="s">
        <v>85</v>
      </c>
      <c r="E4113" t="s">
        <v>86</v>
      </c>
      <c r="F4113" t="s">
        <v>58</v>
      </c>
      <c r="G4113" t="s">
        <v>59</v>
      </c>
      <c r="H4113" t="s">
        <v>60</v>
      </c>
      <c r="J4113" t="s">
        <v>86</v>
      </c>
      <c r="L4113" t="s">
        <v>62</v>
      </c>
      <c r="M4113" t="s">
        <v>63</v>
      </c>
      <c r="N4113" t="s">
        <v>64</v>
      </c>
      <c r="P4113" t="s">
        <v>201</v>
      </c>
      <c r="R4113">
        <v>30</v>
      </c>
      <c r="W4113" t="s">
        <v>66</v>
      </c>
      <c r="X4113" t="s">
        <v>67</v>
      </c>
      <c r="Y4113" t="s">
        <v>67</v>
      </c>
      <c r="Z4113" t="s">
        <v>68</v>
      </c>
      <c r="AB4113">
        <v>4</v>
      </c>
      <c r="AC4113" t="s">
        <v>61</v>
      </c>
      <c r="AJ4113" t="s">
        <v>69</v>
      </c>
      <c r="AY4113" t="s">
        <v>275</v>
      </c>
      <c r="AZ4113">
        <v>2042</v>
      </c>
      <c r="BA4113" t="s">
        <v>1490</v>
      </c>
      <c r="BB4113" t="s">
        <v>1491</v>
      </c>
      <c r="BC4113">
        <v>1960</v>
      </c>
      <c r="BD4113" t="s">
        <v>90</v>
      </c>
    </row>
    <row r="4114" spans="1:56" x14ac:dyDescent="0.35">
      <c r="A4114">
        <v>27986363</v>
      </c>
      <c r="B4114" t="s">
        <v>2763</v>
      </c>
      <c r="D4114" t="s">
        <v>57</v>
      </c>
      <c r="E4114" t="s">
        <v>86</v>
      </c>
      <c r="F4114" t="s">
        <v>58</v>
      </c>
      <c r="G4114" t="s">
        <v>59</v>
      </c>
      <c r="H4114" t="s">
        <v>60</v>
      </c>
      <c r="I4114" t="s">
        <v>188</v>
      </c>
      <c r="J4114">
        <v>4</v>
      </c>
      <c r="K4114" t="s">
        <v>61</v>
      </c>
      <c r="L4114" t="s">
        <v>74</v>
      </c>
      <c r="M4114" t="s">
        <v>63</v>
      </c>
      <c r="N4114" t="s">
        <v>64</v>
      </c>
      <c r="O4114">
        <v>6</v>
      </c>
      <c r="P4114" t="s">
        <v>65</v>
      </c>
      <c r="R4114">
        <v>0.218</v>
      </c>
      <c r="T4114">
        <v>0.19900000000000001</v>
      </c>
      <c r="V4114">
        <v>0.23899999999999999</v>
      </c>
      <c r="W4114" t="s">
        <v>66</v>
      </c>
      <c r="X4114" t="s">
        <v>67</v>
      </c>
      <c r="Y4114" t="s">
        <v>67</v>
      </c>
      <c r="Z4114" t="s">
        <v>68</v>
      </c>
      <c r="AB4114">
        <v>4</v>
      </c>
      <c r="AC4114" t="s">
        <v>61</v>
      </c>
      <c r="AJ4114" t="s">
        <v>69</v>
      </c>
      <c r="AY4114" t="s">
        <v>929</v>
      </c>
      <c r="AZ4114">
        <v>107584</v>
      </c>
      <c r="BA4114" t="s">
        <v>930</v>
      </c>
      <c r="BB4114" t="s">
        <v>931</v>
      </c>
      <c r="BC4114">
        <v>2007</v>
      </c>
      <c r="BD4114" t="s">
        <v>73</v>
      </c>
    </row>
    <row r="4115" spans="1:56" x14ac:dyDescent="0.35">
      <c r="A4115">
        <v>28001583</v>
      </c>
      <c r="B4115" t="s">
        <v>2764</v>
      </c>
      <c r="D4115" t="s">
        <v>57</v>
      </c>
      <c r="E4115">
        <v>99</v>
      </c>
      <c r="F4115" t="s">
        <v>58</v>
      </c>
      <c r="G4115" t="s">
        <v>59</v>
      </c>
      <c r="H4115" t="s">
        <v>60</v>
      </c>
      <c r="J4115">
        <v>34</v>
      </c>
      <c r="K4115" t="s">
        <v>61</v>
      </c>
      <c r="L4115" t="s">
        <v>74</v>
      </c>
      <c r="M4115" t="s">
        <v>63</v>
      </c>
      <c r="N4115" t="s">
        <v>64</v>
      </c>
      <c r="P4115" t="s">
        <v>65</v>
      </c>
      <c r="R4115">
        <v>248</v>
      </c>
      <c r="T4115">
        <v>215</v>
      </c>
      <c r="V4115">
        <v>286</v>
      </c>
      <c r="W4115" t="s">
        <v>66</v>
      </c>
      <c r="X4115" t="s">
        <v>67</v>
      </c>
      <c r="Y4115" t="s">
        <v>67</v>
      </c>
      <c r="Z4115" t="s">
        <v>68</v>
      </c>
      <c r="AB4115">
        <v>4</v>
      </c>
      <c r="AC4115" t="s">
        <v>61</v>
      </c>
      <c r="AJ4115" t="s">
        <v>69</v>
      </c>
      <c r="AY4115" t="s">
        <v>80</v>
      </c>
      <c r="AZ4115">
        <v>12859</v>
      </c>
      <c r="BA4115" t="s">
        <v>81</v>
      </c>
      <c r="BB4115" t="s">
        <v>82</v>
      </c>
      <c r="BC4115">
        <v>1988</v>
      </c>
      <c r="BD4115" t="s">
        <v>73</v>
      </c>
    </row>
    <row r="4116" spans="1:56" x14ac:dyDescent="0.35">
      <c r="A4116">
        <v>28407376</v>
      </c>
      <c r="B4116" t="s">
        <v>2765</v>
      </c>
      <c r="D4116" t="s">
        <v>85</v>
      </c>
      <c r="E4116" t="s">
        <v>86</v>
      </c>
      <c r="F4116" t="s">
        <v>58</v>
      </c>
      <c r="G4116" t="s">
        <v>59</v>
      </c>
      <c r="H4116" t="s">
        <v>60</v>
      </c>
      <c r="J4116" t="s">
        <v>86</v>
      </c>
      <c r="L4116" t="s">
        <v>62</v>
      </c>
      <c r="M4116" t="s">
        <v>63</v>
      </c>
      <c r="N4116" t="s">
        <v>64</v>
      </c>
      <c r="P4116" t="s">
        <v>100</v>
      </c>
      <c r="Q4116" t="s">
        <v>153</v>
      </c>
      <c r="R4116">
        <v>180</v>
      </c>
      <c r="W4116" t="s">
        <v>66</v>
      </c>
      <c r="X4116" t="s">
        <v>67</v>
      </c>
      <c r="Y4116" t="s">
        <v>67</v>
      </c>
      <c r="Z4116" t="s">
        <v>68</v>
      </c>
      <c r="AB4116">
        <v>4</v>
      </c>
      <c r="AC4116" t="s">
        <v>61</v>
      </c>
      <c r="AJ4116" t="s">
        <v>69</v>
      </c>
      <c r="AY4116" t="s">
        <v>1243</v>
      </c>
      <c r="AZ4116">
        <v>5789</v>
      </c>
      <c r="BA4116" t="s">
        <v>1244</v>
      </c>
      <c r="BB4116" t="s">
        <v>1245</v>
      </c>
      <c r="BC4116">
        <v>1974</v>
      </c>
      <c r="BD4116" t="s">
        <v>90</v>
      </c>
    </row>
    <row r="4117" spans="1:56" x14ac:dyDescent="0.35">
      <c r="A4117">
        <v>28407376</v>
      </c>
      <c r="B4117" t="s">
        <v>2765</v>
      </c>
      <c r="D4117" t="s">
        <v>85</v>
      </c>
      <c r="E4117">
        <v>15</v>
      </c>
      <c r="F4117" t="s">
        <v>58</v>
      </c>
      <c r="G4117" t="s">
        <v>59</v>
      </c>
      <c r="H4117" t="s">
        <v>60</v>
      </c>
      <c r="J4117" t="s">
        <v>86</v>
      </c>
      <c r="L4117" t="s">
        <v>62</v>
      </c>
      <c r="M4117" t="s">
        <v>63</v>
      </c>
      <c r="N4117" t="s">
        <v>64</v>
      </c>
      <c r="P4117" t="s">
        <v>100</v>
      </c>
      <c r="Q4117" t="s">
        <v>153</v>
      </c>
      <c r="R4117">
        <v>180</v>
      </c>
      <c r="W4117" t="s">
        <v>66</v>
      </c>
      <c r="X4117" t="s">
        <v>67</v>
      </c>
      <c r="Y4117" t="s">
        <v>67</v>
      </c>
      <c r="Z4117" t="s">
        <v>68</v>
      </c>
      <c r="AB4117">
        <v>4</v>
      </c>
      <c r="AC4117" t="s">
        <v>61</v>
      </c>
      <c r="AJ4117" t="s">
        <v>69</v>
      </c>
      <c r="AY4117" t="s">
        <v>1246</v>
      </c>
      <c r="AZ4117">
        <v>6969</v>
      </c>
      <c r="BA4117" t="s">
        <v>1247</v>
      </c>
      <c r="BB4117" t="s">
        <v>1248</v>
      </c>
      <c r="BC4117">
        <v>1973</v>
      </c>
      <c r="BD4117" t="s">
        <v>90</v>
      </c>
    </row>
    <row r="4118" spans="1:56" x14ac:dyDescent="0.35">
      <c r="A4118">
        <v>28434006</v>
      </c>
      <c r="B4118" t="s">
        <v>2766</v>
      </c>
      <c r="D4118" t="s">
        <v>85</v>
      </c>
      <c r="E4118">
        <v>98</v>
      </c>
      <c r="F4118" t="s">
        <v>58</v>
      </c>
      <c r="G4118" t="s">
        <v>59</v>
      </c>
      <c r="H4118" t="s">
        <v>60</v>
      </c>
      <c r="J4118" t="s">
        <v>86</v>
      </c>
      <c r="L4118" t="s">
        <v>62</v>
      </c>
      <c r="M4118" t="s">
        <v>63</v>
      </c>
      <c r="N4118" t="s">
        <v>64</v>
      </c>
      <c r="P4118" t="s">
        <v>65</v>
      </c>
      <c r="R4118">
        <v>0.08</v>
      </c>
      <c r="T4118">
        <v>6.59E-2</v>
      </c>
      <c r="V4118">
        <v>9.7100000000000006E-2</v>
      </c>
      <c r="W4118" t="s">
        <v>66</v>
      </c>
      <c r="X4118" t="s">
        <v>67</v>
      </c>
      <c r="Y4118" t="s">
        <v>67</v>
      </c>
      <c r="Z4118" t="s">
        <v>68</v>
      </c>
      <c r="AB4118">
        <v>4</v>
      </c>
      <c r="AC4118" t="s">
        <v>61</v>
      </c>
      <c r="AJ4118" t="s">
        <v>69</v>
      </c>
      <c r="AY4118" t="s">
        <v>2767</v>
      </c>
      <c r="AZ4118">
        <v>835</v>
      </c>
      <c r="BA4118" t="s">
        <v>2768</v>
      </c>
      <c r="BB4118" t="s">
        <v>2769</v>
      </c>
      <c r="BC4118">
        <v>1976</v>
      </c>
      <c r="BD4118" t="s">
        <v>90</v>
      </c>
    </row>
    <row r="4119" spans="1:56" x14ac:dyDescent="0.35">
      <c r="A4119">
        <v>28434006</v>
      </c>
      <c r="B4119" t="s">
        <v>2766</v>
      </c>
      <c r="D4119" t="s">
        <v>85</v>
      </c>
      <c r="E4119">
        <v>98</v>
      </c>
      <c r="F4119" t="s">
        <v>58</v>
      </c>
      <c r="G4119" t="s">
        <v>59</v>
      </c>
      <c r="H4119" t="s">
        <v>60</v>
      </c>
      <c r="J4119" t="s">
        <v>86</v>
      </c>
      <c r="L4119" t="s">
        <v>74</v>
      </c>
      <c r="M4119" t="s">
        <v>63</v>
      </c>
      <c r="N4119" t="s">
        <v>64</v>
      </c>
      <c r="P4119" t="s">
        <v>65</v>
      </c>
      <c r="R4119">
        <v>5.2999999999999999E-2</v>
      </c>
      <c r="T4119">
        <v>3.5900000000000001E-2</v>
      </c>
      <c r="V4119">
        <v>7.8299999999999995E-2</v>
      </c>
      <c r="W4119" t="s">
        <v>66</v>
      </c>
      <c r="X4119" t="s">
        <v>67</v>
      </c>
      <c r="Y4119" t="s">
        <v>67</v>
      </c>
      <c r="Z4119" t="s">
        <v>68</v>
      </c>
      <c r="AB4119">
        <v>4</v>
      </c>
      <c r="AC4119" t="s">
        <v>61</v>
      </c>
      <c r="AJ4119" t="s">
        <v>69</v>
      </c>
      <c r="AY4119" t="s">
        <v>2767</v>
      </c>
      <c r="AZ4119">
        <v>835</v>
      </c>
      <c r="BA4119" t="s">
        <v>2768</v>
      </c>
      <c r="BB4119" t="s">
        <v>2769</v>
      </c>
      <c r="BC4119">
        <v>1976</v>
      </c>
      <c r="BD4119" t="s">
        <v>90</v>
      </c>
    </row>
    <row r="4120" spans="1:56" x14ac:dyDescent="0.35">
      <c r="A4120">
        <v>28553120</v>
      </c>
      <c r="B4120" t="s">
        <v>2770</v>
      </c>
      <c r="D4120" t="s">
        <v>85</v>
      </c>
      <c r="E4120" t="s">
        <v>128</v>
      </c>
      <c r="F4120" t="s">
        <v>58</v>
      </c>
      <c r="G4120" t="s">
        <v>59</v>
      </c>
      <c r="H4120" t="s">
        <v>60</v>
      </c>
      <c r="I4120" t="s">
        <v>129</v>
      </c>
      <c r="J4120" t="s">
        <v>86</v>
      </c>
      <c r="L4120" t="s">
        <v>74</v>
      </c>
      <c r="M4120" t="s">
        <v>63</v>
      </c>
      <c r="N4120" t="s">
        <v>64</v>
      </c>
      <c r="P4120" t="s">
        <v>65</v>
      </c>
      <c r="Q4120" t="s">
        <v>153</v>
      </c>
      <c r="R4120">
        <v>0.19</v>
      </c>
      <c r="W4120" t="s">
        <v>66</v>
      </c>
      <c r="X4120" t="s">
        <v>67</v>
      </c>
      <c r="Y4120" t="s">
        <v>67</v>
      </c>
      <c r="Z4120" t="s">
        <v>68</v>
      </c>
      <c r="AB4120">
        <v>4</v>
      </c>
      <c r="AC4120" t="s">
        <v>61</v>
      </c>
      <c r="AJ4120" t="s">
        <v>69</v>
      </c>
      <c r="AY4120" t="s">
        <v>630</v>
      </c>
      <c r="AZ4120">
        <v>15040</v>
      </c>
      <c r="BA4120" t="s">
        <v>631</v>
      </c>
      <c r="BB4120" t="s">
        <v>632</v>
      </c>
      <c r="BC4120">
        <v>1995</v>
      </c>
      <c r="BD4120" t="s">
        <v>90</v>
      </c>
    </row>
    <row r="4121" spans="1:56" x14ac:dyDescent="0.35">
      <c r="A4121">
        <v>28553120</v>
      </c>
      <c r="B4121" t="s">
        <v>2770</v>
      </c>
      <c r="D4121" t="s">
        <v>85</v>
      </c>
      <c r="E4121" t="s">
        <v>128</v>
      </c>
      <c r="F4121" t="s">
        <v>58</v>
      </c>
      <c r="G4121" t="s">
        <v>59</v>
      </c>
      <c r="H4121" t="s">
        <v>60</v>
      </c>
      <c r="I4121" t="s">
        <v>129</v>
      </c>
      <c r="J4121" t="s">
        <v>86</v>
      </c>
      <c r="L4121" t="s">
        <v>62</v>
      </c>
      <c r="M4121" t="s">
        <v>63</v>
      </c>
      <c r="N4121" t="s">
        <v>64</v>
      </c>
      <c r="P4121" t="s">
        <v>65</v>
      </c>
      <c r="Q4121" t="s">
        <v>153</v>
      </c>
      <c r="R4121">
        <v>0.1</v>
      </c>
      <c r="W4121" t="s">
        <v>66</v>
      </c>
      <c r="X4121" t="s">
        <v>67</v>
      </c>
      <c r="Y4121" t="s">
        <v>67</v>
      </c>
      <c r="Z4121" t="s">
        <v>68</v>
      </c>
      <c r="AB4121">
        <v>4</v>
      </c>
      <c r="AC4121" t="s">
        <v>61</v>
      </c>
      <c r="AJ4121" t="s">
        <v>69</v>
      </c>
      <c r="AY4121" t="s">
        <v>630</v>
      </c>
      <c r="AZ4121">
        <v>15040</v>
      </c>
      <c r="BA4121" t="s">
        <v>631</v>
      </c>
      <c r="BB4121" t="s">
        <v>632</v>
      </c>
      <c r="BC4121">
        <v>1995</v>
      </c>
      <c r="BD4121" t="s">
        <v>90</v>
      </c>
    </row>
    <row r="4122" spans="1:56" x14ac:dyDescent="0.35">
      <c r="A4122">
        <v>28553120</v>
      </c>
      <c r="B4122" t="s">
        <v>2770</v>
      </c>
      <c r="D4122" t="s">
        <v>57</v>
      </c>
      <c r="E4122" t="s">
        <v>86</v>
      </c>
      <c r="F4122" t="s">
        <v>58</v>
      </c>
      <c r="G4122" t="s">
        <v>59</v>
      </c>
      <c r="H4122" t="s">
        <v>60</v>
      </c>
      <c r="J4122" t="s">
        <v>86</v>
      </c>
      <c r="L4122" t="s">
        <v>62</v>
      </c>
      <c r="M4122" t="s">
        <v>63</v>
      </c>
      <c r="N4122" t="s">
        <v>64</v>
      </c>
      <c r="O4122">
        <v>2</v>
      </c>
      <c r="P4122" t="s">
        <v>65</v>
      </c>
      <c r="Q4122" t="s">
        <v>153</v>
      </c>
      <c r="R4122">
        <v>0.14000000000000001</v>
      </c>
      <c r="W4122" t="s">
        <v>66</v>
      </c>
      <c r="X4122" t="s">
        <v>67</v>
      </c>
      <c r="Y4122" t="s">
        <v>67</v>
      </c>
      <c r="Z4122" t="s">
        <v>68</v>
      </c>
      <c r="AB4122">
        <v>4</v>
      </c>
      <c r="AC4122" t="s">
        <v>61</v>
      </c>
      <c r="AJ4122" t="s">
        <v>69</v>
      </c>
      <c r="AY4122" t="s">
        <v>633</v>
      </c>
      <c r="AZ4122">
        <v>180491</v>
      </c>
      <c r="BA4122" t="s">
        <v>634</v>
      </c>
      <c r="BB4122" t="s">
        <v>635</v>
      </c>
      <c r="BC4122">
        <v>2000</v>
      </c>
      <c r="BD4122" t="s">
        <v>90</v>
      </c>
    </row>
    <row r="4123" spans="1:56" x14ac:dyDescent="0.35">
      <c r="A4123">
        <v>28680457</v>
      </c>
      <c r="B4123" t="s">
        <v>2771</v>
      </c>
      <c r="D4123" t="s">
        <v>57</v>
      </c>
      <c r="E4123" t="s">
        <v>86</v>
      </c>
      <c r="F4123" t="s">
        <v>58</v>
      </c>
      <c r="G4123" t="s">
        <v>59</v>
      </c>
      <c r="H4123" t="s">
        <v>60</v>
      </c>
      <c r="I4123" t="s">
        <v>188</v>
      </c>
      <c r="J4123">
        <v>1</v>
      </c>
      <c r="K4123" t="s">
        <v>61</v>
      </c>
      <c r="L4123" t="s">
        <v>74</v>
      </c>
      <c r="M4123" t="s">
        <v>63</v>
      </c>
      <c r="N4123" t="s">
        <v>64</v>
      </c>
      <c r="P4123" t="s">
        <v>65</v>
      </c>
      <c r="R4123">
        <v>8.5599999999999996E-2</v>
      </c>
      <c r="W4123" t="s">
        <v>66</v>
      </c>
      <c r="X4123" t="s">
        <v>67</v>
      </c>
      <c r="Y4123" t="s">
        <v>67</v>
      </c>
      <c r="Z4123" t="s">
        <v>68</v>
      </c>
      <c r="AB4123">
        <v>4</v>
      </c>
      <c r="AC4123" t="s">
        <v>61</v>
      </c>
      <c r="AJ4123" t="s">
        <v>69</v>
      </c>
      <c r="AY4123" t="s">
        <v>531</v>
      </c>
      <c r="AZ4123">
        <v>2097</v>
      </c>
      <c r="BA4123" t="s">
        <v>532</v>
      </c>
      <c r="BB4123" t="s">
        <v>533</v>
      </c>
      <c r="BC4123">
        <v>1979</v>
      </c>
      <c r="BD4123" t="s">
        <v>73</v>
      </c>
    </row>
    <row r="4124" spans="1:56" x14ac:dyDescent="0.35">
      <c r="A4124">
        <v>28777700</v>
      </c>
      <c r="B4124" t="s">
        <v>2772</v>
      </c>
      <c r="D4124" t="s">
        <v>85</v>
      </c>
      <c r="E4124" t="s">
        <v>86</v>
      </c>
      <c r="F4124" t="s">
        <v>58</v>
      </c>
      <c r="G4124" t="s">
        <v>59</v>
      </c>
      <c r="H4124" t="s">
        <v>60</v>
      </c>
      <c r="J4124">
        <v>5.5</v>
      </c>
      <c r="K4124" t="s">
        <v>320</v>
      </c>
      <c r="L4124" t="s">
        <v>62</v>
      </c>
      <c r="M4124" t="s">
        <v>63</v>
      </c>
      <c r="N4124" t="s">
        <v>64</v>
      </c>
      <c r="O4124">
        <v>7</v>
      </c>
      <c r="P4124" t="s">
        <v>100</v>
      </c>
      <c r="R4124">
        <v>42.3</v>
      </c>
      <c r="T4124">
        <v>32.6</v>
      </c>
      <c r="V4124">
        <v>54.9</v>
      </c>
      <c r="W4124" t="s">
        <v>66</v>
      </c>
      <c r="X4124" t="s">
        <v>67</v>
      </c>
      <c r="Y4124" t="s">
        <v>67</v>
      </c>
      <c r="Z4124" t="s">
        <v>68</v>
      </c>
      <c r="AB4124">
        <v>4</v>
      </c>
      <c r="AC4124" t="s">
        <v>61</v>
      </c>
      <c r="AJ4124" t="s">
        <v>69</v>
      </c>
      <c r="AY4124" t="s">
        <v>1134</v>
      </c>
      <c r="AZ4124">
        <v>179719</v>
      </c>
      <c r="BA4124" t="s">
        <v>1135</v>
      </c>
      <c r="BB4124" t="s">
        <v>1136</v>
      </c>
      <c r="BC4124">
        <v>2000</v>
      </c>
      <c r="BD4124" t="s">
        <v>324</v>
      </c>
    </row>
    <row r="4125" spans="1:56" x14ac:dyDescent="0.35">
      <c r="A4125">
        <v>29081569</v>
      </c>
      <c r="B4125" t="s">
        <v>2773</v>
      </c>
      <c r="D4125" t="s">
        <v>85</v>
      </c>
      <c r="E4125">
        <v>25</v>
      </c>
      <c r="F4125" t="s">
        <v>58</v>
      </c>
      <c r="G4125" t="s">
        <v>59</v>
      </c>
      <c r="H4125" t="s">
        <v>60</v>
      </c>
      <c r="J4125" t="s">
        <v>86</v>
      </c>
      <c r="L4125" t="s">
        <v>62</v>
      </c>
      <c r="M4125" t="s">
        <v>63</v>
      </c>
      <c r="N4125" t="s">
        <v>64</v>
      </c>
      <c r="O4125">
        <v>6</v>
      </c>
      <c r="P4125" t="s">
        <v>100</v>
      </c>
      <c r="R4125">
        <v>85</v>
      </c>
      <c r="W4125" t="s">
        <v>66</v>
      </c>
      <c r="X4125" t="s">
        <v>67</v>
      </c>
      <c r="Y4125" t="s">
        <v>67</v>
      </c>
      <c r="Z4125" t="s">
        <v>68</v>
      </c>
      <c r="AB4125">
        <v>4</v>
      </c>
      <c r="AC4125" t="s">
        <v>61</v>
      </c>
      <c r="AJ4125" t="s">
        <v>69</v>
      </c>
      <c r="AY4125" t="s">
        <v>1393</v>
      </c>
      <c r="AZ4125">
        <v>181682</v>
      </c>
      <c r="BA4125" t="s">
        <v>2774</v>
      </c>
      <c r="BB4125" t="s">
        <v>2775</v>
      </c>
      <c r="BC4125">
        <v>2000</v>
      </c>
      <c r="BD4125" t="s">
        <v>90</v>
      </c>
    </row>
    <row r="4126" spans="1:56" x14ac:dyDescent="0.35">
      <c r="A4126">
        <v>29081569</v>
      </c>
      <c r="B4126" t="s">
        <v>2773</v>
      </c>
      <c r="D4126" t="s">
        <v>85</v>
      </c>
      <c r="E4126">
        <v>25</v>
      </c>
      <c r="F4126" t="s">
        <v>58</v>
      </c>
      <c r="G4126" t="s">
        <v>59</v>
      </c>
      <c r="H4126" t="s">
        <v>60</v>
      </c>
      <c r="J4126" t="s">
        <v>86</v>
      </c>
      <c r="L4126" t="s">
        <v>62</v>
      </c>
      <c r="M4126" t="s">
        <v>63</v>
      </c>
      <c r="N4126" t="s">
        <v>64</v>
      </c>
      <c r="O4126">
        <v>6</v>
      </c>
      <c r="P4126" t="s">
        <v>100</v>
      </c>
      <c r="R4126">
        <v>100</v>
      </c>
      <c r="W4126" t="s">
        <v>66</v>
      </c>
      <c r="X4126" t="s">
        <v>67</v>
      </c>
      <c r="Y4126" t="s">
        <v>67</v>
      </c>
      <c r="Z4126" t="s">
        <v>68</v>
      </c>
      <c r="AB4126">
        <v>4</v>
      </c>
      <c r="AC4126" t="s">
        <v>61</v>
      </c>
      <c r="AJ4126" t="s">
        <v>69</v>
      </c>
      <c r="AY4126" t="s">
        <v>1393</v>
      </c>
      <c r="AZ4126">
        <v>181682</v>
      </c>
      <c r="BA4126" t="s">
        <v>2774</v>
      </c>
      <c r="BB4126" t="s">
        <v>2775</v>
      </c>
      <c r="BC4126">
        <v>2000</v>
      </c>
      <c r="BD4126" t="s">
        <v>90</v>
      </c>
    </row>
    <row r="4127" spans="1:56" x14ac:dyDescent="0.35">
      <c r="A4127">
        <v>29091052</v>
      </c>
      <c r="B4127" t="s">
        <v>2776</v>
      </c>
      <c r="E4127">
        <v>99.2</v>
      </c>
      <c r="F4127" t="s">
        <v>58</v>
      </c>
      <c r="G4127" t="s">
        <v>59</v>
      </c>
      <c r="H4127" t="s">
        <v>60</v>
      </c>
      <c r="J4127" t="s">
        <v>86</v>
      </c>
      <c r="L4127" t="s">
        <v>74</v>
      </c>
      <c r="M4127" t="s">
        <v>63</v>
      </c>
      <c r="N4127" t="s">
        <v>64</v>
      </c>
      <c r="P4127" t="s">
        <v>65</v>
      </c>
      <c r="R4127">
        <v>1.18</v>
      </c>
      <c r="T4127">
        <v>1.0049999999999999</v>
      </c>
      <c r="V4127">
        <v>1.3839999999999999</v>
      </c>
      <c r="W4127" t="s">
        <v>66</v>
      </c>
      <c r="X4127" t="s">
        <v>67</v>
      </c>
      <c r="Y4127" t="s">
        <v>67</v>
      </c>
      <c r="Z4127" t="s">
        <v>68</v>
      </c>
      <c r="AB4127">
        <v>4</v>
      </c>
      <c r="AC4127" t="s">
        <v>61</v>
      </c>
      <c r="AJ4127" t="s">
        <v>69</v>
      </c>
      <c r="AY4127" t="s">
        <v>96</v>
      </c>
      <c r="AZ4127">
        <v>6797</v>
      </c>
      <c r="BA4127" t="s">
        <v>97</v>
      </c>
      <c r="BB4127" t="s">
        <v>98</v>
      </c>
      <c r="BC4127">
        <v>1986</v>
      </c>
      <c r="BD4127" t="s">
        <v>90</v>
      </c>
    </row>
    <row r="4128" spans="1:56" x14ac:dyDescent="0.35">
      <c r="A4128">
        <v>29091052</v>
      </c>
      <c r="B4128" t="s">
        <v>2776</v>
      </c>
      <c r="E4128">
        <v>99.2</v>
      </c>
      <c r="F4128" t="s">
        <v>58</v>
      </c>
      <c r="G4128" t="s">
        <v>59</v>
      </c>
      <c r="H4128" t="s">
        <v>60</v>
      </c>
      <c r="J4128" t="s">
        <v>86</v>
      </c>
      <c r="L4128" t="s">
        <v>62</v>
      </c>
      <c r="M4128" t="s">
        <v>63</v>
      </c>
      <c r="N4128" t="s">
        <v>64</v>
      </c>
      <c r="P4128" t="s">
        <v>65</v>
      </c>
      <c r="R4128">
        <v>1.44</v>
      </c>
      <c r="T4128">
        <v>1.07</v>
      </c>
      <c r="V4128">
        <v>1.93</v>
      </c>
      <c r="W4128" t="s">
        <v>66</v>
      </c>
      <c r="X4128" t="s">
        <v>67</v>
      </c>
      <c r="Y4128" t="s">
        <v>67</v>
      </c>
      <c r="Z4128" t="s">
        <v>68</v>
      </c>
      <c r="AB4128">
        <v>4</v>
      </c>
      <c r="AC4128" t="s">
        <v>61</v>
      </c>
      <c r="AJ4128" t="s">
        <v>69</v>
      </c>
      <c r="AY4128" t="s">
        <v>96</v>
      </c>
      <c r="AZ4128">
        <v>6797</v>
      </c>
      <c r="BA4128" t="s">
        <v>97</v>
      </c>
      <c r="BB4128" t="s">
        <v>98</v>
      </c>
      <c r="BC4128">
        <v>1986</v>
      </c>
      <c r="BD4128" t="s">
        <v>90</v>
      </c>
    </row>
    <row r="4129" spans="1:56" x14ac:dyDescent="0.35">
      <c r="A4129">
        <v>29232937</v>
      </c>
      <c r="B4129" t="s">
        <v>2777</v>
      </c>
      <c r="E4129">
        <v>88.9</v>
      </c>
      <c r="F4129" t="s">
        <v>58</v>
      </c>
      <c r="G4129" t="s">
        <v>59</v>
      </c>
      <c r="H4129" t="s">
        <v>60</v>
      </c>
      <c r="J4129" t="s">
        <v>86</v>
      </c>
      <c r="L4129" t="s">
        <v>74</v>
      </c>
      <c r="M4129" t="s">
        <v>63</v>
      </c>
      <c r="N4129" t="s">
        <v>64</v>
      </c>
      <c r="P4129" t="s">
        <v>65</v>
      </c>
      <c r="R4129">
        <v>2.5</v>
      </c>
      <c r="T4129">
        <v>2.2999999999999998</v>
      </c>
      <c r="V4129">
        <v>2.6</v>
      </c>
      <c r="W4129" t="s">
        <v>66</v>
      </c>
      <c r="X4129" t="s">
        <v>67</v>
      </c>
      <c r="Y4129" t="s">
        <v>67</v>
      </c>
      <c r="Z4129" t="s">
        <v>68</v>
      </c>
      <c r="AB4129">
        <v>4</v>
      </c>
      <c r="AC4129" t="s">
        <v>61</v>
      </c>
      <c r="AJ4129" t="s">
        <v>69</v>
      </c>
      <c r="AY4129" t="s">
        <v>116</v>
      </c>
      <c r="AZ4129">
        <v>344</v>
      </c>
      <c r="BA4129" t="s">
        <v>117</v>
      </c>
      <c r="BB4129" t="s">
        <v>118</v>
      </c>
      <c r="BC4129">
        <v>1992</v>
      </c>
      <c r="BD4129" t="s">
        <v>90</v>
      </c>
    </row>
    <row r="4130" spans="1:56" x14ac:dyDescent="0.35">
      <c r="A4130">
        <v>29245510</v>
      </c>
      <c r="B4130" t="s">
        <v>2778</v>
      </c>
      <c r="D4130" t="s">
        <v>85</v>
      </c>
      <c r="E4130" t="s">
        <v>86</v>
      </c>
      <c r="F4130" t="s">
        <v>58</v>
      </c>
      <c r="G4130" t="s">
        <v>59</v>
      </c>
      <c r="H4130" t="s">
        <v>60</v>
      </c>
      <c r="J4130" t="s">
        <v>86</v>
      </c>
      <c r="L4130" t="s">
        <v>62</v>
      </c>
      <c r="M4130" t="s">
        <v>63</v>
      </c>
      <c r="N4130" t="s">
        <v>64</v>
      </c>
      <c r="P4130" t="s">
        <v>100</v>
      </c>
      <c r="R4130">
        <v>0.16</v>
      </c>
      <c r="T4130">
        <v>0.12</v>
      </c>
      <c r="V4130">
        <v>1</v>
      </c>
      <c r="W4130" t="s">
        <v>66</v>
      </c>
      <c r="X4130" t="s">
        <v>67</v>
      </c>
      <c r="Y4130" t="s">
        <v>67</v>
      </c>
      <c r="Z4130" t="s">
        <v>68</v>
      </c>
      <c r="AB4130">
        <v>4</v>
      </c>
      <c r="AC4130" t="s">
        <v>61</v>
      </c>
      <c r="AJ4130" t="s">
        <v>69</v>
      </c>
      <c r="AY4130" t="s">
        <v>872</v>
      </c>
      <c r="AZ4130">
        <v>73461</v>
      </c>
      <c r="BA4130" t="s">
        <v>873</v>
      </c>
      <c r="BB4130" t="s">
        <v>874</v>
      </c>
      <c r="BC4130">
        <v>1983</v>
      </c>
      <c r="BD4130" t="s">
        <v>90</v>
      </c>
    </row>
    <row r="4131" spans="1:56" x14ac:dyDescent="0.35">
      <c r="A4131">
        <v>29385431</v>
      </c>
      <c r="B4131" t="s">
        <v>2779</v>
      </c>
      <c r="D4131" t="s">
        <v>57</v>
      </c>
      <c r="E4131" t="s">
        <v>86</v>
      </c>
      <c r="F4131" t="s">
        <v>58</v>
      </c>
      <c r="G4131" t="s">
        <v>59</v>
      </c>
      <c r="H4131" t="s">
        <v>60</v>
      </c>
      <c r="J4131" t="s">
        <v>230</v>
      </c>
      <c r="K4131" t="s">
        <v>61</v>
      </c>
      <c r="L4131" t="s">
        <v>62</v>
      </c>
      <c r="M4131" t="s">
        <v>63</v>
      </c>
      <c r="N4131" t="s">
        <v>64</v>
      </c>
      <c r="P4131" t="s">
        <v>65</v>
      </c>
      <c r="R4131">
        <v>38</v>
      </c>
      <c r="T4131">
        <v>32</v>
      </c>
      <c r="V4131">
        <v>46</v>
      </c>
      <c r="W4131" t="s">
        <v>66</v>
      </c>
      <c r="X4131" t="s">
        <v>67</v>
      </c>
      <c r="Y4131" t="s">
        <v>67</v>
      </c>
      <c r="Z4131" t="s">
        <v>68</v>
      </c>
      <c r="AB4131">
        <v>4</v>
      </c>
      <c r="AC4131" t="s">
        <v>61</v>
      </c>
      <c r="AJ4131" t="s">
        <v>69</v>
      </c>
      <c r="AY4131" t="s">
        <v>231</v>
      </c>
      <c r="AZ4131">
        <v>48385</v>
      </c>
      <c r="BA4131" t="s">
        <v>232</v>
      </c>
      <c r="BB4131" t="s">
        <v>233</v>
      </c>
      <c r="BC4131">
        <v>2000</v>
      </c>
      <c r="BD4131" t="s">
        <v>73</v>
      </c>
    </row>
    <row r="4132" spans="1:56" x14ac:dyDescent="0.35">
      <c r="A4132">
        <v>29385431</v>
      </c>
      <c r="B4132" t="s">
        <v>2779</v>
      </c>
      <c r="D4132" t="s">
        <v>57</v>
      </c>
      <c r="E4132" t="s">
        <v>86</v>
      </c>
      <c r="F4132" t="s">
        <v>58</v>
      </c>
      <c r="G4132" t="s">
        <v>59</v>
      </c>
      <c r="H4132" t="s">
        <v>60</v>
      </c>
      <c r="J4132" t="s">
        <v>230</v>
      </c>
      <c r="K4132" t="s">
        <v>61</v>
      </c>
      <c r="L4132" t="s">
        <v>62</v>
      </c>
      <c r="M4132" t="s">
        <v>63</v>
      </c>
      <c r="N4132" t="s">
        <v>64</v>
      </c>
      <c r="P4132" t="s">
        <v>65</v>
      </c>
      <c r="R4132">
        <v>65</v>
      </c>
      <c r="T4132">
        <v>47</v>
      </c>
      <c r="V4132">
        <v>94</v>
      </c>
      <c r="W4132" t="s">
        <v>66</v>
      </c>
      <c r="X4132" t="s">
        <v>67</v>
      </c>
      <c r="Y4132" t="s">
        <v>67</v>
      </c>
      <c r="Z4132" t="s">
        <v>68</v>
      </c>
      <c r="AB4132">
        <v>4</v>
      </c>
      <c r="AC4132" t="s">
        <v>61</v>
      </c>
      <c r="AJ4132" t="s">
        <v>69</v>
      </c>
      <c r="AY4132" t="s">
        <v>231</v>
      </c>
      <c r="AZ4132">
        <v>48385</v>
      </c>
      <c r="BA4132" t="s">
        <v>232</v>
      </c>
      <c r="BB4132" t="s">
        <v>233</v>
      </c>
      <c r="BC4132">
        <v>2000</v>
      </c>
      <c r="BD4132" t="s">
        <v>73</v>
      </c>
    </row>
    <row r="4133" spans="1:56" x14ac:dyDescent="0.35">
      <c r="A4133">
        <v>29420493</v>
      </c>
      <c r="B4133" t="s">
        <v>2780</v>
      </c>
      <c r="D4133" t="s">
        <v>57</v>
      </c>
      <c r="E4133" t="s">
        <v>86</v>
      </c>
      <c r="F4133" t="s">
        <v>58</v>
      </c>
      <c r="G4133" t="s">
        <v>59</v>
      </c>
      <c r="H4133" t="s">
        <v>60</v>
      </c>
      <c r="I4133" t="s">
        <v>129</v>
      </c>
      <c r="J4133" t="s">
        <v>86</v>
      </c>
      <c r="L4133" t="s">
        <v>62</v>
      </c>
      <c r="M4133" t="s">
        <v>63</v>
      </c>
      <c r="N4133" t="s">
        <v>64</v>
      </c>
      <c r="O4133">
        <v>6</v>
      </c>
      <c r="P4133" t="s">
        <v>65</v>
      </c>
      <c r="R4133">
        <v>1938</v>
      </c>
      <c r="T4133">
        <v>888</v>
      </c>
      <c r="V4133">
        <v>3341</v>
      </c>
      <c r="W4133" t="s">
        <v>66</v>
      </c>
      <c r="X4133" t="s">
        <v>67</v>
      </c>
      <c r="Y4133" t="s">
        <v>67</v>
      </c>
      <c r="Z4133" t="s">
        <v>68</v>
      </c>
      <c r="AB4133">
        <v>4</v>
      </c>
      <c r="AC4133" t="s">
        <v>61</v>
      </c>
      <c r="AJ4133" t="s">
        <v>69</v>
      </c>
      <c r="AY4133" t="s">
        <v>2781</v>
      </c>
      <c r="AZ4133">
        <v>185937</v>
      </c>
      <c r="BA4133" t="s">
        <v>2782</v>
      </c>
      <c r="BB4133" t="s">
        <v>2783</v>
      </c>
      <c r="BC4133">
        <v>2001</v>
      </c>
      <c r="BD4133" t="s">
        <v>2784</v>
      </c>
    </row>
    <row r="4134" spans="1:56" x14ac:dyDescent="0.35">
      <c r="A4134">
        <v>29457725</v>
      </c>
      <c r="B4134" t="s">
        <v>2785</v>
      </c>
      <c r="D4134" t="s">
        <v>85</v>
      </c>
      <c r="E4134">
        <v>24.5</v>
      </c>
      <c r="F4134" t="s">
        <v>58</v>
      </c>
      <c r="G4134" t="s">
        <v>59</v>
      </c>
      <c r="H4134" t="s">
        <v>60</v>
      </c>
      <c r="J4134">
        <v>79</v>
      </c>
      <c r="K4134" t="s">
        <v>61</v>
      </c>
      <c r="L4134" t="s">
        <v>62</v>
      </c>
      <c r="M4134" t="s">
        <v>63</v>
      </c>
      <c r="N4134" t="s">
        <v>64</v>
      </c>
      <c r="O4134">
        <v>7</v>
      </c>
      <c r="P4134" t="s">
        <v>100</v>
      </c>
      <c r="R4134">
        <v>19</v>
      </c>
      <c r="T4134">
        <v>16</v>
      </c>
      <c r="V4134">
        <v>24</v>
      </c>
      <c r="W4134" t="s">
        <v>66</v>
      </c>
      <c r="X4134" t="s">
        <v>67</v>
      </c>
      <c r="Y4134" t="s">
        <v>67</v>
      </c>
      <c r="Z4134" t="s">
        <v>68</v>
      </c>
      <c r="AB4134">
        <v>4</v>
      </c>
      <c r="AC4134" t="s">
        <v>61</v>
      </c>
      <c r="AJ4134" t="s">
        <v>69</v>
      </c>
      <c r="AY4134" t="s">
        <v>1393</v>
      </c>
      <c r="AZ4134">
        <v>181682</v>
      </c>
      <c r="BA4134" t="s">
        <v>2774</v>
      </c>
      <c r="BB4134" t="s">
        <v>2775</v>
      </c>
      <c r="BC4134">
        <v>2000</v>
      </c>
      <c r="BD4134" t="s">
        <v>73</v>
      </c>
    </row>
    <row r="4135" spans="1:56" x14ac:dyDescent="0.35">
      <c r="A4135">
        <v>29553262</v>
      </c>
      <c r="B4135" t="s">
        <v>2786</v>
      </c>
      <c r="D4135" t="s">
        <v>57</v>
      </c>
      <c r="E4135" t="s">
        <v>86</v>
      </c>
      <c r="F4135" t="s">
        <v>58</v>
      </c>
      <c r="G4135" t="s">
        <v>59</v>
      </c>
      <c r="H4135" t="s">
        <v>60</v>
      </c>
      <c r="J4135">
        <v>30</v>
      </c>
      <c r="K4135" t="s">
        <v>61</v>
      </c>
      <c r="L4135" t="s">
        <v>74</v>
      </c>
      <c r="M4135" t="s">
        <v>63</v>
      </c>
      <c r="N4135" t="s">
        <v>64</v>
      </c>
      <c r="P4135" t="s">
        <v>65</v>
      </c>
      <c r="R4135">
        <v>582</v>
      </c>
      <c r="W4135" t="s">
        <v>66</v>
      </c>
      <c r="X4135" t="s">
        <v>67</v>
      </c>
      <c r="Y4135" t="s">
        <v>67</v>
      </c>
      <c r="Z4135" t="s">
        <v>68</v>
      </c>
      <c r="AB4135">
        <v>4</v>
      </c>
      <c r="AC4135" t="s">
        <v>61</v>
      </c>
      <c r="AJ4135" t="s">
        <v>69</v>
      </c>
      <c r="AY4135" t="s">
        <v>80</v>
      </c>
      <c r="AZ4135">
        <v>12859</v>
      </c>
      <c r="BA4135" t="s">
        <v>81</v>
      </c>
      <c r="BB4135" t="s">
        <v>82</v>
      </c>
      <c r="BC4135">
        <v>1988</v>
      </c>
      <c r="BD4135" t="s">
        <v>73</v>
      </c>
    </row>
    <row r="4136" spans="1:56" x14ac:dyDescent="0.35">
      <c r="A4136">
        <v>29632982</v>
      </c>
      <c r="B4136" t="s">
        <v>2787</v>
      </c>
      <c r="D4136" t="s">
        <v>85</v>
      </c>
      <c r="E4136" t="s">
        <v>86</v>
      </c>
      <c r="F4136" t="s">
        <v>58</v>
      </c>
      <c r="G4136" t="s">
        <v>59</v>
      </c>
      <c r="H4136" t="s">
        <v>60</v>
      </c>
      <c r="J4136" t="s">
        <v>86</v>
      </c>
      <c r="L4136" t="s">
        <v>62</v>
      </c>
      <c r="M4136" t="s">
        <v>63</v>
      </c>
      <c r="N4136" t="s">
        <v>64</v>
      </c>
      <c r="O4136">
        <v>4</v>
      </c>
      <c r="P4136" t="s">
        <v>100</v>
      </c>
      <c r="R4136">
        <v>10</v>
      </c>
      <c r="W4136" t="s">
        <v>66</v>
      </c>
      <c r="X4136" t="s">
        <v>67</v>
      </c>
      <c r="Y4136" t="s">
        <v>67</v>
      </c>
      <c r="Z4136" t="s">
        <v>68</v>
      </c>
      <c r="AB4136">
        <v>4</v>
      </c>
      <c r="AC4136" t="s">
        <v>61</v>
      </c>
      <c r="AJ4136" t="s">
        <v>69</v>
      </c>
      <c r="AY4136" t="s">
        <v>173</v>
      </c>
      <c r="AZ4136">
        <v>167113</v>
      </c>
      <c r="BA4136" t="s">
        <v>174</v>
      </c>
      <c r="BB4136" t="s">
        <v>175</v>
      </c>
      <c r="BC4136">
        <v>1974</v>
      </c>
      <c r="BD4136" t="s">
        <v>90</v>
      </c>
    </row>
    <row r="4137" spans="1:56" x14ac:dyDescent="0.35">
      <c r="A4137">
        <v>29878317</v>
      </c>
      <c r="B4137" t="s">
        <v>2788</v>
      </c>
      <c r="D4137" t="s">
        <v>57</v>
      </c>
      <c r="E4137" t="s">
        <v>86</v>
      </c>
      <c r="F4137" t="s">
        <v>58</v>
      </c>
      <c r="G4137" t="s">
        <v>59</v>
      </c>
      <c r="H4137" t="s">
        <v>60</v>
      </c>
      <c r="J4137" t="s">
        <v>86</v>
      </c>
      <c r="K4137" t="s">
        <v>61</v>
      </c>
      <c r="L4137" t="s">
        <v>190</v>
      </c>
      <c r="M4137" t="s">
        <v>63</v>
      </c>
      <c r="N4137" t="s">
        <v>64</v>
      </c>
      <c r="P4137" t="s">
        <v>65</v>
      </c>
      <c r="R4137">
        <v>63</v>
      </c>
      <c r="T4137">
        <v>57</v>
      </c>
      <c r="V4137">
        <v>69</v>
      </c>
      <c r="W4137" t="s">
        <v>66</v>
      </c>
      <c r="X4137" t="s">
        <v>67</v>
      </c>
      <c r="Y4137" t="s">
        <v>67</v>
      </c>
      <c r="Z4137" t="s">
        <v>68</v>
      </c>
      <c r="AB4137">
        <v>4</v>
      </c>
      <c r="AC4137" t="s">
        <v>61</v>
      </c>
      <c r="AJ4137" t="s">
        <v>69</v>
      </c>
      <c r="AY4137" t="s">
        <v>801</v>
      </c>
      <c r="AZ4137">
        <v>60072</v>
      </c>
      <c r="BA4137" t="s">
        <v>802</v>
      </c>
      <c r="BB4137" t="s">
        <v>803</v>
      </c>
      <c r="BC4137">
        <v>2001</v>
      </c>
      <c r="BD4137" t="s">
        <v>804</v>
      </c>
    </row>
    <row r="4138" spans="1:56" x14ac:dyDescent="0.35">
      <c r="A4138">
        <v>30030252</v>
      </c>
      <c r="B4138" t="s">
        <v>2789</v>
      </c>
      <c r="D4138" t="s">
        <v>57</v>
      </c>
      <c r="E4138" t="s">
        <v>407</v>
      </c>
      <c r="F4138" t="s">
        <v>58</v>
      </c>
      <c r="G4138" t="s">
        <v>59</v>
      </c>
      <c r="H4138" t="s">
        <v>60</v>
      </c>
      <c r="J4138">
        <v>32</v>
      </c>
      <c r="K4138" t="s">
        <v>61</v>
      </c>
      <c r="L4138" t="s">
        <v>74</v>
      </c>
      <c r="M4138" t="s">
        <v>63</v>
      </c>
      <c r="N4138" t="s">
        <v>64</v>
      </c>
      <c r="P4138" t="s">
        <v>65</v>
      </c>
      <c r="R4138">
        <v>0.31</v>
      </c>
      <c r="T4138">
        <v>0.28000000000000003</v>
      </c>
      <c r="V4138">
        <v>0.34</v>
      </c>
      <c r="W4138" t="s">
        <v>66</v>
      </c>
      <c r="X4138" t="s">
        <v>67</v>
      </c>
      <c r="Y4138" t="s">
        <v>67</v>
      </c>
      <c r="Z4138" t="s">
        <v>68</v>
      </c>
      <c r="AB4138">
        <v>4</v>
      </c>
      <c r="AC4138" t="s">
        <v>61</v>
      </c>
      <c r="AJ4138" t="s">
        <v>69</v>
      </c>
      <c r="AY4138" t="s">
        <v>141</v>
      </c>
      <c r="AZ4138">
        <v>12447</v>
      </c>
      <c r="BA4138" t="s">
        <v>142</v>
      </c>
      <c r="BB4138" t="s">
        <v>143</v>
      </c>
      <c r="BC4138">
        <v>1985</v>
      </c>
      <c r="BD4138" t="s">
        <v>73</v>
      </c>
    </row>
    <row r="4139" spans="1:56" x14ac:dyDescent="0.35">
      <c r="A4139">
        <v>30560191</v>
      </c>
      <c r="B4139" t="s">
        <v>2790</v>
      </c>
      <c r="E4139">
        <v>75</v>
      </c>
      <c r="F4139" t="s">
        <v>58</v>
      </c>
      <c r="G4139" t="s">
        <v>59</v>
      </c>
      <c r="H4139" t="s">
        <v>60</v>
      </c>
      <c r="J4139" t="s">
        <v>86</v>
      </c>
      <c r="L4139" t="s">
        <v>62</v>
      </c>
      <c r="M4139" t="s">
        <v>63</v>
      </c>
      <c r="N4139" t="s">
        <v>64</v>
      </c>
      <c r="P4139" t="s">
        <v>65</v>
      </c>
      <c r="Q4139" t="s">
        <v>153</v>
      </c>
      <c r="R4139">
        <v>1000</v>
      </c>
      <c r="W4139" t="s">
        <v>66</v>
      </c>
      <c r="X4139" t="s">
        <v>67</v>
      </c>
      <c r="Y4139" t="s">
        <v>67</v>
      </c>
      <c r="Z4139" t="s">
        <v>68</v>
      </c>
      <c r="AB4139">
        <v>4</v>
      </c>
      <c r="AC4139" t="s">
        <v>61</v>
      </c>
      <c r="AJ4139" t="s">
        <v>69</v>
      </c>
      <c r="AY4139" t="s">
        <v>96</v>
      </c>
      <c r="AZ4139">
        <v>6797</v>
      </c>
      <c r="BA4139" t="s">
        <v>97</v>
      </c>
      <c r="BB4139" t="s">
        <v>98</v>
      </c>
      <c r="BC4139">
        <v>1986</v>
      </c>
      <c r="BD4139" t="s">
        <v>90</v>
      </c>
    </row>
    <row r="4140" spans="1:56" x14ac:dyDescent="0.35">
      <c r="A4140">
        <v>30560191</v>
      </c>
      <c r="B4140" t="s">
        <v>2790</v>
      </c>
      <c r="C4140" t="s">
        <v>91</v>
      </c>
      <c r="D4140" t="s">
        <v>85</v>
      </c>
      <c r="E4140">
        <v>94</v>
      </c>
      <c r="F4140" t="s">
        <v>58</v>
      </c>
      <c r="G4140" t="s">
        <v>59</v>
      </c>
      <c r="H4140" t="s">
        <v>60</v>
      </c>
      <c r="J4140" t="s">
        <v>86</v>
      </c>
      <c r="L4140" t="s">
        <v>62</v>
      </c>
      <c r="M4140" t="s">
        <v>63</v>
      </c>
      <c r="N4140" t="s">
        <v>64</v>
      </c>
      <c r="P4140" t="s">
        <v>65</v>
      </c>
      <c r="Q4140" t="s">
        <v>153</v>
      </c>
      <c r="R4140">
        <v>50</v>
      </c>
      <c r="W4140" t="s">
        <v>66</v>
      </c>
      <c r="X4140" t="s">
        <v>67</v>
      </c>
      <c r="Y4140" t="s">
        <v>67</v>
      </c>
      <c r="Z4140" t="s">
        <v>68</v>
      </c>
      <c r="AB4140">
        <v>4</v>
      </c>
      <c r="AC4140" t="s">
        <v>61</v>
      </c>
      <c r="AJ4140" t="s">
        <v>69</v>
      </c>
      <c r="AY4140" t="s">
        <v>154</v>
      </c>
      <c r="AZ4140">
        <v>15574</v>
      </c>
      <c r="BA4140" t="s">
        <v>155</v>
      </c>
      <c r="BB4140" t="s">
        <v>156</v>
      </c>
      <c r="BC4140">
        <v>1983</v>
      </c>
      <c r="BD4140" t="s">
        <v>90</v>
      </c>
    </row>
    <row r="4141" spans="1:56" x14ac:dyDescent="0.35">
      <c r="A4141">
        <v>30560191</v>
      </c>
      <c r="B4141" t="s">
        <v>2790</v>
      </c>
      <c r="D4141" t="s">
        <v>85</v>
      </c>
      <c r="E4141">
        <v>75</v>
      </c>
      <c r="F4141" t="s">
        <v>58</v>
      </c>
      <c r="G4141" t="s">
        <v>59</v>
      </c>
      <c r="H4141" t="s">
        <v>60</v>
      </c>
      <c r="J4141" t="s">
        <v>86</v>
      </c>
      <c r="L4141" t="s">
        <v>62</v>
      </c>
      <c r="M4141" t="s">
        <v>63</v>
      </c>
      <c r="N4141" t="s">
        <v>64</v>
      </c>
      <c r="P4141" t="s">
        <v>65</v>
      </c>
      <c r="Q4141" t="s">
        <v>153</v>
      </c>
      <c r="R4141">
        <v>50</v>
      </c>
      <c r="W4141" t="s">
        <v>66</v>
      </c>
      <c r="X4141" t="s">
        <v>67</v>
      </c>
      <c r="Y4141" t="s">
        <v>67</v>
      </c>
      <c r="Z4141" t="s">
        <v>68</v>
      </c>
      <c r="AB4141">
        <v>4</v>
      </c>
      <c r="AC4141" t="s">
        <v>61</v>
      </c>
      <c r="AJ4141" t="s">
        <v>69</v>
      </c>
      <c r="AY4141" t="s">
        <v>154</v>
      </c>
      <c r="AZ4141">
        <v>15574</v>
      </c>
      <c r="BA4141" t="s">
        <v>155</v>
      </c>
      <c r="BB4141" t="s">
        <v>156</v>
      </c>
      <c r="BC4141">
        <v>1983</v>
      </c>
      <c r="BD4141" t="s">
        <v>90</v>
      </c>
    </row>
    <row r="4142" spans="1:56" x14ac:dyDescent="0.35">
      <c r="A4142">
        <v>30560191</v>
      </c>
      <c r="B4142" t="s">
        <v>2790</v>
      </c>
      <c r="E4142">
        <v>75</v>
      </c>
      <c r="F4142" t="s">
        <v>58</v>
      </c>
      <c r="G4142" t="s">
        <v>59</v>
      </c>
      <c r="H4142" t="s">
        <v>60</v>
      </c>
      <c r="J4142" t="s">
        <v>86</v>
      </c>
      <c r="L4142" t="s">
        <v>62</v>
      </c>
      <c r="M4142" t="s">
        <v>63</v>
      </c>
      <c r="N4142" t="s">
        <v>64</v>
      </c>
      <c r="P4142" t="s">
        <v>65</v>
      </c>
      <c r="Q4142" t="s">
        <v>153</v>
      </c>
      <c r="R4142">
        <v>1000</v>
      </c>
      <c r="W4142" t="s">
        <v>66</v>
      </c>
      <c r="X4142" t="s">
        <v>67</v>
      </c>
      <c r="Y4142" t="s">
        <v>67</v>
      </c>
      <c r="Z4142" t="s">
        <v>68</v>
      </c>
      <c r="AB4142">
        <v>4</v>
      </c>
      <c r="AC4142" t="s">
        <v>61</v>
      </c>
      <c r="AJ4142" t="s">
        <v>69</v>
      </c>
      <c r="AY4142" t="s">
        <v>96</v>
      </c>
      <c r="AZ4142">
        <v>6797</v>
      </c>
      <c r="BA4142" t="s">
        <v>97</v>
      </c>
      <c r="BB4142" t="s">
        <v>98</v>
      </c>
      <c r="BC4142">
        <v>1986</v>
      </c>
      <c r="BD4142" t="s">
        <v>90</v>
      </c>
    </row>
    <row r="4143" spans="1:56" x14ac:dyDescent="0.35">
      <c r="A4143">
        <v>31502575</v>
      </c>
      <c r="B4143" t="s">
        <v>2791</v>
      </c>
      <c r="D4143" t="s">
        <v>57</v>
      </c>
      <c r="E4143" t="s">
        <v>86</v>
      </c>
      <c r="F4143" t="s">
        <v>58</v>
      </c>
      <c r="G4143" t="s">
        <v>59</v>
      </c>
      <c r="H4143" t="s">
        <v>60</v>
      </c>
      <c r="J4143">
        <v>31</v>
      </c>
      <c r="K4143" t="s">
        <v>61</v>
      </c>
      <c r="L4143" t="s">
        <v>74</v>
      </c>
      <c r="M4143" t="s">
        <v>63</v>
      </c>
      <c r="N4143" t="s">
        <v>64</v>
      </c>
      <c r="O4143">
        <v>6</v>
      </c>
      <c r="P4143" t="s">
        <v>65</v>
      </c>
      <c r="R4143">
        <v>35</v>
      </c>
      <c r="T4143">
        <v>31.8</v>
      </c>
      <c r="V4143">
        <v>38.6</v>
      </c>
      <c r="W4143" t="s">
        <v>66</v>
      </c>
      <c r="X4143" t="s">
        <v>67</v>
      </c>
      <c r="Y4143" t="s">
        <v>67</v>
      </c>
      <c r="Z4143" t="s">
        <v>68</v>
      </c>
      <c r="AB4143">
        <v>4</v>
      </c>
      <c r="AC4143" t="s">
        <v>61</v>
      </c>
      <c r="AJ4143" t="s">
        <v>69</v>
      </c>
      <c r="AY4143" t="s">
        <v>80</v>
      </c>
      <c r="AZ4143">
        <v>12859</v>
      </c>
      <c r="BA4143" t="s">
        <v>81</v>
      </c>
      <c r="BB4143" t="s">
        <v>82</v>
      </c>
      <c r="BC4143">
        <v>1988</v>
      </c>
      <c r="BD4143" t="s">
        <v>73</v>
      </c>
    </row>
    <row r="4144" spans="1:56" x14ac:dyDescent="0.35">
      <c r="A4144">
        <v>32534955</v>
      </c>
      <c r="B4144" t="s">
        <v>2792</v>
      </c>
      <c r="D4144" t="s">
        <v>85</v>
      </c>
      <c r="E4144">
        <v>100</v>
      </c>
      <c r="F4144" t="s">
        <v>58</v>
      </c>
      <c r="G4144" t="s">
        <v>59</v>
      </c>
      <c r="H4144" t="s">
        <v>60</v>
      </c>
      <c r="I4144" t="s">
        <v>186</v>
      </c>
      <c r="J4144">
        <v>3</v>
      </c>
      <c r="K4144" t="s">
        <v>61</v>
      </c>
      <c r="L4144" t="s">
        <v>62</v>
      </c>
      <c r="M4144" t="s">
        <v>63</v>
      </c>
      <c r="N4144" t="s">
        <v>64</v>
      </c>
      <c r="P4144" t="s">
        <v>65</v>
      </c>
      <c r="R4144">
        <v>32</v>
      </c>
      <c r="T4144">
        <v>25</v>
      </c>
      <c r="V4144">
        <v>39</v>
      </c>
      <c r="W4144" t="s">
        <v>66</v>
      </c>
      <c r="X4144" t="s">
        <v>67</v>
      </c>
      <c r="Y4144" t="s">
        <v>67</v>
      </c>
      <c r="Z4144" t="s">
        <v>68</v>
      </c>
      <c r="AB4144">
        <v>4</v>
      </c>
      <c r="AC4144" t="s">
        <v>61</v>
      </c>
      <c r="AJ4144" t="s">
        <v>69</v>
      </c>
      <c r="AY4144" t="s">
        <v>2793</v>
      </c>
      <c r="AZ4144">
        <v>17382</v>
      </c>
      <c r="BA4144" t="s">
        <v>2794</v>
      </c>
      <c r="BB4144" t="s">
        <v>2795</v>
      </c>
      <c r="BC4144">
        <v>1996</v>
      </c>
      <c r="BD4144" t="s">
        <v>73</v>
      </c>
    </row>
    <row r="4145" spans="1:56" x14ac:dyDescent="0.35">
      <c r="A4145">
        <v>32534955</v>
      </c>
      <c r="B4145" t="s">
        <v>2792</v>
      </c>
      <c r="D4145" t="s">
        <v>85</v>
      </c>
      <c r="E4145">
        <v>100</v>
      </c>
      <c r="F4145" t="s">
        <v>58</v>
      </c>
      <c r="G4145" t="s">
        <v>59</v>
      </c>
      <c r="H4145" t="s">
        <v>60</v>
      </c>
      <c r="I4145" t="s">
        <v>177</v>
      </c>
      <c r="J4145">
        <v>1</v>
      </c>
      <c r="K4145" t="s">
        <v>1027</v>
      </c>
      <c r="L4145" t="s">
        <v>62</v>
      </c>
      <c r="M4145" t="s">
        <v>63</v>
      </c>
      <c r="N4145" t="s">
        <v>64</v>
      </c>
      <c r="P4145" t="s">
        <v>65</v>
      </c>
      <c r="R4145">
        <v>22</v>
      </c>
      <c r="T4145">
        <v>17</v>
      </c>
      <c r="V4145">
        <v>28</v>
      </c>
      <c r="W4145" t="s">
        <v>66</v>
      </c>
      <c r="X4145" t="s">
        <v>67</v>
      </c>
      <c r="Y4145" t="s">
        <v>67</v>
      </c>
      <c r="Z4145" t="s">
        <v>68</v>
      </c>
      <c r="AB4145">
        <v>4</v>
      </c>
      <c r="AC4145" t="s">
        <v>61</v>
      </c>
      <c r="AJ4145" t="s">
        <v>69</v>
      </c>
      <c r="AY4145" t="s">
        <v>2793</v>
      </c>
      <c r="AZ4145">
        <v>17382</v>
      </c>
      <c r="BA4145" t="s">
        <v>2794</v>
      </c>
      <c r="BB4145" t="s">
        <v>2795</v>
      </c>
      <c r="BC4145">
        <v>1996</v>
      </c>
      <c r="BD4145" t="s">
        <v>1028</v>
      </c>
    </row>
    <row r="4146" spans="1:56" x14ac:dyDescent="0.35">
      <c r="A4146">
        <v>32534955</v>
      </c>
      <c r="B4146" t="s">
        <v>2792</v>
      </c>
      <c r="D4146" t="s">
        <v>85</v>
      </c>
      <c r="E4146">
        <v>100</v>
      </c>
      <c r="F4146" t="s">
        <v>58</v>
      </c>
      <c r="G4146" t="s">
        <v>59</v>
      </c>
      <c r="H4146" t="s">
        <v>60</v>
      </c>
      <c r="I4146" t="s">
        <v>129</v>
      </c>
      <c r="J4146" t="s">
        <v>86</v>
      </c>
      <c r="K4146" t="s">
        <v>1027</v>
      </c>
      <c r="L4146" t="s">
        <v>62</v>
      </c>
      <c r="M4146" t="s">
        <v>63</v>
      </c>
      <c r="N4146" t="s">
        <v>64</v>
      </c>
      <c r="P4146" t="s">
        <v>65</v>
      </c>
      <c r="R4146">
        <v>20</v>
      </c>
      <c r="T4146">
        <v>16</v>
      </c>
      <c r="V4146">
        <v>25</v>
      </c>
      <c r="W4146" t="s">
        <v>66</v>
      </c>
      <c r="X4146" t="s">
        <v>67</v>
      </c>
      <c r="Y4146" t="s">
        <v>67</v>
      </c>
      <c r="Z4146" t="s">
        <v>68</v>
      </c>
      <c r="AB4146">
        <v>4</v>
      </c>
      <c r="AC4146" t="s">
        <v>61</v>
      </c>
      <c r="AJ4146" t="s">
        <v>69</v>
      </c>
      <c r="AY4146" t="s">
        <v>2793</v>
      </c>
      <c r="AZ4146">
        <v>17382</v>
      </c>
      <c r="BA4146" t="s">
        <v>2794</v>
      </c>
      <c r="BB4146" t="s">
        <v>2795</v>
      </c>
      <c r="BC4146">
        <v>1996</v>
      </c>
      <c r="BD4146" t="s">
        <v>2796</v>
      </c>
    </row>
    <row r="4147" spans="1:56" x14ac:dyDescent="0.35">
      <c r="A4147">
        <v>32534955</v>
      </c>
      <c r="B4147" t="s">
        <v>2792</v>
      </c>
      <c r="D4147" t="s">
        <v>85</v>
      </c>
      <c r="E4147">
        <v>100</v>
      </c>
      <c r="F4147" t="s">
        <v>58</v>
      </c>
      <c r="G4147" t="s">
        <v>59</v>
      </c>
      <c r="H4147" t="s">
        <v>60</v>
      </c>
      <c r="I4147" t="s">
        <v>186</v>
      </c>
      <c r="J4147">
        <v>3</v>
      </c>
      <c r="K4147" t="s">
        <v>61</v>
      </c>
      <c r="L4147" t="s">
        <v>62</v>
      </c>
      <c r="M4147" t="s">
        <v>63</v>
      </c>
      <c r="N4147" t="s">
        <v>64</v>
      </c>
      <c r="P4147" t="s">
        <v>65</v>
      </c>
      <c r="R4147">
        <v>28</v>
      </c>
      <c r="T4147">
        <v>23</v>
      </c>
      <c r="V4147">
        <v>37</v>
      </c>
      <c r="W4147" t="s">
        <v>66</v>
      </c>
      <c r="X4147" t="s">
        <v>67</v>
      </c>
      <c r="Y4147" t="s">
        <v>67</v>
      </c>
      <c r="Z4147" t="s">
        <v>68</v>
      </c>
      <c r="AB4147">
        <v>4</v>
      </c>
      <c r="AC4147" t="s">
        <v>61</v>
      </c>
      <c r="AJ4147" t="s">
        <v>69</v>
      </c>
      <c r="AY4147" t="s">
        <v>2793</v>
      </c>
      <c r="AZ4147">
        <v>17382</v>
      </c>
      <c r="BA4147" t="s">
        <v>2794</v>
      </c>
      <c r="BB4147" t="s">
        <v>2795</v>
      </c>
      <c r="BC4147">
        <v>1996</v>
      </c>
      <c r="BD4147" t="s">
        <v>73</v>
      </c>
    </row>
    <row r="4148" spans="1:56" x14ac:dyDescent="0.35">
      <c r="A4148">
        <v>32534955</v>
      </c>
      <c r="B4148" t="s">
        <v>2792</v>
      </c>
      <c r="D4148" t="s">
        <v>85</v>
      </c>
      <c r="E4148">
        <v>100</v>
      </c>
      <c r="F4148" t="s">
        <v>58</v>
      </c>
      <c r="G4148" t="s">
        <v>59</v>
      </c>
      <c r="H4148" t="s">
        <v>60</v>
      </c>
      <c r="I4148" t="s">
        <v>177</v>
      </c>
      <c r="J4148">
        <v>1</v>
      </c>
      <c r="K4148" t="s">
        <v>1027</v>
      </c>
      <c r="L4148" t="s">
        <v>62</v>
      </c>
      <c r="M4148" t="s">
        <v>63</v>
      </c>
      <c r="N4148" t="s">
        <v>64</v>
      </c>
      <c r="P4148" t="s">
        <v>65</v>
      </c>
      <c r="R4148">
        <v>20</v>
      </c>
      <c r="T4148">
        <v>16</v>
      </c>
      <c r="V4148">
        <v>25</v>
      </c>
      <c r="W4148" t="s">
        <v>66</v>
      </c>
      <c r="X4148" t="s">
        <v>67</v>
      </c>
      <c r="Y4148" t="s">
        <v>67</v>
      </c>
      <c r="Z4148" t="s">
        <v>68</v>
      </c>
      <c r="AB4148">
        <v>4</v>
      </c>
      <c r="AC4148" t="s">
        <v>61</v>
      </c>
      <c r="AJ4148" t="s">
        <v>69</v>
      </c>
      <c r="AY4148" t="s">
        <v>2793</v>
      </c>
      <c r="AZ4148">
        <v>17382</v>
      </c>
      <c r="BA4148" t="s">
        <v>2794</v>
      </c>
      <c r="BB4148" t="s">
        <v>2795</v>
      </c>
      <c r="BC4148">
        <v>1996</v>
      </c>
      <c r="BD4148" t="s">
        <v>1028</v>
      </c>
    </row>
    <row r="4149" spans="1:56" x14ac:dyDescent="0.35">
      <c r="A4149">
        <v>32534955</v>
      </c>
      <c r="B4149" t="s">
        <v>2792</v>
      </c>
      <c r="D4149" t="s">
        <v>85</v>
      </c>
      <c r="E4149">
        <v>100</v>
      </c>
      <c r="F4149" t="s">
        <v>58</v>
      </c>
      <c r="G4149" t="s">
        <v>59</v>
      </c>
      <c r="H4149" t="s">
        <v>60</v>
      </c>
      <c r="I4149" t="s">
        <v>129</v>
      </c>
      <c r="J4149" t="s">
        <v>86</v>
      </c>
      <c r="K4149" t="s">
        <v>1027</v>
      </c>
      <c r="L4149" t="s">
        <v>62</v>
      </c>
      <c r="M4149" t="s">
        <v>63</v>
      </c>
      <c r="N4149" t="s">
        <v>64</v>
      </c>
      <c r="P4149" t="s">
        <v>65</v>
      </c>
      <c r="R4149">
        <v>22</v>
      </c>
      <c r="T4149">
        <v>17</v>
      </c>
      <c r="V4149">
        <v>28</v>
      </c>
      <c r="W4149" t="s">
        <v>66</v>
      </c>
      <c r="X4149" t="s">
        <v>67</v>
      </c>
      <c r="Y4149" t="s">
        <v>67</v>
      </c>
      <c r="Z4149" t="s">
        <v>68</v>
      </c>
      <c r="AB4149">
        <v>4</v>
      </c>
      <c r="AC4149" t="s">
        <v>61</v>
      </c>
      <c r="AJ4149" t="s">
        <v>69</v>
      </c>
      <c r="AY4149" t="s">
        <v>2793</v>
      </c>
      <c r="AZ4149">
        <v>17382</v>
      </c>
      <c r="BA4149" t="s">
        <v>2794</v>
      </c>
      <c r="BB4149" t="s">
        <v>2795</v>
      </c>
      <c r="BC4149">
        <v>1996</v>
      </c>
      <c r="BD4149" t="s">
        <v>2797</v>
      </c>
    </row>
    <row r="4150" spans="1:56" x14ac:dyDescent="0.35">
      <c r="A4150">
        <v>32534955</v>
      </c>
      <c r="B4150" t="s">
        <v>2792</v>
      </c>
      <c r="D4150" t="s">
        <v>85</v>
      </c>
      <c r="E4150">
        <v>100</v>
      </c>
      <c r="F4150" t="s">
        <v>58</v>
      </c>
      <c r="G4150" t="s">
        <v>59</v>
      </c>
      <c r="H4150" t="s">
        <v>60</v>
      </c>
      <c r="I4150" t="s">
        <v>129</v>
      </c>
      <c r="J4150" t="s">
        <v>86</v>
      </c>
      <c r="K4150" t="s">
        <v>1027</v>
      </c>
      <c r="L4150" t="s">
        <v>62</v>
      </c>
      <c r="M4150" t="s">
        <v>63</v>
      </c>
      <c r="N4150" t="s">
        <v>64</v>
      </c>
      <c r="P4150" t="s">
        <v>65</v>
      </c>
      <c r="R4150">
        <v>22</v>
      </c>
      <c r="T4150">
        <v>17</v>
      </c>
      <c r="V4150">
        <v>28</v>
      </c>
      <c r="W4150" t="s">
        <v>66</v>
      </c>
      <c r="X4150" t="s">
        <v>67</v>
      </c>
      <c r="Y4150" t="s">
        <v>67</v>
      </c>
      <c r="Z4150" t="s">
        <v>68</v>
      </c>
      <c r="AB4150">
        <v>4</v>
      </c>
      <c r="AC4150" t="s">
        <v>61</v>
      </c>
      <c r="AJ4150" t="s">
        <v>69</v>
      </c>
      <c r="AY4150" t="s">
        <v>2793</v>
      </c>
      <c r="AZ4150">
        <v>17382</v>
      </c>
      <c r="BA4150" t="s">
        <v>2794</v>
      </c>
      <c r="BB4150" t="s">
        <v>2795</v>
      </c>
      <c r="BC4150">
        <v>1996</v>
      </c>
      <c r="BD4150" t="s">
        <v>2797</v>
      </c>
    </row>
    <row r="4151" spans="1:56" x14ac:dyDescent="0.35">
      <c r="A4151">
        <v>32534955</v>
      </c>
      <c r="B4151" t="s">
        <v>2792</v>
      </c>
      <c r="D4151" t="s">
        <v>85</v>
      </c>
      <c r="E4151">
        <v>100</v>
      </c>
      <c r="F4151" t="s">
        <v>58</v>
      </c>
      <c r="G4151" t="s">
        <v>59</v>
      </c>
      <c r="H4151" t="s">
        <v>60</v>
      </c>
      <c r="I4151" t="s">
        <v>129</v>
      </c>
      <c r="J4151" t="s">
        <v>86</v>
      </c>
      <c r="K4151" t="s">
        <v>1027</v>
      </c>
      <c r="L4151" t="s">
        <v>62</v>
      </c>
      <c r="M4151" t="s">
        <v>63</v>
      </c>
      <c r="N4151" t="s">
        <v>64</v>
      </c>
      <c r="P4151" t="s">
        <v>65</v>
      </c>
      <c r="R4151">
        <v>19</v>
      </c>
      <c r="T4151">
        <v>15</v>
      </c>
      <c r="V4151">
        <v>24</v>
      </c>
      <c r="W4151" t="s">
        <v>66</v>
      </c>
      <c r="X4151" t="s">
        <v>67</v>
      </c>
      <c r="Y4151" t="s">
        <v>67</v>
      </c>
      <c r="Z4151" t="s">
        <v>68</v>
      </c>
      <c r="AB4151">
        <v>4</v>
      </c>
      <c r="AC4151" t="s">
        <v>61</v>
      </c>
      <c r="AJ4151" t="s">
        <v>69</v>
      </c>
      <c r="AY4151" t="s">
        <v>2793</v>
      </c>
      <c r="AZ4151">
        <v>17382</v>
      </c>
      <c r="BA4151" t="s">
        <v>2794</v>
      </c>
      <c r="BB4151" t="s">
        <v>2795</v>
      </c>
      <c r="BC4151">
        <v>1996</v>
      </c>
      <c r="BD4151" t="s">
        <v>2798</v>
      </c>
    </row>
    <row r="4152" spans="1:56" x14ac:dyDescent="0.35">
      <c r="A4152">
        <v>32598133</v>
      </c>
      <c r="B4152" t="s">
        <v>2799</v>
      </c>
      <c r="D4152" t="s">
        <v>85</v>
      </c>
      <c r="E4152" t="s">
        <v>86</v>
      </c>
      <c r="F4152" t="s">
        <v>58</v>
      </c>
      <c r="G4152" t="s">
        <v>59</v>
      </c>
      <c r="H4152" t="s">
        <v>60</v>
      </c>
      <c r="I4152" t="s">
        <v>188</v>
      </c>
      <c r="J4152" t="s">
        <v>86</v>
      </c>
      <c r="L4152" t="s">
        <v>190</v>
      </c>
      <c r="M4152" t="s">
        <v>63</v>
      </c>
      <c r="N4152" t="s">
        <v>64</v>
      </c>
      <c r="P4152" t="s">
        <v>100</v>
      </c>
      <c r="Q4152" t="s">
        <v>153</v>
      </c>
      <c r="R4152">
        <v>2E-3</v>
      </c>
      <c r="W4152" t="s">
        <v>66</v>
      </c>
      <c r="X4152" t="s">
        <v>67</v>
      </c>
      <c r="Y4152" t="s">
        <v>67</v>
      </c>
      <c r="Z4152" t="s">
        <v>68</v>
      </c>
      <c r="AB4152">
        <v>4</v>
      </c>
      <c r="AC4152" t="s">
        <v>61</v>
      </c>
      <c r="AJ4152" t="s">
        <v>69</v>
      </c>
      <c r="AY4152" t="s">
        <v>1973</v>
      </c>
      <c r="AZ4152">
        <v>16467</v>
      </c>
      <c r="BA4152" t="s">
        <v>1974</v>
      </c>
      <c r="BB4152" t="s">
        <v>1975</v>
      </c>
      <c r="BC4152">
        <v>1993</v>
      </c>
      <c r="BD4152" t="s">
        <v>90</v>
      </c>
    </row>
    <row r="4153" spans="1:56" x14ac:dyDescent="0.35">
      <c r="A4153">
        <v>33820530</v>
      </c>
      <c r="B4153" t="s">
        <v>2800</v>
      </c>
      <c r="D4153" t="s">
        <v>57</v>
      </c>
      <c r="E4153">
        <v>98</v>
      </c>
      <c r="F4153" t="s">
        <v>58</v>
      </c>
      <c r="G4153" t="s">
        <v>59</v>
      </c>
      <c r="H4153" t="s">
        <v>60</v>
      </c>
      <c r="J4153">
        <v>30</v>
      </c>
      <c r="K4153" t="s">
        <v>61</v>
      </c>
      <c r="L4153" t="s">
        <v>62</v>
      </c>
      <c r="M4153" t="s">
        <v>63</v>
      </c>
      <c r="N4153" t="s">
        <v>64</v>
      </c>
      <c r="P4153" t="s">
        <v>65</v>
      </c>
      <c r="R4153">
        <v>0.67</v>
      </c>
      <c r="T4153">
        <v>0.56000000000000005</v>
      </c>
      <c r="V4153">
        <v>0.79</v>
      </c>
      <c r="W4153" t="s">
        <v>66</v>
      </c>
      <c r="X4153" t="s">
        <v>67</v>
      </c>
      <c r="Y4153" t="s">
        <v>67</v>
      </c>
      <c r="Z4153" t="s">
        <v>68</v>
      </c>
      <c r="AB4153">
        <v>4</v>
      </c>
      <c r="AC4153" t="s">
        <v>61</v>
      </c>
      <c r="AJ4153" t="s">
        <v>69</v>
      </c>
      <c r="AY4153" t="s">
        <v>309</v>
      </c>
      <c r="AZ4153">
        <v>17138</v>
      </c>
      <c r="BA4153" t="s">
        <v>310</v>
      </c>
      <c r="BB4153" t="s">
        <v>311</v>
      </c>
      <c r="BC4153">
        <v>1991</v>
      </c>
      <c r="BD4153" t="s">
        <v>73</v>
      </c>
    </row>
    <row r="4154" spans="1:56" x14ac:dyDescent="0.35">
      <c r="A4154">
        <v>33820530</v>
      </c>
      <c r="B4154" t="s">
        <v>2800</v>
      </c>
      <c r="D4154" t="s">
        <v>57</v>
      </c>
      <c r="E4154">
        <v>98</v>
      </c>
      <c r="F4154" t="s">
        <v>58</v>
      </c>
      <c r="G4154" t="s">
        <v>59</v>
      </c>
      <c r="H4154" t="s">
        <v>60</v>
      </c>
      <c r="J4154">
        <v>30</v>
      </c>
      <c r="K4154" t="s">
        <v>61</v>
      </c>
      <c r="L4154" t="s">
        <v>62</v>
      </c>
      <c r="M4154" t="s">
        <v>63</v>
      </c>
      <c r="N4154" t="s">
        <v>64</v>
      </c>
      <c r="P4154" t="s">
        <v>65</v>
      </c>
      <c r="R4154">
        <v>0.31</v>
      </c>
      <c r="T4154">
        <v>2.8000000000000001E-2</v>
      </c>
      <c r="V4154">
        <v>0.36</v>
      </c>
      <c r="W4154" t="s">
        <v>66</v>
      </c>
      <c r="X4154" t="s">
        <v>67</v>
      </c>
      <c r="Y4154" t="s">
        <v>67</v>
      </c>
      <c r="Z4154" t="s">
        <v>68</v>
      </c>
      <c r="AB4154">
        <v>4</v>
      </c>
      <c r="AC4154" t="s">
        <v>61</v>
      </c>
      <c r="AJ4154" t="s">
        <v>69</v>
      </c>
      <c r="AY4154" t="s">
        <v>309</v>
      </c>
      <c r="AZ4154">
        <v>17138</v>
      </c>
      <c r="BA4154" t="s">
        <v>310</v>
      </c>
      <c r="BB4154" t="s">
        <v>311</v>
      </c>
      <c r="BC4154">
        <v>1991</v>
      </c>
      <c r="BD4154" t="s">
        <v>73</v>
      </c>
    </row>
    <row r="4155" spans="1:56" x14ac:dyDescent="0.35">
      <c r="A4155">
        <v>33820530</v>
      </c>
      <c r="B4155" t="s">
        <v>2800</v>
      </c>
      <c r="D4155" t="s">
        <v>57</v>
      </c>
      <c r="E4155">
        <v>98</v>
      </c>
      <c r="F4155" t="s">
        <v>58</v>
      </c>
      <c r="G4155" t="s">
        <v>59</v>
      </c>
      <c r="H4155" t="s">
        <v>60</v>
      </c>
      <c r="J4155">
        <v>30</v>
      </c>
      <c r="K4155" t="s">
        <v>61</v>
      </c>
      <c r="L4155" t="s">
        <v>74</v>
      </c>
      <c r="M4155" t="s">
        <v>63</v>
      </c>
      <c r="N4155" t="s">
        <v>64</v>
      </c>
      <c r="P4155" t="s">
        <v>65</v>
      </c>
      <c r="R4155">
        <v>0.27</v>
      </c>
      <c r="T4155">
        <v>0.22</v>
      </c>
      <c r="V4155">
        <v>0.33</v>
      </c>
      <c r="W4155" t="s">
        <v>66</v>
      </c>
      <c r="X4155" t="s">
        <v>67</v>
      </c>
      <c r="Y4155" t="s">
        <v>67</v>
      </c>
      <c r="Z4155" t="s">
        <v>68</v>
      </c>
      <c r="AB4155">
        <v>4</v>
      </c>
      <c r="AC4155" t="s">
        <v>61</v>
      </c>
      <c r="AJ4155" t="s">
        <v>69</v>
      </c>
      <c r="AY4155" t="s">
        <v>309</v>
      </c>
      <c r="AZ4155">
        <v>17138</v>
      </c>
      <c r="BA4155" t="s">
        <v>310</v>
      </c>
      <c r="BB4155" t="s">
        <v>311</v>
      </c>
      <c r="BC4155">
        <v>1991</v>
      </c>
      <c r="BD4155" t="s">
        <v>73</v>
      </c>
    </row>
    <row r="4156" spans="1:56" x14ac:dyDescent="0.35">
      <c r="A4156">
        <v>33820530</v>
      </c>
      <c r="B4156" t="s">
        <v>2800</v>
      </c>
      <c r="D4156" t="s">
        <v>85</v>
      </c>
      <c r="E4156">
        <v>98</v>
      </c>
      <c r="F4156" t="s">
        <v>58</v>
      </c>
      <c r="G4156" t="s">
        <v>59</v>
      </c>
      <c r="H4156" t="s">
        <v>60</v>
      </c>
      <c r="J4156">
        <v>30</v>
      </c>
      <c r="K4156" t="s">
        <v>61</v>
      </c>
      <c r="L4156" t="s">
        <v>62</v>
      </c>
      <c r="M4156" t="s">
        <v>63</v>
      </c>
      <c r="N4156" t="s">
        <v>64</v>
      </c>
      <c r="P4156" t="s">
        <v>65</v>
      </c>
      <c r="R4156">
        <v>0.61</v>
      </c>
      <c r="T4156">
        <v>0.51</v>
      </c>
      <c r="V4156">
        <v>0.73</v>
      </c>
      <c r="W4156" t="s">
        <v>66</v>
      </c>
      <c r="X4156" t="s">
        <v>67</v>
      </c>
      <c r="Y4156" t="s">
        <v>67</v>
      </c>
      <c r="Z4156" t="s">
        <v>68</v>
      </c>
      <c r="AB4156">
        <v>4</v>
      </c>
      <c r="AC4156" t="s">
        <v>61</v>
      </c>
      <c r="AJ4156" t="s">
        <v>69</v>
      </c>
      <c r="AY4156" t="s">
        <v>309</v>
      </c>
      <c r="AZ4156">
        <v>17138</v>
      </c>
      <c r="BA4156" t="s">
        <v>310</v>
      </c>
      <c r="BB4156" t="s">
        <v>311</v>
      </c>
      <c r="BC4156">
        <v>1991</v>
      </c>
      <c r="BD4156" t="s">
        <v>73</v>
      </c>
    </row>
    <row r="4157" spans="1:56" x14ac:dyDescent="0.35">
      <c r="A4157">
        <v>33878501</v>
      </c>
      <c r="B4157" t="s">
        <v>2801</v>
      </c>
      <c r="E4157">
        <v>100</v>
      </c>
      <c r="F4157" t="s">
        <v>58</v>
      </c>
      <c r="G4157" t="s">
        <v>59</v>
      </c>
      <c r="H4157" t="s">
        <v>60</v>
      </c>
      <c r="J4157" t="s">
        <v>86</v>
      </c>
      <c r="L4157" t="s">
        <v>62</v>
      </c>
      <c r="M4157" t="s">
        <v>63</v>
      </c>
      <c r="N4157" t="s">
        <v>64</v>
      </c>
      <c r="P4157" t="s">
        <v>65</v>
      </c>
      <c r="R4157">
        <v>0.86</v>
      </c>
      <c r="T4157">
        <v>0.66</v>
      </c>
      <c r="V4157">
        <v>1.1200000000000001</v>
      </c>
      <c r="W4157" t="s">
        <v>66</v>
      </c>
      <c r="X4157" t="s">
        <v>67</v>
      </c>
      <c r="Y4157" t="s">
        <v>67</v>
      </c>
      <c r="Z4157" t="s">
        <v>68</v>
      </c>
      <c r="AB4157">
        <v>4</v>
      </c>
      <c r="AC4157" t="s">
        <v>61</v>
      </c>
      <c r="AJ4157" t="s">
        <v>69</v>
      </c>
      <c r="AY4157" t="s">
        <v>96</v>
      </c>
      <c r="AZ4157">
        <v>6797</v>
      </c>
      <c r="BA4157" t="s">
        <v>97</v>
      </c>
      <c r="BB4157" t="s">
        <v>98</v>
      </c>
      <c r="BC4157">
        <v>1986</v>
      </c>
      <c r="BD4157" t="s">
        <v>90</v>
      </c>
    </row>
    <row r="4158" spans="1:56" x14ac:dyDescent="0.35">
      <c r="A4158">
        <v>33878501</v>
      </c>
      <c r="B4158" t="s">
        <v>2801</v>
      </c>
      <c r="E4158">
        <v>19</v>
      </c>
      <c r="F4158" t="s">
        <v>58</v>
      </c>
      <c r="G4158" t="s">
        <v>59</v>
      </c>
      <c r="H4158" t="s">
        <v>60</v>
      </c>
      <c r="J4158" t="s">
        <v>86</v>
      </c>
      <c r="L4158" t="s">
        <v>62</v>
      </c>
      <c r="M4158" t="s">
        <v>63</v>
      </c>
      <c r="N4158" t="s">
        <v>64</v>
      </c>
      <c r="P4158" t="s">
        <v>65</v>
      </c>
      <c r="R4158">
        <v>0.46</v>
      </c>
      <c r="T4158">
        <v>0.33</v>
      </c>
      <c r="V4158">
        <v>0.64</v>
      </c>
      <c r="W4158" t="s">
        <v>66</v>
      </c>
      <c r="X4158" t="s">
        <v>67</v>
      </c>
      <c r="Y4158" t="s">
        <v>67</v>
      </c>
      <c r="Z4158" t="s">
        <v>68</v>
      </c>
      <c r="AB4158">
        <v>4</v>
      </c>
      <c r="AC4158" t="s">
        <v>61</v>
      </c>
      <c r="AJ4158" t="s">
        <v>69</v>
      </c>
      <c r="AY4158" t="s">
        <v>96</v>
      </c>
      <c r="AZ4158">
        <v>6797</v>
      </c>
      <c r="BA4158" t="s">
        <v>97</v>
      </c>
      <c r="BB4158" t="s">
        <v>98</v>
      </c>
      <c r="BC4158">
        <v>1986</v>
      </c>
      <c r="BD4158" t="s">
        <v>90</v>
      </c>
    </row>
    <row r="4159" spans="1:56" x14ac:dyDescent="0.35">
      <c r="A4159">
        <v>33878501</v>
      </c>
      <c r="B4159" t="s">
        <v>2801</v>
      </c>
      <c r="E4159">
        <v>25</v>
      </c>
      <c r="F4159" t="s">
        <v>58</v>
      </c>
      <c r="G4159" t="s">
        <v>59</v>
      </c>
      <c r="H4159" t="s">
        <v>60</v>
      </c>
      <c r="J4159" t="s">
        <v>86</v>
      </c>
      <c r="L4159" t="s">
        <v>62</v>
      </c>
      <c r="M4159" t="s">
        <v>63</v>
      </c>
      <c r="N4159" t="s">
        <v>64</v>
      </c>
      <c r="P4159" t="s">
        <v>65</v>
      </c>
      <c r="R4159">
        <v>0.76</v>
      </c>
      <c r="T4159">
        <v>0.52500000000000002</v>
      </c>
      <c r="V4159">
        <v>1.1000000000000001</v>
      </c>
      <c r="W4159" t="s">
        <v>66</v>
      </c>
      <c r="X4159" t="s">
        <v>67</v>
      </c>
      <c r="Y4159" t="s">
        <v>67</v>
      </c>
      <c r="Z4159" t="s">
        <v>68</v>
      </c>
      <c r="AB4159">
        <v>4</v>
      </c>
      <c r="AC4159" t="s">
        <v>61</v>
      </c>
      <c r="AJ4159" t="s">
        <v>69</v>
      </c>
      <c r="AY4159" t="s">
        <v>96</v>
      </c>
      <c r="AZ4159">
        <v>6797</v>
      </c>
      <c r="BA4159" t="s">
        <v>97</v>
      </c>
      <c r="BB4159" t="s">
        <v>98</v>
      </c>
      <c r="BC4159">
        <v>1986</v>
      </c>
      <c r="BD4159" t="s">
        <v>90</v>
      </c>
    </row>
    <row r="4160" spans="1:56" x14ac:dyDescent="0.35">
      <c r="A4160">
        <v>34014181</v>
      </c>
      <c r="B4160" t="s">
        <v>2802</v>
      </c>
      <c r="E4160">
        <v>20</v>
      </c>
      <c r="F4160" t="s">
        <v>58</v>
      </c>
      <c r="G4160" t="s">
        <v>59</v>
      </c>
      <c r="H4160" t="s">
        <v>60</v>
      </c>
      <c r="I4160" t="s">
        <v>129</v>
      </c>
      <c r="J4160" t="s">
        <v>86</v>
      </c>
      <c r="L4160" t="s">
        <v>62</v>
      </c>
      <c r="M4160" t="s">
        <v>63</v>
      </c>
      <c r="N4160" t="s">
        <v>64</v>
      </c>
      <c r="P4160" t="s">
        <v>100</v>
      </c>
      <c r="Q4160" t="s">
        <v>153</v>
      </c>
      <c r="R4160">
        <v>180</v>
      </c>
      <c r="W4160" t="s">
        <v>66</v>
      </c>
      <c r="X4160" t="s">
        <v>67</v>
      </c>
      <c r="Y4160" t="s">
        <v>67</v>
      </c>
      <c r="Z4160" t="s">
        <v>68</v>
      </c>
      <c r="AB4160">
        <v>4</v>
      </c>
      <c r="AC4160" t="s">
        <v>61</v>
      </c>
      <c r="AJ4160" t="s">
        <v>69</v>
      </c>
      <c r="AY4160" t="s">
        <v>116</v>
      </c>
      <c r="AZ4160">
        <v>344</v>
      </c>
      <c r="BA4160" t="s">
        <v>117</v>
      </c>
      <c r="BB4160" t="s">
        <v>118</v>
      </c>
      <c r="BC4160">
        <v>1992</v>
      </c>
      <c r="BD4160" t="s">
        <v>90</v>
      </c>
    </row>
    <row r="4161" spans="1:56" x14ac:dyDescent="0.35">
      <c r="A4161">
        <v>34014181</v>
      </c>
      <c r="B4161" t="s">
        <v>2802</v>
      </c>
      <c r="E4161">
        <v>98</v>
      </c>
      <c r="F4161" t="s">
        <v>58</v>
      </c>
      <c r="G4161" t="s">
        <v>59</v>
      </c>
      <c r="H4161" t="s">
        <v>60</v>
      </c>
      <c r="I4161" t="s">
        <v>129</v>
      </c>
      <c r="J4161" t="s">
        <v>86</v>
      </c>
      <c r="L4161" t="s">
        <v>62</v>
      </c>
      <c r="M4161" t="s">
        <v>63</v>
      </c>
      <c r="N4161" t="s">
        <v>64</v>
      </c>
      <c r="P4161" t="s">
        <v>65</v>
      </c>
      <c r="Q4161" t="s">
        <v>153</v>
      </c>
      <c r="R4161">
        <v>180</v>
      </c>
      <c r="W4161" t="s">
        <v>66</v>
      </c>
      <c r="X4161" t="s">
        <v>67</v>
      </c>
      <c r="Y4161" t="s">
        <v>67</v>
      </c>
      <c r="Z4161" t="s">
        <v>68</v>
      </c>
      <c r="AB4161">
        <v>4</v>
      </c>
      <c r="AC4161" t="s">
        <v>61</v>
      </c>
      <c r="AJ4161" t="s">
        <v>69</v>
      </c>
      <c r="AY4161" t="s">
        <v>116</v>
      </c>
      <c r="AZ4161">
        <v>344</v>
      </c>
      <c r="BA4161" t="s">
        <v>117</v>
      </c>
      <c r="BB4161" t="s">
        <v>118</v>
      </c>
      <c r="BC4161">
        <v>1992</v>
      </c>
      <c r="BD4161" t="s">
        <v>90</v>
      </c>
    </row>
    <row r="4162" spans="1:56" x14ac:dyDescent="0.35">
      <c r="A4162">
        <v>34014181</v>
      </c>
      <c r="B4162" t="s">
        <v>2802</v>
      </c>
      <c r="E4162">
        <v>80</v>
      </c>
      <c r="F4162" t="s">
        <v>58</v>
      </c>
      <c r="G4162" t="s">
        <v>59</v>
      </c>
      <c r="H4162" t="s">
        <v>60</v>
      </c>
      <c r="I4162" t="s">
        <v>129</v>
      </c>
      <c r="J4162" t="s">
        <v>86</v>
      </c>
      <c r="L4162" t="s">
        <v>62</v>
      </c>
      <c r="M4162" t="s">
        <v>63</v>
      </c>
      <c r="N4162" t="s">
        <v>64</v>
      </c>
      <c r="P4162" t="s">
        <v>100</v>
      </c>
      <c r="Q4162" t="s">
        <v>153</v>
      </c>
      <c r="R4162">
        <v>180</v>
      </c>
      <c r="W4162" t="s">
        <v>66</v>
      </c>
      <c r="X4162" t="s">
        <v>67</v>
      </c>
      <c r="Y4162" t="s">
        <v>67</v>
      </c>
      <c r="Z4162" t="s">
        <v>68</v>
      </c>
      <c r="AB4162">
        <v>4</v>
      </c>
      <c r="AC4162" t="s">
        <v>61</v>
      </c>
      <c r="AJ4162" t="s">
        <v>69</v>
      </c>
      <c r="AY4162" t="s">
        <v>116</v>
      </c>
      <c r="AZ4162">
        <v>344</v>
      </c>
      <c r="BA4162" t="s">
        <v>117</v>
      </c>
      <c r="BB4162" t="s">
        <v>118</v>
      </c>
      <c r="BC4162">
        <v>1992</v>
      </c>
      <c r="BD4162" t="s">
        <v>90</v>
      </c>
    </row>
    <row r="4163" spans="1:56" x14ac:dyDescent="0.35">
      <c r="A4163">
        <v>34128013</v>
      </c>
      <c r="B4163" t="s">
        <v>2803</v>
      </c>
      <c r="D4163" t="s">
        <v>57</v>
      </c>
      <c r="E4163">
        <v>63.9</v>
      </c>
      <c r="F4163" t="s">
        <v>58</v>
      </c>
      <c r="G4163" t="s">
        <v>59</v>
      </c>
      <c r="H4163" t="s">
        <v>60</v>
      </c>
      <c r="I4163" t="s">
        <v>129</v>
      </c>
      <c r="J4163">
        <v>12</v>
      </c>
      <c r="K4163" t="s">
        <v>196</v>
      </c>
      <c r="L4163" t="s">
        <v>62</v>
      </c>
      <c r="M4163" t="s">
        <v>63</v>
      </c>
      <c r="N4163" t="s">
        <v>64</v>
      </c>
      <c r="P4163" t="s">
        <v>65</v>
      </c>
      <c r="R4163">
        <v>2200</v>
      </c>
      <c r="T4163">
        <v>2000</v>
      </c>
      <c r="V4163">
        <v>2400</v>
      </c>
      <c r="W4163" t="s">
        <v>66</v>
      </c>
      <c r="X4163" t="s">
        <v>67</v>
      </c>
      <c r="Y4163" t="s">
        <v>67</v>
      </c>
      <c r="Z4163" t="s">
        <v>68</v>
      </c>
      <c r="AB4163">
        <v>4</v>
      </c>
      <c r="AC4163" t="s">
        <v>61</v>
      </c>
      <c r="AJ4163" t="s">
        <v>69</v>
      </c>
      <c r="AY4163" t="s">
        <v>1339</v>
      </c>
      <c r="AZ4163">
        <v>17931</v>
      </c>
      <c r="BA4163" t="s">
        <v>1340</v>
      </c>
      <c r="BB4163" t="s">
        <v>1341</v>
      </c>
      <c r="BC4163">
        <v>1982</v>
      </c>
      <c r="BD4163" t="s">
        <v>200</v>
      </c>
    </row>
    <row r="4164" spans="1:56" x14ac:dyDescent="0.35">
      <c r="A4164">
        <v>34128013</v>
      </c>
      <c r="B4164" t="s">
        <v>2803</v>
      </c>
      <c r="D4164" t="s">
        <v>57</v>
      </c>
      <c r="E4164">
        <v>63.9</v>
      </c>
      <c r="F4164" t="s">
        <v>58</v>
      </c>
      <c r="G4164" t="s">
        <v>59</v>
      </c>
      <c r="H4164" t="s">
        <v>60</v>
      </c>
      <c r="I4164" t="s">
        <v>211</v>
      </c>
      <c r="J4164">
        <v>20</v>
      </c>
      <c r="K4164" t="s">
        <v>196</v>
      </c>
      <c r="L4164" t="s">
        <v>62</v>
      </c>
      <c r="M4164" t="s">
        <v>63</v>
      </c>
      <c r="N4164" t="s">
        <v>64</v>
      </c>
      <c r="P4164" t="s">
        <v>65</v>
      </c>
      <c r="R4164">
        <v>3000</v>
      </c>
      <c r="T4164">
        <v>2200</v>
      </c>
      <c r="V4164">
        <v>6700</v>
      </c>
      <c r="W4164" t="s">
        <v>66</v>
      </c>
      <c r="X4164" t="s">
        <v>67</v>
      </c>
      <c r="Y4164" t="s">
        <v>67</v>
      </c>
      <c r="Z4164" t="s">
        <v>68</v>
      </c>
      <c r="AB4164">
        <v>4</v>
      </c>
      <c r="AC4164" t="s">
        <v>61</v>
      </c>
      <c r="AJ4164" t="s">
        <v>69</v>
      </c>
      <c r="AY4164" t="s">
        <v>1339</v>
      </c>
      <c r="AZ4164">
        <v>17931</v>
      </c>
      <c r="BA4164" t="s">
        <v>1340</v>
      </c>
      <c r="BB4164" t="s">
        <v>1341</v>
      </c>
      <c r="BC4164">
        <v>1982</v>
      </c>
      <c r="BD4164" t="s">
        <v>200</v>
      </c>
    </row>
    <row r="4165" spans="1:56" x14ac:dyDescent="0.35">
      <c r="A4165">
        <v>34128013</v>
      </c>
      <c r="B4165" t="s">
        <v>2803</v>
      </c>
      <c r="D4165" t="s">
        <v>57</v>
      </c>
      <c r="E4165">
        <v>63.9</v>
      </c>
      <c r="F4165" t="s">
        <v>58</v>
      </c>
      <c r="G4165" t="s">
        <v>59</v>
      </c>
      <c r="H4165" t="s">
        <v>60</v>
      </c>
      <c r="I4165" t="s">
        <v>177</v>
      </c>
      <c r="J4165">
        <v>3</v>
      </c>
      <c r="K4165" t="s">
        <v>196</v>
      </c>
      <c r="L4165" t="s">
        <v>62</v>
      </c>
      <c r="M4165" t="s">
        <v>63</v>
      </c>
      <c r="N4165" t="s">
        <v>64</v>
      </c>
      <c r="P4165" t="s">
        <v>65</v>
      </c>
      <c r="R4165">
        <v>1500</v>
      </c>
      <c r="T4165">
        <v>1100</v>
      </c>
      <c r="V4165">
        <v>2100</v>
      </c>
      <c r="W4165" t="s">
        <v>66</v>
      </c>
      <c r="X4165" t="s">
        <v>67</v>
      </c>
      <c r="Y4165" t="s">
        <v>67</v>
      </c>
      <c r="Z4165" t="s">
        <v>68</v>
      </c>
      <c r="AB4165">
        <v>4</v>
      </c>
      <c r="AC4165" t="s">
        <v>61</v>
      </c>
      <c r="AJ4165" t="s">
        <v>69</v>
      </c>
      <c r="AY4165" t="s">
        <v>1339</v>
      </c>
      <c r="AZ4165">
        <v>17931</v>
      </c>
      <c r="BA4165" t="s">
        <v>1340</v>
      </c>
      <c r="BB4165" t="s">
        <v>1341</v>
      </c>
      <c r="BC4165">
        <v>1982</v>
      </c>
      <c r="BD4165" t="s">
        <v>200</v>
      </c>
    </row>
    <row r="4166" spans="1:56" x14ac:dyDescent="0.35">
      <c r="A4166">
        <v>34274049</v>
      </c>
      <c r="B4166" t="s">
        <v>2804</v>
      </c>
      <c r="D4166" t="s">
        <v>57</v>
      </c>
      <c r="E4166" t="s">
        <v>407</v>
      </c>
      <c r="F4166" t="s">
        <v>58</v>
      </c>
      <c r="G4166" t="s">
        <v>59</v>
      </c>
      <c r="H4166" t="s">
        <v>60</v>
      </c>
      <c r="J4166" t="s">
        <v>86</v>
      </c>
      <c r="K4166" t="s">
        <v>61</v>
      </c>
      <c r="L4166" t="s">
        <v>74</v>
      </c>
      <c r="M4166" t="s">
        <v>63</v>
      </c>
      <c r="N4166" t="s">
        <v>64</v>
      </c>
      <c r="P4166" t="s">
        <v>65</v>
      </c>
      <c r="R4166">
        <v>136</v>
      </c>
      <c r="T4166">
        <v>126</v>
      </c>
      <c r="V4166">
        <v>148</v>
      </c>
      <c r="W4166" t="s">
        <v>66</v>
      </c>
      <c r="X4166" t="s">
        <v>67</v>
      </c>
      <c r="Y4166" t="s">
        <v>67</v>
      </c>
      <c r="Z4166" t="s">
        <v>68</v>
      </c>
      <c r="AB4166">
        <v>4</v>
      </c>
      <c r="AC4166" t="s">
        <v>61</v>
      </c>
      <c r="AJ4166" t="s">
        <v>69</v>
      </c>
      <c r="AY4166" t="s">
        <v>263</v>
      </c>
      <c r="AZ4166">
        <v>12858</v>
      </c>
      <c r="BA4166" t="s">
        <v>264</v>
      </c>
      <c r="BB4166" t="s">
        <v>265</v>
      </c>
      <c r="BC4166">
        <v>1986</v>
      </c>
      <c r="BD4166" t="s">
        <v>1035</v>
      </c>
    </row>
    <row r="4167" spans="1:56" x14ac:dyDescent="0.35">
      <c r="A4167">
        <v>34364426</v>
      </c>
      <c r="B4167" t="s">
        <v>2805</v>
      </c>
      <c r="D4167" t="s">
        <v>85</v>
      </c>
      <c r="E4167" t="s">
        <v>86</v>
      </c>
      <c r="F4167" t="s">
        <v>58</v>
      </c>
      <c r="G4167" t="s">
        <v>59</v>
      </c>
      <c r="H4167" t="s">
        <v>60</v>
      </c>
      <c r="J4167" t="s">
        <v>86</v>
      </c>
      <c r="L4167" t="s">
        <v>62</v>
      </c>
      <c r="M4167" t="s">
        <v>63</v>
      </c>
      <c r="N4167" t="s">
        <v>64</v>
      </c>
      <c r="P4167" t="s">
        <v>100</v>
      </c>
      <c r="Q4167" t="s">
        <v>153</v>
      </c>
      <c r="R4167">
        <v>1000</v>
      </c>
      <c r="W4167" t="s">
        <v>66</v>
      </c>
      <c r="X4167" t="s">
        <v>67</v>
      </c>
      <c r="Y4167" t="s">
        <v>67</v>
      </c>
      <c r="Z4167" t="s">
        <v>68</v>
      </c>
      <c r="AB4167">
        <v>4</v>
      </c>
      <c r="AC4167" t="s">
        <v>61</v>
      </c>
      <c r="AJ4167" t="s">
        <v>69</v>
      </c>
      <c r="AY4167" t="s">
        <v>1131</v>
      </c>
      <c r="AZ4167">
        <v>2957</v>
      </c>
      <c r="BA4167" t="s">
        <v>1132</v>
      </c>
      <c r="BB4167" t="s">
        <v>1133</v>
      </c>
      <c r="BC4167">
        <v>1981</v>
      </c>
      <c r="BD4167" t="s">
        <v>90</v>
      </c>
    </row>
    <row r="4168" spans="1:56" x14ac:dyDescent="0.35">
      <c r="A4168">
        <v>34364426</v>
      </c>
      <c r="B4168" t="s">
        <v>2805</v>
      </c>
      <c r="E4168">
        <v>100</v>
      </c>
      <c r="F4168" t="s">
        <v>58</v>
      </c>
      <c r="G4168" t="s">
        <v>59</v>
      </c>
      <c r="H4168" t="s">
        <v>60</v>
      </c>
      <c r="J4168" t="s">
        <v>86</v>
      </c>
      <c r="L4168" t="s">
        <v>62</v>
      </c>
      <c r="M4168" t="s">
        <v>63</v>
      </c>
      <c r="N4168" t="s">
        <v>64</v>
      </c>
      <c r="P4168" t="s">
        <v>65</v>
      </c>
      <c r="Q4168" t="s">
        <v>153</v>
      </c>
      <c r="R4168">
        <v>100</v>
      </c>
      <c r="W4168" t="s">
        <v>66</v>
      </c>
      <c r="X4168" t="s">
        <v>67</v>
      </c>
      <c r="Y4168" t="s">
        <v>67</v>
      </c>
      <c r="Z4168" t="s">
        <v>68</v>
      </c>
      <c r="AB4168">
        <v>4</v>
      </c>
      <c r="AC4168" t="s">
        <v>61</v>
      </c>
      <c r="AJ4168" t="s">
        <v>69</v>
      </c>
      <c r="AY4168" t="s">
        <v>96</v>
      </c>
      <c r="AZ4168">
        <v>6797</v>
      </c>
      <c r="BA4168" t="s">
        <v>97</v>
      </c>
      <c r="BB4168" t="s">
        <v>98</v>
      </c>
      <c r="BC4168">
        <v>1986</v>
      </c>
      <c r="BD4168" t="s">
        <v>90</v>
      </c>
    </row>
    <row r="4169" spans="1:56" x14ac:dyDescent="0.35">
      <c r="A4169">
        <v>34398011</v>
      </c>
      <c r="B4169" t="s">
        <v>2806</v>
      </c>
      <c r="C4169" t="s">
        <v>652</v>
      </c>
      <c r="D4169" t="s">
        <v>57</v>
      </c>
      <c r="E4169" t="s">
        <v>86</v>
      </c>
      <c r="F4169" t="s">
        <v>58</v>
      </c>
      <c r="G4169" t="s">
        <v>59</v>
      </c>
      <c r="H4169" t="s">
        <v>60</v>
      </c>
      <c r="J4169" t="s">
        <v>86</v>
      </c>
      <c r="L4169" t="s">
        <v>190</v>
      </c>
      <c r="M4169" t="s">
        <v>63</v>
      </c>
      <c r="N4169" t="s">
        <v>64</v>
      </c>
      <c r="P4169" t="s">
        <v>65</v>
      </c>
      <c r="R4169">
        <v>7.1</v>
      </c>
      <c r="T4169">
        <v>6.3</v>
      </c>
      <c r="V4169">
        <v>8.1</v>
      </c>
      <c r="W4169" t="s">
        <v>66</v>
      </c>
      <c r="X4169" t="s">
        <v>67</v>
      </c>
      <c r="Y4169" t="s">
        <v>67</v>
      </c>
      <c r="Z4169" t="s">
        <v>68</v>
      </c>
      <c r="AB4169">
        <v>4</v>
      </c>
      <c r="AC4169" t="s">
        <v>61</v>
      </c>
      <c r="AJ4169" t="s">
        <v>69</v>
      </c>
      <c r="AY4169" t="s">
        <v>2807</v>
      </c>
      <c r="AZ4169">
        <v>18155</v>
      </c>
      <c r="BA4169" t="s">
        <v>2808</v>
      </c>
      <c r="BB4169" t="s">
        <v>2809</v>
      </c>
      <c r="BC4169">
        <v>1997</v>
      </c>
      <c r="BD4169" t="s">
        <v>90</v>
      </c>
    </row>
    <row r="4170" spans="1:56" x14ac:dyDescent="0.35">
      <c r="A4170">
        <v>34398011</v>
      </c>
      <c r="B4170" t="s">
        <v>2806</v>
      </c>
      <c r="C4170" t="s">
        <v>652</v>
      </c>
      <c r="D4170" t="s">
        <v>57</v>
      </c>
      <c r="E4170" t="s">
        <v>86</v>
      </c>
      <c r="F4170" t="s">
        <v>58</v>
      </c>
      <c r="G4170" t="s">
        <v>59</v>
      </c>
      <c r="H4170" t="s">
        <v>60</v>
      </c>
      <c r="J4170" t="s">
        <v>86</v>
      </c>
      <c r="L4170" t="s">
        <v>190</v>
      </c>
      <c r="M4170" t="s">
        <v>63</v>
      </c>
      <c r="N4170" t="s">
        <v>64</v>
      </c>
      <c r="P4170" t="s">
        <v>65</v>
      </c>
      <c r="R4170">
        <v>3.9</v>
      </c>
      <c r="T4170">
        <v>3.2</v>
      </c>
      <c r="V4170">
        <v>5</v>
      </c>
      <c r="W4170" t="s">
        <v>66</v>
      </c>
      <c r="X4170" t="s">
        <v>67</v>
      </c>
      <c r="Y4170" t="s">
        <v>67</v>
      </c>
      <c r="Z4170" t="s">
        <v>68</v>
      </c>
      <c r="AB4170">
        <v>4</v>
      </c>
      <c r="AC4170" t="s">
        <v>61</v>
      </c>
      <c r="AJ4170" t="s">
        <v>69</v>
      </c>
      <c r="AY4170" t="s">
        <v>2807</v>
      </c>
      <c r="AZ4170">
        <v>18155</v>
      </c>
      <c r="BA4170" t="s">
        <v>2808</v>
      </c>
      <c r="BB4170" t="s">
        <v>2809</v>
      </c>
      <c r="BC4170">
        <v>1997</v>
      </c>
      <c r="BD4170" t="s">
        <v>90</v>
      </c>
    </row>
    <row r="4171" spans="1:56" x14ac:dyDescent="0.35">
      <c r="A4171">
        <v>34723825</v>
      </c>
      <c r="B4171" t="s">
        <v>2810</v>
      </c>
      <c r="D4171" t="s">
        <v>57</v>
      </c>
      <c r="E4171">
        <v>98</v>
      </c>
      <c r="F4171" t="s">
        <v>58</v>
      </c>
      <c r="G4171" t="s">
        <v>59</v>
      </c>
      <c r="H4171" t="s">
        <v>60</v>
      </c>
      <c r="J4171">
        <v>30</v>
      </c>
      <c r="K4171" t="s">
        <v>61</v>
      </c>
      <c r="L4171" t="s">
        <v>74</v>
      </c>
      <c r="M4171" t="s">
        <v>63</v>
      </c>
      <c r="N4171" t="s">
        <v>64</v>
      </c>
      <c r="P4171" t="s">
        <v>65</v>
      </c>
      <c r="R4171">
        <v>205</v>
      </c>
      <c r="W4171" t="s">
        <v>66</v>
      </c>
      <c r="X4171" t="s">
        <v>67</v>
      </c>
      <c r="Y4171" t="s">
        <v>67</v>
      </c>
      <c r="Z4171" t="s">
        <v>68</v>
      </c>
      <c r="AB4171">
        <v>4</v>
      </c>
      <c r="AC4171" t="s">
        <v>61</v>
      </c>
      <c r="AJ4171" t="s">
        <v>69</v>
      </c>
      <c r="AY4171" t="s">
        <v>80</v>
      </c>
      <c r="AZ4171">
        <v>12859</v>
      </c>
      <c r="BA4171" t="s">
        <v>81</v>
      </c>
      <c r="BB4171" t="s">
        <v>82</v>
      </c>
      <c r="BC4171">
        <v>1988</v>
      </c>
      <c r="BD4171" t="s">
        <v>73</v>
      </c>
    </row>
    <row r="4172" spans="1:56" x14ac:dyDescent="0.35">
      <c r="A4172">
        <v>35065271</v>
      </c>
      <c r="B4172" t="s">
        <v>2811</v>
      </c>
      <c r="D4172" t="s">
        <v>85</v>
      </c>
      <c r="E4172" t="s">
        <v>86</v>
      </c>
      <c r="F4172" t="s">
        <v>58</v>
      </c>
      <c r="G4172" t="s">
        <v>59</v>
      </c>
      <c r="H4172" t="s">
        <v>60</v>
      </c>
      <c r="I4172" t="s">
        <v>188</v>
      </c>
      <c r="J4172" t="s">
        <v>86</v>
      </c>
      <c r="L4172" t="s">
        <v>190</v>
      </c>
      <c r="M4172" t="s">
        <v>63</v>
      </c>
      <c r="N4172" t="s">
        <v>64</v>
      </c>
      <c r="P4172" t="s">
        <v>100</v>
      </c>
      <c r="Q4172" t="s">
        <v>153</v>
      </c>
      <c r="R4172">
        <v>1.2999999999999999E-3</v>
      </c>
      <c r="W4172" t="s">
        <v>66</v>
      </c>
      <c r="X4172" t="s">
        <v>67</v>
      </c>
      <c r="Y4172" t="s">
        <v>67</v>
      </c>
      <c r="Z4172" t="s">
        <v>68</v>
      </c>
      <c r="AB4172">
        <v>4</v>
      </c>
      <c r="AC4172" t="s">
        <v>61</v>
      </c>
      <c r="AJ4172" t="s">
        <v>69</v>
      </c>
      <c r="AY4172" t="s">
        <v>1973</v>
      </c>
      <c r="AZ4172">
        <v>16467</v>
      </c>
      <c r="BA4172" t="s">
        <v>1974</v>
      </c>
      <c r="BB4172" t="s">
        <v>1975</v>
      </c>
      <c r="BC4172">
        <v>1993</v>
      </c>
      <c r="BD4172" t="s">
        <v>90</v>
      </c>
    </row>
    <row r="4173" spans="1:56" x14ac:dyDescent="0.35">
      <c r="A4173">
        <v>35367385</v>
      </c>
      <c r="B4173" t="s">
        <v>2812</v>
      </c>
      <c r="C4173" t="s">
        <v>91</v>
      </c>
      <c r="E4173" t="s">
        <v>86</v>
      </c>
      <c r="F4173" t="s">
        <v>58</v>
      </c>
      <c r="G4173" t="s">
        <v>59</v>
      </c>
      <c r="H4173" t="s">
        <v>60</v>
      </c>
      <c r="J4173" t="s">
        <v>86</v>
      </c>
      <c r="L4173" t="s">
        <v>62</v>
      </c>
      <c r="M4173" t="s">
        <v>63</v>
      </c>
      <c r="N4173" t="s">
        <v>64</v>
      </c>
      <c r="P4173" t="s">
        <v>65</v>
      </c>
      <c r="Q4173" t="s">
        <v>153</v>
      </c>
      <c r="R4173">
        <v>500</v>
      </c>
      <c r="W4173" t="s">
        <v>66</v>
      </c>
      <c r="X4173" t="s">
        <v>67</v>
      </c>
      <c r="Y4173" t="s">
        <v>67</v>
      </c>
      <c r="Z4173" t="s">
        <v>68</v>
      </c>
      <c r="AB4173">
        <v>4</v>
      </c>
      <c r="AC4173" t="s">
        <v>61</v>
      </c>
      <c r="AJ4173" t="s">
        <v>69</v>
      </c>
      <c r="AY4173" t="s">
        <v>116</v>
      </c>
      <c r="AZ4173">
        <v>344</v>
      </c>
      <c r="BA4173" t="s">
        <v>117</v>
      </c>
      <c r="BB4173" t="s">
        <v>118</v>
      </c>
      <c r="BC4173">
        <v>1992</v>
      </c>
      <c r="BD4173" t="s">
        <v>90</v>
      </c>
    </row>
    <row r="4174" spans="1:56" x14ac:dyDescent="0.35">
      <c r="A4174">
        <v>35367385</v>
      </c>
      <c r="B4174" t="s">
        <v>2812</v>
      </c>
      <c r="E4174">
        <v>25</v>
      </c>
      <c r="F4174" t="s">
        <v>58</v>
      </c>
      <c r="G4174" t="s">
        <v>59</v>
      </c>
      <c r="H4174" t="s">
        <v>60</v>
      </c>
      <c r="J4174" t="s">
        <v>86</v>
      </c>
      <c r="L4174" t="s">
        <v>62</v>
      </c>
      <c r="M4174" t="s">
        <v>63</v>
      </c>
      <c r="N4174" t="s">
        <v>64</v>
      </c>
      <c r="P4174" t="s">
        <v>65</v>
      </c>
      <c r="Q4174" t="s">
        <v>153</v>
      </c>
      <c r="R4174">
        <v>100</v>
      </c>
      <c r="W4174" t="s">
        <v>66</v>
      </c>
      <c r="X4174" t="s">
        <v>67</v>
      </c>
      <c r="Y4174" t="s">
        <v>67</v>
      </c>
      <c r="Z4174" t="s">
        <v>68</v>
      </c>
      <c r="AB4174">
        <v>4</v>
      </c>
      <c r="AC4174" t="s">
        <v>61</v>
      </c>
      <c r="AJ4174" t="s">
        <v>69</v>
      </c>
      <c r="AY4174" t="s">
        <v>96</v>
      </c>
      <c r="AZ4174">
        <v>6797</v>
      </c>
      <c r="BA4174" t="s">
        <v>97</v>
      </c>
      <c r="BB4174" t="s">
        <v>98</v>
      </c>
      <c r="BC4174">
        <v>1986</v>
      </c>
      <c r="BD4174" t="s">
        <v>90</v>
      </c>
    </row>
    <row r="4175" spans="1:56" x14ac:dyDescent="0.35">
      <c r="A4175">
        <v>35367385</v>
      </c>
      <c r="B4175" t="s">
        <v>2812</v>
      </c>
      <c r="D4175" t="s">
        <v>85</v>
      </c>
      <c r="E4175">
        <v>25</v>
      </c>
      <c r="F4175" t="s">
        <v>58</v>
      </c>
      <c r="G4175" t="s">
        <v>59</v>
      </c>
      <c r="H4175" t="s">
        <v>60</v>
      </c>
      <c r="J4175" t="s">
        <v>86</v>
      </c>
      <c r="L4175" t="s">
        <v>62</v>
      </c>
      <c r="M4175" t="s">
        <v>63</v>
      </c>
      <c r="N4175" t="s">
        <v>64</v>
      </c>
      <c r="P4175" t="s">
        <v>100</v>
      </c>
      <c r="R4175">
        <v>430</v>
      </c>
      <c r="T4175">
        <v>360</v>
      </c>
      <c r="V4175">
        <v>510</v>
      </c>
      <c r="W4175" t="s">
        <v>66</v>
      </c>
      <c r="X4175" t="s">
        <v>67</v>
      </c>
      <c r="Y4175" t="s">
        <v>67</v>
      </c>
      <c r="Z4175" t="s">
        <v>68</v>
      </c>
      <c r="AB4175">
        <v>4</v>
      </c>
      <c r="AC4175" t="s">
        <v>61</v>
      </c>
      <c r="AJ4175" t="s">
        <v>69</v>
      </c>
      <c r="AY4175" t="s">
        <v>962</v>
      </c>
      <c r="AZ4175">
        <v>939</v>
      </c>
      <c r="BA4175" t="s">
        <v>963</v>
      </c>
      <c r="BB4175" t="s">
        <v>964</v>
      </c>
      <c r="BC4175">
        <v>1978</v>
      </c>
      <c r="BD4175" t="s">
        <v>90</v>
      </c>
    </row>
    <row r="4176" spans="1:56" x14ac:dyDescent="0.35">
      <c r="A4176">
        <v>35572782</v>
      </c>
      <c r="B4176" t="s">
        <v>2813</v>
      </c>
      <c r="D4176" t="s">
        <v>85</v>
      </c>
      <c r="E4176" t="s">
        <v>86</v>
      </c>
      <c r="F4176" t="s">
        <v>58</v>
      </c>
      <c r="G4176" t="s">
        <v>59</v>
      </c>
      <c r="H4176" t="s">
        <v>60</v>
      </c>
      <c r="J4176" t="s">
        <v>86</v>
      </c>
      <c r="L4176" t="s">
        <v>62</v>
      </c>
      <c r="M4176" t="s">
        <v>63</v>
      </c>
      <c r="N4176" t="s">
        <v>64</v>
      </c>
      <c r="P4176" t="s">
        <v>100</v>
      </c>
      <c r="T4176">
        <v>5</v>
      </c>
      <c r="V4176">
        <v>15</v>
      </c>
      <c r="W4176" t="s">
        <v>66</v>
      </c>
      <c r="X4176" t="s">
        <v>67</v>
      </c>
      <c r="Y4176" t="s">
        <v>67</v>
      </c>
      <c r="Z4176" t="s">
        <v>68</v>
      </c>
      <c r="AB4176">
        <v>4</v>
      </c>
      <c r="AC4176" t="s">
        <v>61</v>
      </c>
      <c r="AJ4176" t="s">
        <v>69</v>
      </c>
      <c r="AY4176" t="s">
        <v>715</v>
      </c>
      <c r="AZ4176">
        <v>5671</v>
      </c>
      <c r="BA4176" t="s">
        <v>716</v>
      </c>
      <c r="BB4176" t="s">
        <v>717</v>
      </c>
      <c r="BC4176">
        <v>1977</v>
      </c>
      <c r="BD4176" t="s">
        <v>90</v>
      </c>
    </row>
    <row r="4177" spans="1:56" x14ac:dyDescent="0.35">
      <c r="A4177">
        <v>35572782</v>
      </c>
      <c r="B4177" t="s">
        <v>2813</v>
      </c>
      <c r="D4177" t="s">
        <v>85</v>
      </c>
      <c r="E4177" t="s">
        <v>86</v>
      </c>
      <c r="F4177" t="s">
        <v>58</v>
      </c>
      <c r="G4177" t="s">
        <v>59</v>
      </c>
      <c r="H4177" t="s">
        <v>60</v>
      </c>
      <c r="I4177" t="s">
        <v>129</v>
      </c>
      <c r="J4177" t="s">
        <v>86</v>
      </c>
      <c r="L4177" t="s">
        <v>62</v>
      </c>
      <c r="M4177" t="s">
        <v>63</v>
      </c>
      <c r="N4177" t="s">
        <v>64</v>
      </c>
      <c r="P4177" t="s">
        <v>65</v>
      </c>
      <c r="R4177">
        <v>15.1</v>
      </c>
      <c r="T4177">
        <v>14</v>
      </c>
      <c r="V4177">
        <v>16.399999999999999</v>
      </c>
      <c r="W4177" t="s">
        <v>66</v>
      </c>
      <c r="X4177" t="s">
        <v>67</v>
      </c>
      <c r="Y4177" t="s">
        <v>67</v>
      </c>
      <c r="Z4177" t="s">
        <v>68</v>
      </c>
      <c r="AB4177">
        <v>4</v>
      </c>
      <c r="AC4177" t="s">
        <v>61</v>
      </c>
      <c r="AJ4177" t="s">
        <v>69</v>
      </c>
      <c r="AY4177" t="s">
        <v>718</v>
      </c>
      <c r="AZ4177">
        <v>10141</v>
      </c>
      <c r="BA4177" t="s">
        <v>719</v>
      </c>
      <c r="BB4177" t="s">
        <v>720</v>
      </c>
      <c r="BC4177">
        <v>1983</v>
      </c>
      <c r="BD4177" t="s">
        <v>721</v>
      </c>
    </row>
    <row r="4178" spans="1:56" x14ac:dyDescent="0.35">
      <c r="A4178">
        <v>35572782</v>
      </c>
      <c r="B4178" t="s">
        <v>2813</v>
      </c>
      <c r="D4178" t="s">
        <v>85</v>
      </c>
      <c r="E4178" t="s">
        <v>86</v>
      </c>
      <c r="F4178" t="s">
        <v>58</v>
      </c>
      <c r="G4178" t="s">
        <v>59</v>
      </c>
      <c r="H4178" t="s">
        <v>60</v>
      </c>
      <c r="I4178" t="s">
        <v>129</v>
      </c>
      <c r="J4178" t="s">
        <v>86</v>
      </c>
      <c r="L4178" t="s">
        <v>62</v>
      </c>
      <c r="M4178" t="s">
        <v>63</v>
      </c>
      <c r="N4178" t="s">
        <v>64</v>
      </c>
      <c r="P4178" t="s">
        <v>100</v>
      </c>
      <c r="R4178">
        <v>14.8</v>
      </c>
      <c r="W4178" t="s">
        <v>66</v>
      </c>
      <c r="X4178" t="s">
        <v>67</v>
      </c>
      <c r="Y4178" t="s">
        <v>67</v>
      </c>
      <c r="Z4178" t="s">
        <v>68</v>
      </c>
      <c r="AB4178">
        <v>4</v>
      </c>
      <c r="AC4178" t="s">
        <v>61</v>
      </c>
      <c r="AJ4178" t="s">
        <v>69</v>
      </c>
      <c r="AY4178" t="s">
        <v>722</v>
      </c>
      <c r="AZ4178">
        <v>5087</v>
      </c>
      <c r="BA4178" t="s">
        <v>723</v>
      </c>
      <c r="BB4178" t="s">
        <v>724</v>
      </c>
      <c r="BC4178">
        <v>1979</v>
      </c>
      <c r="BD4178" t="s">
        <v>90</v>
      </c>
    </row>
    <row r="4179" spans="1:56" x14ac:dyDescent="0.35">
      <c r="A4179">
        <v>35693993</v>
      </c>
      <c r="B4179" t="s">
        <v>2814</v>
      </c>
      <c r="D4179" t="s">
        <v>85</v>
      </c>
      <c r="E4179" t="s">
        <v>86</v>
      </c>
      <c r="F4179" t="s">
        <v>58</v>
      </c>
      <c r="G4179" t="s">
        <v>59</v>
      </c>
      <c r="H4179" t="s">
        <v>60</v>
      </c>
      <c r="I4179" t="s">
        <v>188</v>
      </c>
      <c r="J4179" t="s">
        <v>86</v>
      </c>
      <c r="L4179" t="s">
        <v>190</v>
      </c>
      <c r="M4179" t="s">
        <v>63</v>
      </c>
      <c r="N4179" t="s">
        <v>64</v>
      </c>
      <c r="P4179" t="s">
        <v>100</v>
      </c>
      <c r="Q4179" t="s">
        <v>153</v>
      </c>
      <c r="R4179">
        <v>0.03</v>
      </c>
      <c r="W4179" t="s">
        <v>66</v>
      </c>
      <c r="X4179" t="s">
        <v>67</v>
      </c>
      <c r="Y4179" t="s">
        <v>67</v>
      </c>
      <c r="Z4179" t="s">
        <v>68</v>
      </c>
      <c r="AB4179">
        <v>4</v>
      </c>
      <c r="AC4179" t="s">
        <v>61</v>
      </c>
      <c r="AJ4179" t="s">
        <v>69</v>
      </c>
      <c r="AY4179" t="s">
        <v>1973</v>
      </c>
      <c r="AZ4179">
        <v>16467</v>
      </c>
      <c r="BA4179" t="s">
        <v>1974</v>
      </c>
      <c r="BB4179" t="s">
        <v>1975</v>
      </c>
      <c r="BC4179">
        <v>1993</v>
      </c>
      <c r="BD4179" t="s">
        <v>90</v>
      </c>
    </row>
    <row r="4180" spans="1:56" x14ac:dyDescent="0.35">
      <c r="A4180">
        <v>35694087</v>
      </c>
      <c r="B4180" t="s">
        <v>2815</v>
      </c>
      <c r="D4180" t="s">
        <v>85</v>
      </c>
      <c r="E4180" t="s">
        <v>86</v>
      </c>
      <c r="F4180" t="s">
        <v>58</v>
      </c>
      <c r="G4180" t="s">
        <v>59</v>
      </c>
      <c r="H4180" t="s">
        <v>60</v>
      </c>
      <c r="I4180" t="s">
        <v>188</v>
      </c>
      <c r="J4180" t="s">
        <v>86</v>
      </c>
      <c r="L4180" t="s">
        <v>190</v>
      </c>
      <c r="M4180" t="s">
        <v>63</v>
      </c>
      <c r="N4180" t="s">
        <v>64</v>
      </c>
      <c r="P4180" t="s">
        <v>100</v>
      </c>
      <c r="Q4180" t="s">
        <v>153</v>
      </c>
      <c r="R4180">
        <v>2.0000000000000001E-4</v>
      </c>
      <c r="W4180" t="s">
        <v>66</v>
      </c>
      <c r="X4180" t="s">
        <v>67</v>
      </c>
      <c r="Y4180" t="s">
        <v>67</v>
      </c>
      <c r="Z4180" t="s">
        <v>68</v>
      </c>
      <c r="AB4180">
        <v>4</v>
      </c>
      <c r="AC4180" t="s">
        <v>61</v>
      </c>
      <c r="AJ4180" t="s">
        <v>69</v>
      </c>
      <c r="AY4180" t="s">
        <v>1973</v>
      </c>
      <c r="AZ4180">
        <v>16467</v>
      </c>
      <c r="BA4180" t="s">
        <v>1974</v>
      </c>
      <c r="BB4180" t="s">
        <v>1975</v>
      </c>
      <c r="BC4180">
        <v>1993</v>
      </c>
      <c r="BD4180" t="s">
        <v>90</v>
      </c>
    </row>
    <row r="4181" spans="1:56" x14ac:dyDescent="0.35">
      <c r="A4181">
        <v>36362091</v>
      </c>
      <c r="B4181" t="s">
        <v>2816</v>
      </c>
      <c r="C4181" t="s">
        <v>91</v>
      </c>
      <c r="D4181" t="s">
        <v>57</v>
      </c>
      <c r="E4181" t="s">
        <v>86</v>
      </c>
      <c r="F4181" t="s">
        <v>58</v>
      </c>
      <c r="G4181" t="s">
        <v>59</v>
      </c>
      <c r="H4181" t="s">
        <v>60</v>
      </c>
      <c r="I4181" t="s">
        <v>129</v>
      </c>
      <c r="J4181" t="s">
        <v>86</v>
      </c>
      <c r="L4181" t="s">
        <v>74</v>
      </c>
      <c r="M4181" t="s">
        <v>63</v>
      </c>
      <c r="N4181" t="s">
        <v>64</v>
      </c>
      <c r="O4181">
        <v>7</v>
      </c>
      <c r="P4181" t="s">
        <v>65</v>
      </c>
      <c r="R4181">
        <v>0.11</v>
      </c>
      <c r="T4181">
        <v>9.4E-2</v>
      </c>
      <c r="V4181">
        <v>0.12</v>
      </c>
      <c r="W4181" t="s">
        <v>66</v>
      </c>
      <c r="X4181" t="s">
        <v>67</v>
      </c>
      <c r="Y4181" t="s">
        <v>67</v>
      </c>
      <c r="Z4181" t="s">
        <v>68</v>
      </c>
      <c r="AB4181">
        <v>4</v>
      </c>
      <c r="AC4181" t="s">
        <v>61</v>
      </c>
      <c r="AJ4181" t="s">
        <v>69</v>
      </c>
      <c r="AY4181" t="s">
        <v>382</v>
      </c>
      <c r="AZ4181">
        <v>107093</v>
      </c>
      <c r="BA4181" t="s">
        <v>2817</v>
      </c>
      <c r="BB4181" t="s">
        <v>2818</v>
      </c>
      <c r="BC4181">
        <v>1985</v>
      </c>
      <c r="BD4181" t="s">
        <v>90</v>
      </c>
    </row>
    <row r="4182" spans="1:56" x14ac:dyDescent="0.35">
      <c r="A4182">
        <v>37228470</v>
      </c>
      <c r="B4182" t="s">
        <v>2819</v>
      </c>
      <c r="D4182" t="s">
        <v>85</v>
      </c>
      <c r="E4182" t="s">
        <v>86</v>
      </c>
      <c r="F4182" t="s">
        <v>58</v>
      </c>
      <c r="G4182" t="s">
        <v>59</v>
      </c>
      <c r="H4182" t="s">
        <v>60</v>
      </c>
      <c r="J4182" t="s">
        <v>86</v>
      </c>
      <c r="L4182" t="s">
        <v>62</v>
      </c>
      <c r="M4182" t="s">
        <v>63</v>
      </c>
      <c r="N4182" t="s">
        <v>64</v>
      </c>
      <c r="P4182" t="s">
        <v>100</v>
      </c>
      <c r="R4182">
        <v>34</v>
      </c>
      <c r="W4182" t="s">
        <v>66</v>
      </c>
      <c r="X4182" t="s">
        <v>67</v>
      </c>
      <c r="Y4182" t="s">
        <v>67</v>
      </c>
      <c r="Z4182" t="s">
        <v>68</v>
      </c>
      <c r="AB4182">
        <v>4</v>
      </c>
      <c r="AC4182" t="s">
        <v>61</v>
      </c>
      <c r="AJ4182" t="s">
        <v>69</v>
      </c>
      <c r="AY4182" t="s">
        <v>412</v>
      </c>
      <c r="AZ4182">
        <v>901</v>
      </c>
      <c r="BA4182" t="s">
        <v>413</v>
      </c>
      <c r="BB4182" t="s">
        <v>414</v>
      </c>
      <c r="BC4182">
        <v>1969</v>
      </c>
      <c r="BD4182" t="s">
        <v>90</v>
      </c>
    </row>
    <row r="4183" spans="1:56" x14ac:dyDescent="0.35">
      <c r="A4183">
        <v>37529309</v>
      </c>
      <c r="B4183" t="s">
        <v>2820</v>
      </c>
      <c r="D4183" t="s">
        <v>57</v>
      </c>
      <c r="E4183">
        <v>97</v>
      </c>
      <c r="F4183" t="s">
        <v>58</v>
      </c>
      <c r="G4183" t="s">
        <v>59</v>
      </c>
      <c r="H4183" t="s">
        <v>60</v>
      </c>
      <c r="J4183">
        <v>32</v>
      </c>
      <c r="K4183" t="s">
        <v>61</v>
      </c>
      <c r="L4183" t="s">
        <v>74</v>
      </c>
      <c r="M4183" t="s">
        <v>63</v>
      </c>
      <c r="N4183" t="s">
        <v>64</v>
      </c>
      <c r="P4183" t="s">
        <v>65</v>
      </c>
      <c r="R4183">
        <v>6.25E-2</v>
      </c>
      <c r="T4183">
        <v>5.2499999999999998E-2</v>
      </c>
      <c r="V4183">
        <v>7.4399999999999994E-2</v>
      </c>
      <c r="W4183" t="s">
        <v>66</v>
      </c>
      <c r="X4183" t="s">
        <v>67</v>
      </c>
      <c r="Y4183" t="s">
        <v>67</v>
      </c>
      <c r="Z4183" t="s">
        <v>68</v>
      </c>
      <c r="AB4183">
        <v>4</v>
      </c>
      <c r="AC4183" t="s">
        <v>61</v>
      </c>
      <c r="AJ4183" t="s">
        <v>69</v>
      </c>
      <c r="AY4183" t="s">
        <v>80</v>
      </c>
      <c r="AZ4183">
        <v>12859</v>
      </c>
      <c r="BA4183" t="s">
        <v>81</v>
      </c>
      <c r="BB4183" t="s">
        <v>82</v>
      </c>
      <c r="BC4183">
        <v>1988</v>
      </c>
      <c r="BD4183" t="s">
        <v>73</v>
      </c>
    </row>
    <row r="4184" spans="1:56" x14ac:dyDescent="0.35">
      <c r="A4184">
        <v>37680652</v>
      </c>
      <c r="B4184" t="s">
        <v>2821</v>
      </c>
      <c r="D4184" t="s">
        <v>85</v>
      </c>
      <c r="E4184" t="s">
        <v>86</v>
      </c>
      <c r="F4184" t="s">
        <v>58</v>
      </c>
      <c r="G4184" t="s">
        <v>59</v>
      </c>
      <c r="H4184" t="s">
        <v>60</v>
      </c>
      <c r="I4184" t="s">
        <v>188</v>
      </c>
      <c r="J4184" t="s">
        <v>86</v>
      </c>
      <c r="L4184" t="s">
        <v>190</v>
      </c>
      <c r="M4184" t="s">
        <v>63</v>
      </c>
      <c r="N4184" t="s">
        <v>64</v>
      </c>
      <c r="P4184" t="s">
        <v>100</v>
      </c>
      <c r="R4184">
        <v>3.3799999999999997E-2</v>
      </c>
      <c r="W4184" t="s">
        <v>66</v>
      </c>
      <c r="X4184" t="s">
        <v>67</v>
      </c>
      <c r="Y4184" t="s">
        <v>67</v>
      </c>
      <c r="Z4184" t="s">
        <v>68</v>
      </c>
      <c r="AB4184">
        <v>4</v>
      </c>
      <c r="AC4184" t="s">
        <v>61</v>
      </c>
      <c r="AJ4184" t="s">
        <v>69</v>
      </c>
      <c r="AY4184" t="s">
        <v>1973</v>
      </c>
      <c r="AZ4184">
        <v>16467</v>
      </c>
      <c r="BA4184" t="s">
        <v>1974</v>
      </c>
      <c r="BB4184" t="s">
        <v>1975</v>
      </c>
      <c r="BC4184">
        <v>1993</v>
      </c>
      <c r="BD4184" t="s">
        <v>90</v>
      </c>
    </row>
    <row r="4185" spans="1:56" x14ac:dyDescent="0.35">
      <c r="A4185">
        <v>37680732</v>
      </c>
      <c r="B4185" t="s">
        <v>2822</v>
      </c>
      <c r="D4185" t="s">
        <v>85</v>
      </c>
      <c r="E4185" t="s">
        <v>86</v>
      </c>
      <c r="F4185" t="s">
        <v>58</v>
      </c>
      <c r="G4185" t="s">
        <v>59</v>
      </c>
      <c r="H4185" t="s">
        <v>60</v>
      </c>
      <c r="I4185" t="s">
        <v>188</v>
      </c>
      <c r="J4185" t="s">
        <v>86</v>
      </c>
      <c r="L4185" t="s">
        <v>190</v>
      </c>
      <c r="M4185" t="s">
        <v>63</v>
      </c>
      <c r="N4185" t="s">
        <v>64</v>
      </c>
      <c r="P4185" t="s">
        <v>100</v>
      </c>
      <c r="Q4185" t="s">
        <v>153</v>
      </c>
      <c r="R4185">
        <v>0.01</v>
      </c>
      <c r="W4185" t="s">
        <v>66</v>
      </c>
      <c r="X4185" t="s">
        <v>67</v>
      </c>
      <c r="Y4185" t="s">
        <v>67</v>
      </c>
      <c r="Z4185" t="s">
        <v>68</v>
      </c>
      <c r="AB4185">
        <v>4</v>
      </c>
      <c r="AC4185" t="s">
        <v>61</v>
      </c>
      <c r="AJ4185" t="s">
        <v>69</v>
      </c>
      <c r="AY4185" t="s">
        <v>1973</v>
      </c>
      <c r="AZ4185">
        <v>16467</v>
      </c>
      <c r="BA4185" t="s">
        <v>1974</v>
      </c>
      <c r="BB4185" t="s">
        <v>1975</v>
      </c>
      <c r="BC4185">
        <v>1993</v>
      </c>
      <c r="BD4185" t="s">
        <v>90</v>
      </c>
    </row>
    <row r="4186" spans="1:56" x14ac:dyDescent="0.35">
      <c r="A4186">
        <v>37841251</v>
      </c>
      <c r="B4186" t="s">
        <v>2823</v>
      </c>
      <c r="D4186" t="s">
        <v>85</v>
      </c>
      <c r="E4186" t="s">
        <v>86</v>
      </c>
      <c r="F4186" t="s">
        <v>58</v>
      </c>
      <c r="G4186" t="s">
        <v>59</v>
      </c>
      <c r="H4186" t="s">
        <v>60</v>
      </c>
      <c r="J4186" t="s">
        <v>86</v>
      </c>
      <c r="L4186" t="s">
        <v>62</v>
      </c>
      <c r="M4186" t="s">
        <v>63</v>
      </c>
      <c r="N4186" t="s">
        <v>64</v>
      </c>
      <c r="P4186" t="s">
        <v>100</v>
      </c>
      <c r="Q4186" t="s">
        <v>435</v>
      </c>
      <c r="R4186">
        <v>5</v>
      </c>
      <c r="W4186" t="s">
        <v>66</v>
      </c>
      <c r="X4186" t="s">
        <v>67</v>
      </c>
      <c r="Y4186" t="s">
        <v>67</v>
      </c>
      <c r="Z4186" t="s">
        <v>68</v>
      </c>
      <c r="AB4186">
        <v>4</v>
      </c>
      <c r="AC4186" t="s">
        <v>61</v>
      </c>
      <c r="AJ4186" t="s">
        <v>69</v>
      </c>
      <c r="AY4186" t="s">
        <v>715</v>
      </c>
      <c r="AZ4186">
        <v>5671</v>
      </c>
      <c r="BA4186" t="s">
        <v>716</v>
      </c>
      <c r="BB4186" t="s">
        <v>717</v>
      </c>
      <c r="BC4186">
        <v>1977</v>
      </c>
      <c r="BD4186" t="s">
        <v>90</v>
      </c>
    </row>
    <row r="4187" spans="1:56" x14ac:dyDescent="0.35">
      <c r="A4187">
        <v>37841251</v>
      </c>
      <c r="B4187" t="s">
        <v>2823</v>
      </c>
      <c r="D4187" t="s">
        <v>85</v>
      </c>
      <c r="E4187" t="s">
        <v>86</v>
      </c>
      <c r="F4187" t="s">
        <v>58</v>
      </c>
      <c r="G4187" t="s">
        <v>59</v>
      </c>
      <c r="H4187" t="s">
        <v>60</v>
      </c>
      <c r="J4187" t="s">
        <v>86</v>
      </c>
      <c r="L4187" t="s">
        <v>62</v>
      </c>
      <c r="M4187" t="s">
        <v>63</v>
      </c>
      <c r="N4187" t="s">
        <v>64</v>
      </c>
      <c r="P4187" t="s">
        <v>100</v>
      </c>
      <c r="R4187">
        <v>2</v>
      </c>
      <c r="T4187">
        <v>1.6</v>
      </c>
      <c r="V4187">
        <v>2.2999999999999998</v>
      </c>
      <c r="W4187" t="s">
        <v>66</v>
      </c>
      <c r="X4187" t="s">
        <v>67</v>
      </c>
      <c r="Y4187" t="s">
        <v>67</v>
      </c>
      <c r="Z4187" t="s">
        <v>68</v>
      </c>
      <c r="AB4187">
        <v>4</v>
      </c>
      <c r="AC4187" t="s">
        <v>61</v>
      </c>
      <c r="AJ4187" t="s">
        <v>69</v>
      </c>
      <c r="AY4187" t="s">
        <v>872</v>
      </c>
      <c r="AZ4187">
        <v>73461</v>
      </c>
      <c r="BA4187" t="s">
        <v>873</v>
      </c>
      <c r="BB4187" t="s">
        <v>874</v>
      </c>
      <c r="BC4187">
        <v>1983</v>
      </c>
      <c r="BD4187" t="s">
        <v>90</v>
      </c>
    </row>
    <row r="4188" spans="1:56" x14ac:dyDescent="0.35">
      <c r="A4188">
        <v>38380073</v>
      </c>
      <c r="B4188" t="s">
        <v>2824</v>
      </c>
      <c r="D4188" t="s">
        <v>85</v>
      </c>
      <c r="E4188" t="s">
        <v>86</v>
      </c>
      <c r="F4188" t="s">
        <v>58</v>
      </c>
      <c r="G4188" t="s">
        <v>59</v>
      </c>
      <c r="H4188" t="s">
        <v>60</v>
      </c>
      <c r="I4188" t="s">
        <v>188</v>
      </c>
      <c r="J4188" t="s">
        <v>86</v>
      </c>
      <c r="L4188" t="s">
        <v>190</v>
      </c>
      <c r="M4188" t="s">
        <v>63</v>
      </c>
      <c r="N4188" t="s">
        <v>64</v>
      </c>
      <c r="P4188" t="s">
        <v>100</v>
      </c>
      <c r="Q4188" t="s">
        <v>153</v>
      </c>
      <c r="R4188">
        <v>5.9999999999999995E-4</v>
      </c>
      <c r="W4188" t="s">
        <v>66</v>
      </c>
      <c r="X4188" t="s">
        <v>67</v>
      </c>
      <c r="Y4188" t="s">
        <v>67</v>
      </c>
      <c r="Z4188" t="s">
        <v>68</v>
      </c>
      <c r="AB4188">
        <v>4</v>
      </c>
      <c r="AC4188" t="s">
        <v>61</v>
      </c>
      <c r="AJ4188" t="s">
        <v>69</v>
      </c>
      <c r="AY4188" t="s">
        <v>1973</v>
      </c>
      <c r="AZ4188">
        <v>16467</v>
      </c>
      <c r="BA4188" t="s">
        <v>1974</v>
      </c>
      <c r="BB4188" t="s">
        <v>1975</v>
      </c>
      <c r="BC4188">
        <v>1993</v>
      </c>
      <c r="BD4188" t="s">
        <v>90</v>
      </c>
    </row>
    <row r="4189" spans="1:56" x14ac:dyDescent="0.35">
      <c r="A4189">
        <v>38638050</v>
      </c>
      <c r="B4189" t="s">
        <v>2825</v>
      </c>
      <c r="D4189" t="s">
        <v>85</v>
      </c>
      <c r="E4189" t="s">
        <v>86</v>
      </c>
      <c r="F4189" t="s">
        <v>58</v>
      </c>
      <c r="G4189" t="s">
        <v>59</v>
      </c>
      <c r="H4189" t="s">
        <v>60</v>
      </c>
      <c r="J4189" t="s">
        <v>86</v>
      </c>
      <c r="L4189" t="s">
        <v>62</v>
      </c>
      <c r="M4189" t="s">
        <v>63</v>
      </c>
      <c r="N4189" t="s">
        <v>64</v>
      </c>
      <c r="P4189" t="s">
        <v>100</v>
      </c>
      <c r="Q4189" t="s">
        <v>153</v>
      </c>
      <c r="R4189">
        <v>1000</v>
      </c>
      <c r="W4189" t="s">
        <v>66</v>
      </c>
      <c r="X4189" t="s">
        <v>67</v>
      </c>
      <c r="Y4189" t="s">
        <v>67</v>
      </c>
      <c r="Z4189" t="s">
        <v>68</v>
      </c>
      <c r="AB4189">
        <v>4</v>
      </c>
      <c r="AC4189" t="s">
        <v>61</v>
      </c>
      <c r="AJ4189" t="s">
        <v>69</v>
      </c>
      <c r="AY4189" t="s">
        <v>1131</v>
      </c>
      <c r="AZ4189">
        <v>2957</v>
      </c>
      <c r="BA4189" t="s">
        <v>1132</v>
      </c>
      <c r="BB4189" t="s">
        <v>1133</v>
      </c>
      <c r="BC4189">
        <v>1981</v>
      </c>
      <c r="BD4189" t="s">
        <v>90</v>
      </c>
    </row>
    <row r="4190" spans="1:56" x14ac:dyDescent="0.35">
      <c r="A4190">
        <v>38638050</v>
      </c>
      <c r="B4190" t="s">
        <v>2825</v>
      </c>
      <c r="E4190">
        <v>100</v>
      </c>
      <c r="F4190" t="s">
        <v>58</v>
      </c>
      <c r="G4190" t="s">
        <v>59</v>
      </c>
      <c r="H4190" t="s">
        <v>60</v>
      </c>
      <c r="J4190" t="s">
        <v>86</v>
      </c>
      <c r="L4190" t="s">
        <v>62</v>
      </c>
      <c r="M4190" t="s">
        <v>63</v>
      </c>
      <c r="N4190" t="s">
        <v>64</v>
      </c>
      <c r="P4190" t="s">
        <v>65</v>
      </c>
      <c r="Q4190" t="s">
        <v>153</v>
      </c>
      <c r="R4190">
        <v>100</v>
      </c>
      <c r="W4190" t="s">
        <v>66</v>
      </c>
      <c r="X4190" t="s">
        <v>67</v>
      </c>
      <c r="Y4190" t="s">
        <v>67</v>
      </c>
      <c r="Z4190" t="s">
        <v>68</v>
      </c>
      <c r="AB4190">
        <v>4</v>
      </c>
      <c r="AC4190" t="s">
        <v>61</v>
      </c>
      <c r="AJ4190" t="s">
        <v>69</v>
      </c>
      <c r="AY4190" t="s">
        <v>96</v>
      </c>
      <c r="AZ4190">
        <v>6797</v>
      </c>
      <c r="BA4190" t="s">
        <v>97</v>
      </c>
      <c r="BB4190" t="s">
        <v>98</v>
      </c>
      <c r="BC4190">
        <v>1986</v>
      </c>
      <c r="BD4190" t="s">
        <v>90</v>
      </c>
    </row>
    <row r="4191" spans="1:56" x14ac:dyDescent="0.35">
      <c r="A4191">
        <v>38641940</v>
      </c>
      <c r="B4191" t="s">
        <v>2826</v>
      </c>
      <c r="D4191" t="s">
        <v>85</v>
      </c>
      <c r="E4191" t="s">
        <v>86</v>
      </c>
      <c r="F4191" t="s">
        <v>58</v>
      </c>
      <c r="G4191" t="s">
        <v>59</v>
      </c>
      <c r="H4191" t="s">
        <v>60</v>
      </c>
      <c r="I4191" t="s">
        <v>129</v>
      </c>
      <c r="J4191" t="s">
        <v>86</v>
      </c>
      <c r="L4191" t="s">
        <v>62</v>
      </c>
      <c r="M4191" t="s">
        <v>63</v>
      </c>
      <c r="N4191" t="s">
        <v>64</v>
      </c>
      <c r="P4191" t="s">
        <v>100</v>
      </c>
      <c r="R4191">
        <v>127</v>
      </c>
      <c r="T4191">
        <v>100</v>
      </c>
      <c r="V4191">
        <v>161</v>
      </c>
      <c r="W4191" t="s">
        <v>66</v>
      </c>
      <c r="X4191" t="s">
        <v>67</v>
      </c>
      <c r="Y4191" t="s">
        <v>67</v>
      </c>
      <c r="Z4191" t="s">
        <v>68</v>
      </c>
      <c r="AB4191">
        <v>4</v>
      </c>
      <c r="AC4191" t="s">
        <v>61</v>
      </c>
      <c r="AJ4191" t="s">
        <v>69</v>
      </c>
      <c r="AY4191" t="s">
        <v>2827</v>
      </c>
      <c r="AZ4191">
        <v>8784</v>
      </c>
      <c r="BA4191" t="s">
        <v>2828</v>
      </c>
      <c r="BB4191" t="s">
        <v>2829</v>
      </c>
      <c r="BC4191">
        <v>1992</v>
      </c>
      <c r="BD4191" t="s">
        <v>90</v>
      </c>
    </row>
    <row r="4192" spans="1:56" x14ac:dyDescent="0.35">
      <c r="A4192">
        <v>38641940</v>
      </c>
      <c r="B4192" t="s">
        <v>2826</v>
      </c>
      <c r="D4192" t="s">
        <v>85</v>
      </c>
      <c r="E4192" t="s">
        <v>86</v>
      </c>
      <c r="F4192" t="s">
        <v>58</v>
      </c>
      <c r="G4192" t="s">
        <v>59</v>
      </c>
      <c r="H4192" t="s">
        <v>60</v>
      </c>
      <c r="J4192" t="s">
        <v>86</v>
      </c>
      <c r="L4192" t="s">
        <v>62</v>
      </c>
      <c r="M4192" t="s">
        <v>63</v>
      </c>
      <c r="N4192" t="s">
        <v>64</v>
      </c>
      <c r="P4192" t="s">
        <v>100</v>
      </c>
      <c r="R4192">
        <v>2.2999999999999998</v>
      </c>
      <c r="T4192">
        <v>1.9</v>
      </c>
      <c r="V4192">
        <v>2.8</v>
      </c>
      <c r="W4192" t="s">
        <v>66</v>
      </c>
      <c r="X4192" t="s">
        <v>67</v>
      </c>
      <c r="Y4192" t="s">
        <v>67</v>
      </c>
      <c r="Z4192" t="s">
        <v>68</v>
      </c>
      <c r="AB4192">
        <v>4</v>
      </c>
      <c r="AC4192" t="s">
        <v>61</v>
      </c>
      <c r="AJ4192" t="s">
        <v>69</v>
      </c>
      <c r="AY4192" t="s">
        <v>2830</v>
      </c>
      <c r="AZ4192">
        <v>5752</v>
      </c>
      <c r="BA4192" t="s">
        <v>2831</v>
      </c>
      <c r="BB4192" t="s">
        <v>2832</v>
      </c>
      <c r="BC4192">
        <v>1979</v>
      </c>
      <c r="BD4192" t="s">
        <v>90</v>
      </c>
    </row>
    <row r="4193" spans="1:56" x14ac:dyDescent="0.35">
      <c r="A4193">
        <v>38641940</v>
      </c>
      <c r="B4193" t="s">
        <v>2826</v>
      </c>
      <c r="D4193" t="s">
        <v>85</v>
      </c>
      <c r="E4193" t="s">
        <v>86</v>
      </c>
      <c r="F4193" t="s">
        <v>58</v>
      </c>
      <c r="G4193" t="s">
        <v>59</v>
      </c>
      <c r="H4193" t="s">
        <v>60</v>
      </c>
      <c r="I4193" t="s">
        <v>188</v>
      </c>
      <c r="J4193" t="s">
        <v>86</v>
      </c>
      <c r="K4193" t="s">
        <v>61</v>
      </c>
      <c r="L4193" t="s">
        <v>62</v>
      </c>
      <c r="M4193" t="s">
        <v>63</v>
      </c>
      <c r="N4193" t="s">
        <v>64</v>
      </c>
      <c r="P4193" t="s">
        <v>65</v>
      </c>
      <c r="Q4193" t="s">
        <v>153</v>
      </c>
      <c r="R4193">
        <v>5.5</v>
      </c>
      <c r="W4193" t="s">
        <v>2833</v>
      </c>
      <c r="X4193" t="s">
        <v>67</v>
      </c>
      <c r="Y4193" t="s">
        <v>67</v>
      </c>
      <c r="Z4193" t="s">
        <v>68</v>
      </c>
      <c r="AB4193">
        <v>4</v>
      </c>
      <c r="AC4193" t="s">
        <v>61</v>
      </c>
      <c r="AJ4193" t="s">
        <v>69</v>
      </c>
      <c r="AY4193" t="s">
        <v>2834</v>
      </c>
      <c r="AZ4193">
        <v>160505</v>
      </c>
      <c r="BA4193" t="s">
        <v>2835</v>
      </c>
      <c r="BB4193" t="s">
        <v>2836</v>
      </c>
      <c r="BC4193">
        <v>2012</v>
      </c>
      <c r="BD4193" t="s">
        <v>2837</v>
      </c>
    </row>
    <row r="4194" spans="1:56" x14ac:dyDescent="0.35">
      <c r="A4194">
        <v>38641940</v>
      </c>
      <c r="B4194" t="s">
        <v>2826</v>
      </c>
      <c r="E4194">
        <v>41.3</v>
      </c>
      <c r="F4194" t="s">
        <v>58</v>
      </c>
      <c r="G4194" t="s">
        <v>59</v>
      </c>
      <c r="H4194" t="s">
        <v>60</v>
      </c>
      <c r="J4194" t="s">
        <v>86</v>
      </c>
      <c r="L4194" t="s">
        <v>62</v>
      </c>
      <c r="M4194" t="s">
        <v>63</v>
      </c>
      <c r="N4194" t="s">
        <v>64</v>
      </c>
      <c r="P4194" t="s">
        <v>100</v>
      </c>
      <c r="R4194">
        <v>9.4</v>
      </c>
      <c r="T4194">
        <v>5.6</v>
      </c>
      <c r="V4194">
        <v>16</v>
      </c>
      <c r="W4194" t="s">
        <v>66</v>
      </c>
      <c r="X4194" t="s">
        <v>67</v>
      </c>
      <c r="Y4194" t="s">
        <v>67</v>
      </c>
      <c r="Z4194" t="s">
        <v>68</v>
      </c>
      <c r="AB4194">
        <v>4</v>
      </c>
      <c r="AC4194" t="s">
        <v>61</v>
      </c>
      <c r="AJ4194" t="s">
        <v>69</v>
      </c>
      <c r="AY4194" t="s">
        <v>116</v>
      </c>
      <c r="AZ4194">
        <v>344</v>
      </c>
      <c r="BA4194" t="s">
        <v>117</v>
      </c>
      <c r="BB4194" t="s">
        <v>118</v>
      </c>
      <c r="BC4194">
        <v>1992</v>
      </c>
      <c r="BD4194" t="s">
        <v>90</v>
      </c>
    </row>
    <row r="4195" spans="1:56" x14ac:dyDescent="0.35">
      <c r="A4195">
        <v>38641940</v>
      </c>
      <c r="B4195" t="s">
        <v>2826</v>
      </c>
      <c r="D4195" t="s">
        <v>85</v>
      </c>
      <c r="E4195" t="s">
        <v>86</v>
      </c>
      <c r="F4195" t="s">
        <v>58</v>
      </c>
      <c r="G4195" t="s">
        <v>59</v>
      </c>
      <c r="H4195" t="s">
        <v>60</v>
      </c>
      <c r="I4195" t="s">
        <v>188</v>
      </c>
      <c r="J4195" t="s">
        <v>86</v>
      </c>
      <c r="K4195" t="s">
        <v>61</v>
      </c>
      <c r="L4195" t="s">
        <v>62</v>
      </c>
      <c r="M4195" t="s">
        <v>63</v>
      </c>
      <c r="N4195" t="s">
        <v>64</v>
      </c>
      <c r="P4195" t="s">
        <v>65</v>
      </c>
      <c r="Q4195" t="s">
        <v>153</v>
      </c>
      <c r="R4195">
        <v>7.33</v>
      </c>
      <c r="W4195" t="s">
        <v>2833</v>
      </c>
      <c r="X4195" t="s">
        <v>67</v>
      </c>
      <c r="Y4195" t="s">
        <v>67</v>
      </c>
      <c r="Z4195" t="s">
        <v>68</v>
      </c>
      <c r="AB4195">
        <v>4</v>
      </c>
      <c r="AC4195" t="s">
        <v>61</v>
      </c>
      <c r="AJ4195" t="s">
        <v>69</v>
      </c>
      <c r="AY4195" t="s">
        <v>2834</v>
      </c>
      <c r="AZ4195">
        <v>160505</v>
      </c>
      <c r="BA4195" t="s">
        <v>2835</v>
      </c>
      <c r="BB4195" t="s">
        <v>2836</v>
      </c>
      <c r="BC4195">
        <v>2012</v>
      </c>
      <c r="BD4195" t="s">
        <v>2837</v>
      </c>
    </row>
    <row r="4196" spans="1:56" x14ac:dyDescent="0.35">
      <c r="A4196">
        <v>39145476</v>
      </c>
      <c r="B4196" t="s">
        <v>2838</v>
      </c>
      <c r="D4196" t="s">
        <v>57</v>
      </c>
      <c r="E4196" t="s">
        <v>86</v>
      </c>
      <c r="F4196" t="s">
        <v>58</v>
      </c>
      <c r="G4196" t="s">
        <v>59</v>
      </c>
      <c r="H4196" t="s">
        <v>60</v>
      </c>
      <c r="J4196">
        <v>34</v>
      </c>
      <c r="K4196" t="s">
        <v>61</v>
      </c>
      <c r="L4196" t="s">
        <v>74</v>
      </c>
      <c r="M4196" t="s">
        <v>63</v>
      </c>
      <c r="N4196" t="s">
        <v>64</v>
      </c>
      <c r="O4196">
        <v>6</v>
      </c>
      <c r="P4196" t="s">
        <v>65</v>
      </c>
      <c r="R4196">
        <v>1.92</v>
      </c>
      <c r="T4196">
        <v>1.76</v>
      </c>
      <c r="V4196">
        <v>2.1</v>
      </c>
      <c r="W4196" t="s">
        <v>66</v>
      </c>
      <c r="X4196" t="s">
        <v>67</v>
      </c>
      <c r="Y4196" t="s">
        <v>67</v>
      </c>
      <c r="Z4196" t="s">
        <v>68</v>
      </c>
      <c r="AB4196">
        <v>4</v>
      </c>
      <c r="AC4196" t="s">
        <v>61</v>
      </c>
      <c r="AJ4196" t="s">
        <v>69</v>
      </c>
      <c r="AY4196" t="s">
        <v>141</v>
      </c>
      <c r="AZ4196">
        <v>12447</v>
      </c>
      <c r="BA4196" t="s">
        <v>142</v>
      </c>
      <c r="BB4196" t="s">
        <v>143</v>
      </c>
      <c r="BC4196">
        <v>1985</v>
      </c>
      <c r="BD4196" t="s">
        <v>73</v>
      </c>
    </row>
    <row r="4197" spans="1:56" x14ac:dyDescent="0.35">
      <c r="A4197">
        <v>39289946</v>
      </c>
      <c r="B4197" t="s">
        <v>2839</v>
      </c>
      <c r="D4197" t="s">
        <v>85</v>
      </c>
      <c r="E4197" t="s">
        <v>128</v>
      </c>
      <c r="F4197" t="s">
        <v>58</v>
      </c>
      <c r="G4197" t="s">
        <v>59</v>
      </c>
      <c r="H4197" t="s">
        <v>60</v>
      </c>
      <c r="I4197" t="s">
        <v>129</v>
      </c>
      <c r="J4197" t="s">
        <v>86</v>
      </c>
      <c r="L4197" t="s">
        <v>62</v>
      </c>
      <c r="M4197" t="s">
        <v>63</v>
      </c>
      <c r="N4197" t="s">
        <v>64</v>
      </c>
      <c r="P4197" t="s">
        <v>100</v>
      </c>
      <c r="Q4197" t="s">
        <v>153</v>
      </c>
      <c r="R4197">
        <v>0.16</v>
      </c>
      <c r="W4197" t="s">
        <v>66</v>
      </c>
      <c r="X4197" t="s">
        <v>67</v>
      </c>
      <c r="Y4197" t="s">
        <v>67</v>
      </c>
      <c r="Z4197" t="s">
        <v>68</v>
      </c>
      <c r="AB4197">
        <v>4</v>
      </c>
      <c r="AC4197" t="s">
        <v>61</v>
      </c>
      <c r="AJ4197" t="s">
        <v>69</v>
      </c>
      <c r="AY4197" t="s">
        <v>630</v>
      </c>
      <c r="AZ4197">
        <v>15040</v>
      </c>
      <c r="BA4197" t="s">
        <v>631</v>
      </c>
      <c r="BB4197" t="s">
        <v>632</v>
      </c>
      <c r="BC4197">
        <v>1995</v>
      </c>
      <c r="BD4197" t="s">
        <v>90</v>
      </c>
    </row>
    <row r="4198" spans="1:56" x14ac:dyDescent="0.35">
      <c r="A4198">
        <v>39289946</v>
      </c>
      <c r="B4198" t="s">
        <v>2839</v>
      </c>
      <c r="D4198" t="s">
        <v>57</v>
      </c>
      <c r="E4198" t="s">
        <v>86</v>
      </c>
      <c r="F4198" t="s">
        <v>58</v>
      </c>
      <c r="G4198" t="s">
        <v>59</v>
      </c>
      <c r="H4198" t="s">
        <v>60</v>
      </c>
      <c r="J4198" t="s">
        <v>86</v>
      </c>
      <c r="L4198" t="s">
        <v>62</v>
      </c>
      <c r="M4198" t="s">
        <v>63</v>
      </c>
      <c r="N4198" t="s">
        <v>64</v>
      </c>
      <c r="O4198">
        <v>2</v>
      </c>
      <c r="P4198" t="s">
        <v>65</v>
      </c>
      <c r="Q4198" t="s">
        <v>153</v>
      </c>
      <c r="R4198">
        <v>0.19</v>
      </c>
      <c r="W4198" t="s">
        <v>66</v>
      </c>
      <c r="X4198" t="s">
        <v>67</v>
      </c>
      <c r="Y4198" t="s">
        <v>67</v>
      </c>
      <c r="Z4198" t="s">
        <v>68</v>
      </c>
      <c r="AB4198">
        <v>4</v>
      </c>
      <c r="AC4198" t="s">
        <v>61</v>
      </c>
      <c r="AJ4198" t="s">
        <v>69</v>
      </c>
      <c r="AY4198" t="s">
        <v>633</v>
      </c>
      <c r="AZ4198">
        <v>180491</v>
      </c>
      <c r="BA4198" t="s">
        <v>634</v>
      </c>
      <c r="BB4198" t="s">
        <v>635</v>
      </c>
      <c r="BC4198">
        <v>2000</v>
      </c>
      <c r="BD4198" t="s">
        <v>90</v>
      </c>
    </row>
    <row r="4199" spans="1:56" x14ac:dyDescent="0.35">
      <c r="A4199">
        <v>39289946</v>
      </c>
      <c r="B4199" t="s">
        <v>2839</v>
      </c>
      <c r="D4199" t="s">
        <v>85</v>
      </c>
      <c r="E4199" t="s">
        <v>128</v>
      </c>
      <c r="F4199" t="s">
        <v>58</v>
      </c>
      <c r="G4199" t="s">
        <v>59</v>
      </c>
      <c r="H4199" t="s">
        <v>60</v>
      </c>
      <c r="I4199" t="s">
        <v>129</v>
      </c>
      <c r="J4199" t="s">
        <v>86</v>
      </c>
      <c r="L4199" t="s">
        <v>74</v>
      </c>
      <c r="M4199" t="s">
        <v>63</v>
      </c>
      <c r="N4199" t="s">
        <v>64</v>
      </c>
      <c r="P4199" t="s">
        <v>100</v>
      </c>
      <c r="Q4199" t="s">
        <v>153</v>
      </c>
      <c r="R4199">
        <v>0.25</v>
      </c>
      <c r="W4199" t="s">
        <v>66</v>
      </c>
      <c r="X4199" t="s">
        <v>67</v>
      </c>
      <c r="Y4199" t="s">
        <v>67</v>
      </c>
      <c r="Z4199" t="s">
        <v>68</v>
      </c>
      <c r="AB4199">
        <v>4</v>
      </c>
      <c r="AC4199" t="s">
        <v>61</v>
      </c>
      <c r="AJ4199" t="s">
        <v>69</v>
      </c>
      <c r="AY4199" t="s">
        <v>630</v>
      </c>
      <c r="AZ4199">
        <v>15040</v>
      </c>
      <c r="BA4199" t="s">
        <v>631</v>
      </c>
      <c r="BB4199" t="s">
        <v>632</v>
      </c>
      <c r="BC4199">
        <v>1995</v>
      </c>
      <c r="BD4199" t="s">
        <v>90</v>
      </c>
    </row>
    <row r="4200" spans="1:56" x14ac:dyDescent="0.35">
      <c r="A4200">
        <v>39341156</v>
      </c>
      <c r="B4200" t="s">
        <v>2840</v>
      </c>
      <c r="E4200">
        <v>92</v>
      </c>
      <c r="F4200" t="s">
        <v>58</v>
      </c>
      <c r="G4200" t="s">
        <v>59</v>
      </c>
      <c r="H4200" t="s">
        <v>60</v>
      </c>
      <c r="J4200" t="s">
        <v>86</v>
      </c>
      <c r="L4200" t="s">
        <v>62</v>
      </c>
      <c r="M4200" t="s">
        <v>63</v>
      </c>
      <c r="N4200" t="s">
        <v>64</v>
      </c>
      <c r="P4200" t="s">
        <v>65</v>
      </c>
      <c r="R4200">
        <v>300</v>
      </c>
      <c r="T4200">
        <v>265</v>
      </c>
      <c r="V4200">
        <v>340</v>
      </c>
      <c r="W4200" t="s">
        <v>66</v>
      </c>
      <c r="X4200" t="s">
        <v>67</v>
      </c>
      <c r="Y4200" t="s">
        <v>67</v>
      </c>
      <c r="Z4200" t="s">
        <v>68</v>
      </c>
      <c r="AB4200">
        <v>4</v>
      </c>
      <c r="AC4200" t="s">
        <v>61</v>
      </c>
      <c r="AJ4200" t="s">
        <v>69</v>
      </c>
      <c r="AY4200" t="s">
        <v>96</v>
      </c>
      <c r="AZ4200">
        <v>6797</v>
      </c>
      <c r="BA4200" t="s">
        <v>97</v>
      </c>
      <c r="BB4200" t="s">
        <v>98</v>
      </c>
      <c r="BC4200">
        <v>1986</v>
      </c>
      <c r="BD4200" t="s">
        <v>90</v>
      </c>
    </row>
    <row r="4201" spans="1:56" x14ac:dyDescent="0.35">
      <c r="A4201">
        <v>39429715</v>
      </c>
      <c r="B4201" t="s">
        <v>2841</v>
      </c>
      <c r="E4201">
        <v>100</v>
      </c>
      <c r="F4201" t="s">
        <v>58</v>
      </c>
      <c r="G4201" t="s">
        <v>59</v>
      </c>
      <c r="H4201" t="s">
        <v>60</v>
      </c>
      <c r="J4201" t="s">
        <v>86</v>
      </c>
      <c r="L4201" t="s">
        <v>62</v>
      </c>
      <c r="M4201" t="s">
        <v>63</v>
      </c>
      <c r="N4201" t="s">
        <v>64</v>
      </c>
      <c r="P4201" t="s">
        <v>65</v>
      </c>
      <c r="R4201">
        <v>0.49</v>
      </c>
      <c r="T4201">
        <v>0.41899999999999998</v>
      </c>
      <c r="V4201">
        <v>0.59599999999999997</v>
      </c>
      <c r="W4201" t="s">
        <v>66</v>
      </c>
      <c r="X4201" t="s">
        <v>67</v>
      </c>
      <c r="Y4201" t="s">
        <v>67</v>
      </c>
      <c r="Z4201" t="s">
        <v>68</v>
      </c>
      <c r="AB4201">
        <v>4</v>
      </c>
      <c r="AC4201" t="s">
        <v>61</v>
      </c>
      <c r="AJ4201" t="s">
        <v>69</v>
      </c>
      <c r="AY4201" t="s">
        <v>96</v>
      </c>
      <c r="AZ4201">
        <v>6797</v>
      </c>
      <c r="BA4201" t="s">
        <v>97</v>
      </c>
      <c r="BB4201" t="s">
        <v>98</v>
      </c>
      <c r="BC4201">
        <v>1986</v>
      </c>
      <c r="BD4201" t="s">
        <v>90</v>
      </c>
    </row>
    <row r="4202" spans="1:56" x14ac:dyDescent="0.35">
      <c r="A4202">
        <v>39429715</v>
      </c>
      <c r="B4202" t="s">
        <v>2841</v>
      </c>
      <c r="E4202">
        <v>100</v>
      </c>
      <c r="F4202" t="s">
        <v>58</v>
      </c>
      <c r="G4202" t="s">
        <v>59</v>
      </c>
      <c r="H4202" t="s">
        <v>60</v>
      </c>
      <c r="J4202" t="s">
        <v>86</v>
      </c>
      <c r="L4202" t="s">
        <v>74</v>
      </c>
      <c r="M4202" t="s">
        <v>63</v>
      </c>
      <c r="N4202" t="s">
        <v>64</v>
      </c>
      <c r="P4202" t="s">
        <v>65</v>
      </c>
      <c r="R4202">
        <v>0.56000000000000005</v>
      </c>
      <c r="T4202">
        <v>0.47099999999999997</v>
      </c>
      <c r="V4202">
        <v>0.66600000000000004</v>
      </c>
      <c r="W4202" t="s">
        <v>66</v>
      </c>
      <c r="X4202" t="s">
        <v>67</v>
      </c>
      <c r="Y4202" t="s">
        <v>67</v>
      </c>
      <c r="Z4202" t="s">
        <v>68</v>
      </c>
      <c r="AB4202">
        <v>4</v>
      </c>
      <c r="AC4202" t="s">
        <v>61</v>
      </c>
      <c r="AJ4202" t="s">
        <v>69</v>
      </c>
      <c r="AY4202" t="s">
        <v>96</v>
      </c>
      <c r="AZ4202">
        <v>6797</v>
      </c>
      <c r="BA4202" t="s">
        <v>97</v>
      </c>
      <c r="BB4202" t="s">
        <v>98</v>
      </c>
      <c r="BC4202">
        <v>1986</v>
      </c>
      <c r="BD4202" t="s">
        <v>90</v>
      </c>
    </row>
    <row r="4203" spans="1:56" x14ac:dyDescent="0.35">
      <c r="A4203">
        <v>39450050</v>
      </c>
      <c r="B4203" t="s">
        <v>2842</v>
      </c>
      <c r="E4203">
        <v>100</v>
      </c>
      <c r="F4203" t="s">
        <v>58</v>
      </c>
      <c r="G4203" t="s">
        <v>59</v>
      </c>
      <c r="H4203" t="s">
        <v>60</v>
      </c>
      <c r="J4203" t="s">
        <v>86</v>
      </c>
      <c r="L4203" t="s">
        <v>62</v>
      </c>
      <c r="M4203" t="s">
        <v>63</v>
      </c>
      <c r="N4203" t="s">
        <v>64</v>
      </c>
      <c r="P4203" t="s">
        <v>65</v>
      </c>
      <c r="Q4203" t="s">
        <v>153</v>
      </c>
      <c r="R4203">
        <v>100</v>
      </c>
      <c r="W4203" t="s">
        <v>66</v>
      </c>
      <c r="X4203" t="s">
        <v>67</v>
      </c>
      <c r="Y4203" t="s">
        <v>67</v>
      </c>
      <c r="Z4203" t="s">
        <v>68</v>
      </c>
      <c r="AB4203">
        <v>4</v>
      </c>
      <c r="AC4203" t="s">
        <v>61</v>
      </c>
      <c r="AJ4203" t="s">
        <v>69</v>
      </c>
      <c r="AY4203" t="s">
        <v>96</v>
      </c>
      <c r="AZ4203">
        <v>6797</v>
      </c>
      <c r="BA4203" t="s">
        <v>97</v>
      </c>
      <c r="BB4203" t="s">
        <v>98</v>
      </c>
      <c r="BC4203">
        <v>1986</v>
      </c>
      <c r="BD4203" t="s">
        <v>90</v>
      </c>
    </row>
    <row r="4204" spans="1:56" x14ac:dyDescent="0.35">
      <c r="A4204">
        <v>39515418</v>
      </c>
      <c r="B4204" t="s">
        <v>2843</v>
      </c>
      <c r="E4204">
        <v>93.7</v>
      </c>
      <c r="F4204" t="s">
        <v>58</v>
      </c>
      <c r="G4204" t="s">
        <v>59</v>
      </c>
      <c r="H4204" t="s">
        <v>60</v>
      </c>
      <c r="J4204" t="s">
        <v>86</v>
      </c>
      <c r="L4204" t="s">
        <v>74</v>
      </c>
      <c r="M4204" t="s">
        <v>63</v>
      </c>
      <c r="N4204" t="s">
        <v>64</v>
      </c>
      <c r="P4204" t="s">
        <v>65</v>
      </c>
      <c r="R4204">
        <v>2.3700000000000001E-3</v>
      </c>
      <c r="T4204">
        <v>2.0400000000000001E-3</v>
      </c>
      <c r="V4204">
        <v>2.8300000000000001E-3</v>
      </c>
      <c r="W4204" t="s">
        <v>66</v>
      </c>
      <c r="X4204" t="s">
        <v>67</v>
      </c>
      <c r="Y4204" t="s">
        <v>67</v>
      </c>
      <c r="Z4204" t="s">
        <v>68</v>
      </c>
      <c r="AB4204">
        <v>4</v>
      </c>
      <c r="AC4204" t="s">
        <v>61</v>
      </c>
      <c r="AJ4204" t="s">
        <v>69</v>
      </c>
      <c r="AY4204" t="s">
        <v>116</v>
      </c>
      <c r="AZ4204">
        <v>344</v>
      </c>
      <c r="BA4204" t="s">
        <v>117</v>
      </c>
      <c r="BB4204" t="s">
        <v>118</v>
      </c>
      <c r="BC4204">
        <v>1992</v>
      </c>
      <c r="BD4204" t="s">
        <v>90</v>
      </c>
    </row>
    <row r="4205" spans="1:56" x14ac:dyDescent="0.35">
      <c r="A4205">
        <v>39905572</v>
      </c>
      <c r="B4205" t="s">
        <v>2844</v>
      </c>
      <c r="D4205" t="s">
        <v>57</v>
      </c>
      <c r="E4205" t="s">
        <v>128</v>
      </c>
      <c r="F4205" t="s">
        <v>58</v>
      </c>
      <c r="G4205" t="s">
        <v>59</v>
      </c>
      <c r="H4205" t="s">
        <v>60</v>
      </c>
      <c r="I4205" t="s">
        <v>129</v>
      </c>
      <c r="J4205" t="s">
        <v>86</v>
      </c>
      <c r="K4205" t="s">
        <v>61</v>
      </c>
      <c r="L4205" t="s">
        <v>74</v>
      </c>
      <c r="M4205" t="s">
        <v>63</v>
      </c>
      <c r="N4205" t="s">
        <v>64</v>
      </c>
      <c r="P4205" t="s">
        <v>65</v>
      </c>
      <c r="R4205">
        <v>3.86</v>
      </c>
      <c r="W4205" t="s">
        <v>66</v>
      </c>
      <c r="X4205" t="s">
        <v>67</v>
      </c>
      <c r="Y4205" t="s">
        <v>67</v>
      </c>
      <c r="Z4205" t="s">
        <v>68</v>
      </c>
      <c r="AB4205">
        <v>4</v>
      </c>
      <c r="AC4205" t="s">
        <v>61</v>
      </c>
      <c r="AJ4205" t="s">
        <v>69</v>
      </c>
      <c r="AY4205" t="s">
        <v>134</v>
      </c>
      <c r="AZ4205">
        <v>15031</v>
      </c>
      <c r="BA4205" t="s">
        <v>135</v>
      </c>
      <c r="BB4205" t="s">
        <v>136</v>
      </c>
      <c r="BC4205">
        <v>1995</v>
      </c>
      <c r="BD4205" t="s">
        <v>133</v>
      </c>
    </row>
    <row r="4206" spans="1:56" x14ac:dyDescent="0.35">
      <c r="A4206">
        <v>39905572</v>
      </c>
      <c r="B4206" t="s">
        <v>2844</v>
      </c>
      <c r="D4206" t="s">
        <v>85</v>
      </c>
      <c r="E4206">
        <v>99</v>
      </c>
      <c r="F4206" t="s">
        <v>58</v>
      </c>
      <c r="G4206" t="s">
        <v>59</v>
      </c>
      <c r="H4206" t="s">
        <v>60</v>
      </c>
      <c r="J4206">
        <v>34</v>
      </c>
      <c r="K4206" t="s">
        <v>61</v>
      </c>
      <c r="L4206" t="s">
        <v>74</v>
      </c>
      <c r="M4206" t="s">
        <v>63</v>
      </c>
      <c r="N4206" t="s">
        <v>64</v>
      </c>
      <c r="P4206" t="s">
        <v>65</v>
      </c>
      <c r="R4206">
        <v>2.8</v>
      </c>
      <c r="T4206">
        <v>2.5</v>
      </c>
      <c r="V4206">
        <v>3.1</v>
      </c>
      <c r="W4206" t="s">
        <v>66</v>
      </c>
      <c r="X4206" t="s">
        <v>67</v>
      </c>
      <c r="Y4206" t="s">
        <v>67</v>
      </c>
      <c r="Z4206" t="s">
        <v>68</v>
      </c>
      <c r="AB4206">
        <v>4</v>
      </c>
      <c r="AC4206" t="s">
        <v>61</v>
      </c>
      <c r="AJ4206" t="s">
        <v>69</v>
      </c>
      <c r="AY4206" t="s">
        <v>286</v>
      </c>
      <c r="AZ4206">
        <v>12448</v>
      </c>
      <c r="BA4206" t="s">
        <v>287</v>
      </c>
      <c r="BB4206" t="s">
        <v>288</v>
      </c>
      <c r="BC4206">
        <v>1984</v>
      </c>
      <c r="BD4206" t="s">
        <v>73</v>
      </c>
    </row>
    <row r="4207" spans="1:56" x14ac:dyDescent="0.35">
      <c r="A4207">
        <v>39905572</v>
      </c>
      <c r="B4207" t="s">
        <v>2844</v>
      </c>
      <c r="D4207" t="s">
        <v>57</v>
      </c>
      <c r="E4207">
        <v>99</v>
      </c>
      <c r="F4207" t="s">
        <v>58</v>
      </c>
      <c r="G4207" t="s">
        <v>59</v>
      </c>
      <c r="H4207" t="s">
        <v>60</v>
      </c>
      <c r="J4207">
        <v>31</v>
      </c>
      <c r="K4207" t="s">
        <v>61</v>
      </c>
      <c r="L4207" t="s">
        <v>74</v>
      </c>
      <c r="M4207" t="s">
        <v>63</v>
      </c>
      <c r="N4207" t="s">
        <v>64</v>
      </c>
      <c r="P4207" t="s">
        <v>65</v>
      </c>
      <c r="R4207">
        <v>3.23</v>
      </c>
      <c r="W4207" t="s">
        <v>66</v>
      </c>
      <c r="X4207" t="s">
        <v>67</v>
      </c>
      <c r="Y4207" t="s">
        <v>67</v>
      </c>
      <c r="Z4207" t="s">
        <v>68</v>
      </c>
      <c r="AB4207">
        <v>4</v>
      </c>
      <c r="AC4207" t="s">
        <v>61</v>
      </c>
      <c r="AJ4207" t="s">
        <v>69</v>
      </c>
      <c r="AY4207" t="s">
        <v>263</v>
      </c>
      <c r="AZ4207">
        <v>12858</v>
      </c>
      <c r="BA4207" t="s">
        <v>264</v>
      </c>
      <c r="BB4207" t="s">
        <v>265</v>
      </c>
      <c r="BC4207">
        <v>1986</v>
      </c>
      <c r="BD4207" t="s">
        <v>73</v>
      </c>
    </row>
    <row r="4208" spans="1:56" x14ac:dyDescent="0.35">
      <c r="A4208">
        <v>40596698</v>
      </c>
      <c r="B4208" t="s">
        <v>2845</v>
      </c>
      <c r="E4208">
        <v>68.900000000000006</v>
      </c>
      <c r="F4208" t="s">
        <v>58</v>
      </c>
      <c r="G4208" t="s">
        <v>59</v>
      </c>
      <c r="H4208" t="s">
        <v>60</v>
      </c>
      <c r="J4208" t="s">
        <v>86</v>
      </c>
      <c r="L4208" t="s">
        <v>62</v>
      </c>
      <c r="M4208" t="s">
        <v>63</v>
      </c>
      <c r="N4208" t="s">
        <v>64</v>
      </c>
      <c r="P4208" t="s">
        <v>65</v>
      </c>
      <c r="Q4208" t="s">
        <v>153</v>
      </c>
      <c r="R4208">
        <v>10</v>
      </c>
      <c r="W4208" t="s">
        <v>66</v>
      </c>
      <c r="X4208" t="s">
        <v>67</v>
      </c>
      <c r="Y4208" t="s">
        <v>67</v>
      </c>
      <c r="Z4208" t="s">
        <v>68</v>
      </c>
      <c r="AB4208">
        <v>4</v>
      </c>
      <c r="AC4208" t="s">
        <v>61</v>
      </c>
      <c r="AJ4208" t="s">
        <v>69</v>
      </c>
      <c r="AY4208" t="s">
        <v>96</v>
      </c>
      <c r="AZ4208">
        <v>6797</v>
      </c>
      <c r="BA4208" t="s">
        <v>97</v>
      </c>
      <c r="BB4208" t="s">
        <v>98</v>
      </c>
      <c r="BC4208">
        <v>1986</v>
      </c>
      <c r="BD4208" t="s">
        <v>90</v>
      </c>
    </row>
    <row r="4209" spans="1:56" x14ac:dyDescent="0.35">
      <c r="A4209">
        <v>40596698</v>
      </c>
      <c r="B4209" t="s">
        <v>2845</v>
      </c>
      <c r="E4209">
        <v>10</v>
      </c>
      <c r="F4209" t="s">
        <v>58</v>
      </c>
      <c r="G4209" t="s">
        <v>59</v>
      </c>
      <c r="H4209" t="s">
        <v>60</v>
      </c>
      <c r="J4209" t="s">
        <v>86</v>
      </c>
      <c r="L4209" t="s">
        <v>62</v>
      </c>
      <c r="M4209" t="s">
        <v>63</v>
      </c>
      <c r="N4209" t="s">
        <v>64</v>
      </c>
      <c r="P4209" t="s">
        <v>65</v>
      </c>
      <c r="Q4209" t="s">
        <v>153</v>
      </c>
      <c r="R4209">
        <v>10</v>
      </c>
      <c r="W4209" t="s">
        <v>66</v>
      </c>
      <c r="X4209" t="s">
        <v>67</v>
      </c>
      <c r="Y4209" t="s">
        <v>67</v>
      </c>
      <c r="Z4209" t="s">
        <v>68</v>
      </c>
      <c r="AB4209">
        <v>4</v>
      </c>
      <c r="AC4209" t="s">
        <v>61</v>
      </c>
      <c r="AJ4209" t="s">
        <v>69</v>
      </c>
      <c r="AY4209" t="s">
        <v>96</v>
      </c>
      <c r="AZ4209">
        <v>6797</v>
      </c>
      <c r="BA4209" t="s">
        <v>97</v>
      </c>
      <c r="BB4209" t="s">
        <v>98</v>
      </c>
      <c r="BC4209">
        <v>1986</v>
      </c>
      <c r="BD4209" t="s">
        <v>90</v>
      </c>
    </row>
    <row r="4210" spans="1:56" x14ac:dyDescent="0.35">
      <c r="A4210">
        <v>41198087</v>
      </c>
      <c r="B4210" t="s">
        <v>2846</v>
      </c>
      <c r="C4210" t="s">
        <v>91</v>
      </c>
      <c r="D4210" t="s">
        <v>85</v>
      </c>
      <c r="E4210">
        <v>95</v>
      </c>
      <c r="F4210" t="s">
        <v>58</v>
      </c>
      <c r="G4210" t="s">
        <v>59</v>
      </c>
      <c r="H4210" t="s">
        <v>60</v>
      </c>
      <c r="I4210" t="s">
        <v>129</v>
      </c>
      <c r="J4210" t="s">
        <v>2847</v>
      </c>
      <c r="K4210" t="s">
        <v>61</v>
      </c>
      <c r="L4210" t="s">
        <v>62</v>
      </c>
      <c r="M4210" t="s">
        <v>63</v>
      </c>
      <c r="N4210" t="s">
        <v>64</v>
      </c>
      <c r="O4210">
        <v>6</v>
      </c>
      <c r="P4210" t="s">
        <v>65</v>
      </c>
      <c r="R4210">
        <v>2.1499999999999998E-2</v>
      </c>
      <c r="T4210">
        <v>1.7399999999999999E-2</v>
      </c>
      <c r="V4210">
        <v>2.8799999999999999E-2</v>
      </c>
      <c r="W4210" t="s">
        <v>66</v>
      </c>
      <c r="X4210" t="s">
        <v>67</v>
      </c>
      <c r="Y4210" t="s">
        <v>67</v>
      </c>
      <c r="Z4210" t="s">
        <v>68</v>
      </c>
      <c r="AA4210" t="s">
        <v>2848</v>
      </c>
      <c r="AB4210">
        <v>4</v>
      </c>
      <c r="AC4210" t="s">
        <v>61</v>
      </c>
      <c r="AJ4210" t="s">
        <v>69</v>
      </c>
      <c r="AY4210" t="s">
        <v>2849</v>
      </c>
      <c r="AZ4210">
        <v>68287</v>
      </c>
      <c r="BA4210" t="s">
        <v>2850</v>
      </c>
      <c r="BB4210" t="s">
        <v>2851</v>
      </c>
      <c r="BC4210">
        <v>2002</v>
      </c>
      <c r="BD4210" t="s">
        <v>73</v>
      </c>
    </row>
    <row r="4211" spans="1:56" x14ac:dyDescent="0.35">
      <c r="A4211">
        <v>41198087</v>
      </c>
      <c r="B4211" t="s">
        <v>2846</v>
      </c>
      <c r="C4211" t="s">
        <v>91</v>
      </c>
      <c r="D4211" t="s">
        <v>85</v>
      </c>
      <c r="E4211">
        <v>95</v>
      </c>
      <c r="F4211" t="s">
        <v>58</v>
      </c>
      <c r="G4211" t="s">
        <v>59</v>
      </c>
      <c r="H4211" t="s">
        <v>60</v>
      </c>
      <c r="I4211" t="s">
        <v>129</v>
      </c>
      <c r="J4211" t="s">
        <v>2847</v>
      </c>
      <c r="K4211" t="s">
        <v>61</v>
      </c>
      <c r="L4211" t="s">
        <v>62</v>
      </c>
      <c r="M4211" t="s">
        <v>63</v>
      </c>
      <c r="N4211" t="s">
        <v>64</v>
      </c>
      <c r="O4211">
        <v>6</v>
      </c>
      <c r="P4211" t="s">
        <v>65</v>
      </c>
      <c r="R4211">
        <v>0.33300000000000002</v>
      </c>
      <c r="T4211">
        <v>0.24399999999999999</v>
      </c>
      <c r="V4211">
        <v>0.55800000000000005</v>
      </c>
      <c r="W4211" t="s">
        <v>66</v>
      </c>
      <c r="X4211" t="s">
        <v>67</v>
      </c>
      <c r="Y4211" t="s">
        <v>67</v>
      </c>
      <c r="Z4211" t="s">
        <v>68</v>
      </c>
      <c r="AA4211" t="s">
        <v>2848</v>
      </c>
      <c r="AB4211">
        <v>4</v>
      </c>
      <c r="AC4211" t="s">
        <v>61</v>
      </c>
      <c r="AJ4211" t="s">
        <v>69</v>
      </c>
      <c r="AY4211" t="s">
        <v>2849</v>
      </c>
      <c r="AZ4211">
        <v>68287</v>
      </c>
      <c r="BA4211" t="s">
        <v>2850</v>
      </c>
      <c r="BB4211" t="s">
        <v>2851</v>
      </c>
      <c r="BC4211">
        <v>2002</v>
      </c>
      <c r="BD4211" t="s">
        <v>73</v>
      </c>
    </row>
    <row r="4212" spans="1:56" x14ac:dyDescent="0.35">
      <c r="A4212">
        <v>42087809</v>
      </c>
      <c r="B4212" t="s">
        <v>2852</v>
      </c>
      <c r="D4212" t="s">
        <v>57</v>
      </c>
      <c r="E4212">
        <v>99</v>
      </c>
      <c r="F4212" t="s">
        <v>58</v>
      </c>
      <c r="G4212" t="s">
        <v>59</v>
      </c>
      <c r="H4212" t="s">
        <v>60</v>
      </c>
      <c r="J4212">
        <v>33</v>
      </c>
      <c r="K4212" t="s">
        <v>61</v>
      </c>
      <c r="L4212" t="s">
        <v>74</v>
      </c>
      <c r="M4212" t="s">
        <v>63</v>
      </c>
      <c r="N4212" t="s">
        <v>64</v>
      </c>
      <c r="P4212" t="s">
        <v>65</v>
      </c>
      <c r="R4212">
        <v>27.7</v>
      </c>
      <c r="W4212" t="s">
        <v>66</v>
      </c>
      <c r="X4212" t="s">
        <v>67</v>
      </c>
      <c r="Y4212" t="s">
        <v>67</v>
      </c>
      <c r="Z4212" t="s">
        <v>68</v>
      </c>
      <c r="AB4212">
        <v>4</v>
      </c>
      <c r="AC4212" t="s">
        <v>61</v>
      </c>
      <c r="AJ4212" t="s">
        <v>69</v>
      </c>
      <c r="AY4212" t="s">
        <v>141</v>
      </c>
      <c r="AZ4212">
        <v>12447</v>
      </c>
      <c r="BA4212" t="s">
        <v>142</v>
      </c>
      <c r="BB4212" t="s">
        <v>143</v>
      </c>
      <c r="BC4212">
        <v>1985</v>
      </c>
      <c r="BD4212" t="s">
        <v>73</v>
      </c>
    </row>
    <row r="4213" spans="1:56" x14ac:dyDescent="0.35">
      <c r="A4213">
        <v>42087809</v>
      </c>
      <c r="B4213" t="s">
        <v>2852</v>
      </c>
      <c r="D4213" t="s">
        <v>57</v>
      </c>
      <c r="E4213">
        <v>99</v>
      </c>
      <c r="F4213" t="s">
        <v>58</v>
      </c>
      <c r="G4213" t="s">
        <v>59</v>
      </c>
      <c r="H4213" t="s">
        <v>60</v>
      </c>
      <c r="J4213" t="s">
        <v>86</v>
      </c>
      <c r="K4213" t="s">
        <v>61</v>
      </c>
      <c r="L4213" t="s">
        <v>74</v>
      </c>
      <c r="M4213" t="s">
        <v>63</v>
      </c>
      <c r="N4213" t="s">
        <v>64</v>
      </c>
      <c r="P4213" t="s">
        <v>65</v>
      </c>
      <c r="R4213">
        <v>27.2</v>
      </c>
      <c r="T4213">
        <v>25.9</v>
      </c>
      <c r="V4213">
        <v>28.6</v>
      </c>
      <c r="W4213" t="s">
        <v>66</v>
      </c>
      <c r="X4213" t="s">
        <v>67</v>
      </c>
      <c r="Y4213" t="s">
        <v>67</v>
      </c>
      <c r="Z4213" t="s">
        <v>68</v>
      </c>
      <c r="AB4213">
        <v>4</v>
      </c>
      <c r="AC4213" t="s">
        <v>61</v>
      </c>
      <c r="AJ4213" t="s">
        <v>69</v>
      </c>
      <c r="AY4213" t="s">
        <v>258</v>
      </c>
      <c r="AZ4213">
        <v>10954</v>
      </c>
      <c r="BA4213" t="s">
        <v>259</v>
      </c>
      <c r="BB4213" t="s">
        <v>260</v>
      </c>
      <c r="BC4213">
        <v>1984</v>
      </c>
      <c r="BD4213" t="s">
        <v>261</v>
      </c>
    </row>
    <row r="4214" spans="1:56" x14ac:dyDescent="0.35">
      <c r="A4214">
        <v>42454068</v>
      </c>
      <c r="B4214" t="s">
        <v>2853</v>
      </c>
      <c r="D4214" t="s">
        <v>57</v>
      </c>
      <c r="E4214" t="s">
        <v>810</v>
      </c>
      <c r="F4214" t="s">
        <v>58</v>
      </c>
      <c r="G4214" t="s">
        <v>59</v>
      </c>
      <c r="H4214" t="s">
        <v>60</v>
      </c>
      <c r="J4214">
        <v>35</v>
      </c>
      <c r="K4214" t="s">
        <v>61</v>
      </c>
      <c r="L4214" t="s">
        <v>74</v>
      </c>
      <c r="M4214" t="s">
        <v>63</v>
      </c>
      <c r="N4214" t="s">
        <v>64</v>
      </c>
      <c r="P4214" t="s">
        <v>65</v>
      </c>
      <c r="R4214">
        <v>41.9</v>
      </c>
      <c r="T4214">
        <v>39.700000000000003</v>
      </c>
      <c r="V4214">
        <v>44.2</v>
      </c>
      <c r="W4214" t="s">
        <v>66</v>
      </c>
      <c r="X4214" t="s">
        <v>67</v>
      </c>
      <c r="Y4214" t="s">
        <v>67</v>
      </c>
      <c r="Z4214" t="s">
        <v>68</v>
      </c>
      <c r="AB4214">
        <v>4</v>
      </c>
      <c r="AC4214" t="s">
        <v>61</v>
      </c>
      <c r="AJ4214" t="s">
        <v>69</v>
      </c>
      <c r="AY4214" t="s">
        <v>286</v>
      </c>
      <c r="AZ4214">
        <v>12448</v>
      </c>
      <c r="BA4214" t="s">
        <v>287</v>
      </c>
      <c r="BB4214" t="s">
        <v>288</v>
      </c>
      <c r="BC4214">
        <v>1984</v>
      </c>
      <c r="BD4214" t="s">
        <v>73</v>
      </c>
    </row>
    <row r="4215" spans="1:56" x14ac:dyDescent="0.35">
      <c r="A4215">
        <v>42509831</v>
      </c>
      <c r="B4215" t="s">
        <v>2854</v>
      </c>
      <c r="E4215">
        <v>93</v>
      </c>
      <c r="F4215" t="s">
        <v>58</v>
      </c>
      <c r="G4215" t="s">
        <v>59</v>
      </c>
      <c r="H4215" t="s">
        <v>60</v>
      </c>
      <c r="J4215" t="s">
        <v>86</v>
      </c>
      <c r="L4215" t="s">
        <v>74</v>
      </c>
      <c r="M4215" t="s">
        <v>63</v>
      </c>
      <c r="N4215" t="s">
        <v>64</v>
      </c>
      <c r="P4215" t="s">
        <v>65</v>
      </c>
      <c r="R4215">
        <v>0.13789999999999999</v>
      </c>
      <c r="T4215">
        <v>0.13519999999999999</v>
      </c>
      <c r="V4215">
        <v>0.1406</v>
      </c>
      <c r="W4215" t="s">
        <v>66</v>
      </c>
      <c r="X4215" t="s">
        <v>67</v>
      </c>
      <c r="Y4215" t="s">
        <v>67</v>
      </c>
      <c r="Z4215" t="s">
        <v>68</v>
      </c>
      <c r="AB4215">
        <v>4</v>
      </c>
      <c r="AC4215" t="s">
        <v>61</v>
      </c>
      <c r="AJ4215" t="s">
        <v>69</v>
      </c>
      <c r="AY4215" t="s">
        <v>116</v>
      </c>
      <c r="AZ4215">
        <v>344</v>
      </c>
      <c r="BA4215" t="s">
        <v>117</v>
      </c>
      <c r="BB4215" t="s">
        <v>118</v>
      </c>
      <c r="BC4215">
        <v>1992</v>
      </c>
      <c r="BD4215" t="s">
        <v>90</v>
      </c>
    </row>
    <row r="4216" spans="1:56" x14ac:dyDescent="0.35">
      <c r="A4216">
        <v>42615292</v>
      </c>
      <c r="B4216" t="s">
        <v>2855</v>
      </c>
      <c r="D4216" t="s">
        <v>57</v>
      </c>
      <c r="E4216">
        <v>85</v>
      </c>
      <c r="F4216" t="s">
        <v>58</v>
      </c>
      <c r="G4216" t="s">
        <v>59</v>
      </c>
      <c r="H4216" t="s">
        <v>60</v>
      </c>
      <c r="J4216" t="s">
        <v>86</v>
      </c>
      <c r="L4216" t="s">
        <v>74</v>
      </c>
      <c r="M4216" t="s">
        <v>63</v>
      </c>
      <c r="N4216" t="s">
        <v>64</v>
      </c>
      <c r="P4216" t="s">
        <v>65</v>
      </c>
      <c r="R4216">
        <v>3.5</v>
      </c>
      <c r="W4216" t="s">
        <v>66</v>
      </c>
      <c r="X4216" t="s">
        <v>67</v>
      </c>
      <c r="Y4216" t="s">
        <v>67</v>
      </c>
      <c r="Z4216" t="s">
        <v>68</v>
      </c>
      <c r="AB4216">
        <v>4</v>
      </c>
      <c r="AC4216" t="s">
        <v>61</v>
      </c>
      <c r="AJ4216" t="s">
        <v>69</v>
      </c>
      <c r="AY4216" t="s">
        <v>93</v>
      </c>
      <c r="AZ4216">
        <v>2100</v>
      </c>
      <c r="BA4216" t="s">
        <v>94</v>
      </c>
      <c r="BB4216" t="s">
        <v>95</v>
      </c>
      <c r="BC4216">
        <v>1969</v>
      </c>
      <c r="BD4216" t="s">
        <v>90</v>
      </c>
    </row>
    <row r="4217" spans="1:56" x14ac:dyDescent="0.35">
      <c r="A4217">
        <v>42615292</v>
      </c>
      <c r="B4217" t="s">
        <v>2855</v>
      </c>
      <c r="D4217" t="s">
        <v>57</v>
      </c>
      <c r="E4217">
        <v>14</v>
      </c>
      <c r="F4217" t="s">
        <v>58</v>
      </c>
      <c r="G4217" t="s">
        <v>59</v>
      </c>
      <c r="H4217" t="s">
        <v>60</v>
      </c>
      <c r="I4217" t="s">
        <v>188</v>
      </c>
      <c r="J4217" t="s">
        <v>86</v>
      </c>
      <c r="K4217" t="s">
        <v>61</v>
      </c>
      <c r="L4217" t="s">
        <v>74</v>
      </c>
      <c r="M4217" t="s">
        <v>63</v>
      </c>
      <c r="N4217" t="s">
        <v>64</v>
      </c>
      <c r="P4217" t="s">
        <v>65</v>
      </c>
      <c r="R4217">
        <v>3.4</v>
      </c>
      <c r="W4217" t="s">
        <v>66</v>
      </c>
      <c r="X4217" t="s">
        <v>67</v>
      </c>
      <c r="Y4217" t="s">
        <v>67</v>
      </c>
      <c r="Z4217" t="s">
        <v>68</v>
      </c>
      <c r="AB4217">
        <v>4</v>
      </c>
      <c r="AC4217" t="s">
        <v>61</v>
      </c>
      <c r="AJ4217" t="s">
        <v>69</v>
      </c>
      <c r="AY4217" t="s">
        <v>2856</v>
      </c>
      <c r="AZ4217">
        <v>545</v>
      </c>
      <c r="BA4217" t="s">
        <v>2857</v>
      </c>
      <c r="BB4217" t="s">
        <v>2858</v>
      </c>
      <c r="BC4217">
        <v>1975</v>
      </c>
      <c r="BD4217" t="s">
        <v>2859</v>
      </c>
    </row>
    <row r="4218" spans="1:56" x14ac:dyDescent="0.35">
      <c r="A4218">
        <v>42615292</v>
      </c>
      <c r="B4218" t="s">
        <v>2855</v>
      </c>
      <c r="D4218" t="s">
        <v>57</v>
      </c>
      <c r="E4218" t="s">
        <v>86</v>
      </c>
      <c r="F4218" t="s">
        <v>58</v>
      </c>
      <c r="G4218" t="s">
        <v>59</v>
      </c>
      <c r="H4218" t="s">
        <v>60</v>
      </c>
      <c r="J4218" t="s">
        <v>86</v>
      </c>
      <c r="L4218" t="s">
        <v>74</v>
      </c>
      <c r="M4218" t="s">
        <v>63</v>
      </c>
      <c r="N4218" t="s">
        <v>64</v>
      </c>
      <c r="P4218" t="s">
        <v>65</v>
      </c>
      <c r="R4218">
        <v>4.2</v>
      </c>
      <c r="W4218" t="s">
        <v>66</v>
      </c>
      <c r="X4218" t="s">
        <v>67</v>
      </c>
      <c r="Y4218" t="s">
        <v>67</v>
      </c>
      <c r="Z4218" t="s">
        <v>68</v>
      </c>
      <c r="AB4218">
        <v>4</v>
      </c>
      <c r="AC4218" t="s">
        <v>61</v>
      </c>
      <c r="AJ4218" t="s">
        <v>69</v>
      </c>
      <c r="AY4218" t="s">
        <v>2860</v>
      </c>
      <c r="AZ4218">
        <v>541</v>
      </c>
      <c r="BA4218" t="s">
        <v>2861</v>
      </c>
      <c r="BB4218" t="s">
        <v>2862</v>
      </c>
      <c r="BC4218">
        <v>1966</v>
      </c>
      <c r="BD4218" t="s">
        <v>90</v>
      </c>
    </row>
    <row r="4219" spans="1:56" x14ac:dyDescent="0.35">
      <c r="A4219">
        <v>42615292</v>
      </c>
      <c r="B4219" t="s">
        <v>2855</v>
      </c>
      <c r="D4219" t="s">
        <v>57</v>
      </c>
      <c r="E4219" t="s">
        <v>86</v>
      </c>
      <c r="F4219" t="s">
        <v>58</v>
      </c>
      <c r="G4219" t="s">
        <v>59</v>
      </c>
      <c r="H4219" t="s">
        <v>60</v>
      </c>
      <c r="I4219" t="s">
        <v>186</v>
      </c>
      <c r="J4219">
        <v>1</v>
      </c>
      <c r="K4219" t="s">
        <v>61</v>
      </c>
      <c r="L4219" t="s">
        <v>74</v>
      </c>
      <c r="M4219" t="s">
        <v>63</v>
      </c>
      <c r="N4219" t="s">
        <v>64</v>
      </c>
      <c r="P4219" t="s">
        <v>65</v>
      </c>
      <c r="R4219">
        <v>11.5</v>
      </c>
      <c r="W4219" t="s">
        <v>66</v>
      </c>
      <c r="X4219" t="s">
        <v>67</v>
      </c>
      <c r="Y4219" t="s">
        <v>67</v>
      </c>
      <c r="Z4219" t="s">
        <v>68</v>
      </c>
      <c r="AB4219">
        <v>4</v>
      </c>
      <c r="AC4219" t="s">
        <v>61</v>
      </c>
      <c r="AJ4219" t="s">
        <v>69</v>
      </c>
      <c r="AY4219" t="s">
        <v>2175</v>
      </c>
      <c r="AZ4219">
        <v>8095</v>
      </c>
      <c r="BA4219" t="s">
        <v>2863</v>
      </c>
      <c r="BB4219" t="s">
        <v>2864</v>
      </c>
      <c r="BC4219">
        <v>1966</v>
      </c>
      <c r="BD4219" t="s">
        <v>73</v>
      </c>
    </row>
    <row r="4220" spans="1:56" x14ac:dyDescent="0.35">
      <c r="A4220">
        <v>42615292</v>
      </c>
      <c r="B4220" t="s">
        <v>2855</v>
      </c>
      <c r="D4220" t="s">
        <v>85</v>
      </c>
      <c r="E4220">
        <v>60.8</v>
      </c>
      <c r="F4220" t="s">
        <v>58</v>
      </c>
      <c r="G4220" t="s">
        <v>59</v>
      </c>
      <c r="H4220" t="s">
        <v>60</v>
      </c>
      <c r="I4220" t="s">
        <v>2174</v>
      </c>
      <c r="J4220" t="s">
        <v>86</v>
      </c>
      <c r="L4220" t="s">
        <v>74</v>
      </c>
      <c r="M4220" t="s">
        <v>63</v>
      </c>
      <c r="N4220" t="s">
        <v>64</v>
      </c>
      <c r="P4220" t="s">
        <v>100</v>
      </c>
      <c r="R4220">
        <v>4.3499999999999996</v>
      </c>
      <c r="T4220">
        <v>4.2</v>
      </c>
      <c r="V4220">
        <v>4.5</v>
      </c>
      <c r="W4220" t="s">
        <v>66</v>
      </c>
      <c r="X4220" t="s">
        <v>67</v>
      </c>
      <c r="Y4220" t="s">
        <v>67</v>
      </c>
      <c r="Z4220" t="s">
        <v>68</v>
      </c>
      <c r="AB4220">
        <v>4</v>
      </c>
      <c r="AC4220" t="s">
        <v>61</v>
      </c>
      <c r="AJ4220" t="s">
        <v>69</v>
      </c>
      <c r="AY4220" t="s">
        <v>2865</v>
      </c>
      <c r="AZ4220">
        <v>544</v>
      </c>
      <c r="BA4220" t="s">
        <v>2866</v>
      </c>
      <c r="BB4220" t="s">
        <v>2867</v>
      </c>
      <c r="BC4220">
        <v>1970</v>
      </c>
      <c r="BD4220" t="s">
        <v>90</v>
      </c>
    </row>
    <row r="4221" spans="1:56" x14ac:dyDescent="0.35">
      <c r="A4221">
        <v>42615292</v>
      </c>
      <c r="B4221" t="s">
        <v>2855</v>
      </c>
      <c r="D4221" t="s">
        <v>85</v>
      </c>
      <c r="E4221">
        <v>60.8</v>
      </c>
      <c r="F4221" t="s">
        <v>58</v>
      </c>
      <c r="G4221" t="s">
        <v>59</v>
      </c>
      <c r="H4221" t="s">
        <v>60</v>
      </c>
      <c r="I4221" t="s">
        <v>2174</v>
      </c>
      <c r="J4221" t="s">
        <v>86</v>
      </c>
      <c r="L4221" t="s">
        <v>62</v>
      </c>
      <c r="M4221" t="s">
        <v>63</v>
      </c>
      <c r="N4221" t="s">
        <v>64</v>
      </c>
      <c r="P4221" t="s">
        <v>100</v>
      </c>
      <c r="R4221">
        <v>5</v>
      </c>
      <c r="W4221" t="s">
        <v>66</v>
      </c>
      <c r="X4221" t="s">
        <v>67</v>
      </c>
      <c r="Y4221" t="s">
        <v>67</v>
      </c>
      <c r="Z4221" t="s">
        <v>68</v>
      </c>
      <c r="AB4221">
        <v>4</v>
      </c>
      <c r="AC4221" t="s">
        <v>61</v>
      </c>
      <c r="AJ4221" t="s">
        <v>69</v>
      </c>
      <c r="AY4221" t="s">
        <v>2865</v>
      </c>
      <c r="AZ4221">
        <v>544</v>
      </c>
      <c r="BA4221" t="s">
        <v>2866</v>
      </c>
      <c r="BB4221" t="s">
        <v>2867</v>
      </c>
      <c r="BC4221">
        <v>1970</v>
      </c>
      <c r="BD4221" t="s">
        <v>90</v>
      </c>
    </row>
    <row r="4222" spans="1:56" x14ac:dyDescent="0.35">
      <c r="A4222">
        <v>42615292</v>
      </c>
      <c r="B4222" t="s">
        <v>2855</v>
      </c>
      <c r="D4222" t="s">
        <v>85</v>
      </c>
      <c r="E4222" t="s">
        <v>86</v>
      </c>
      <c r="F4222" t="s">
        <v>58</v>
      </c>
      <c r="G4222" t="s">
        <v>59</v>
      </c>
      <c r="H4222" t="s">
        <v>60</v>
      </c>
      <c r="J4222" t="s">
        <v>86</v>
      </c>
      <c r="K4222" t="s">
        <v>320</v>
      </c>
      <c r="L4222" t="s">
        <v>62</v>
      </c>
      <c r="M4222" t="s">
        <v>63</v>
      </c>
      <c r="N4222" t="s">
        <v>64</v>
      </c>
      <c r="P4222" t="s">
        <v>100</v>
      </c>
      <c r="R4222">
        <v>0.86</v>
      </c>
      <c r="T4222">
        <v>0.71</v>
      </c>
      <c r="V4222">
        <v>1.0900000000000001</v>
      </c>
      <c r="W4222" t="s">
        <v>66</v>
      </c>
      <c r="X4222" t="s">
        <v>67</v>
      </c>
      <c r="Y4222" t="s">
        <v>67</v>
      </c>
      <c r="Z4222" t="s">
        <v>68</v>
      </c>
      <c r="AB4222">
        <v>4</v>
      </c>
      <c r="AC4222" t="s">
        <v>61</v>
      </c>
      <c r="AJ4222" t="s">
        <v>69</v>
      </c>
      <c r="AY4222" t="s">
        <v>2868</v>
      </c>
      <c r="AZ4222">
        <v>475</v>
      </c>
      <c r="BA4222" t="s">
        <v>2869</v>
      </c>
      <c r="BB4222" t="s">
        <v>2870</v>
      </c>
      <c r="BC4222">
        <v>1980</v>
      </c>
      <c r="BD4222" t="s">
        <v>379</v>
      </c>
    </row>
    <row r="4223" spans="1:56" x14ac:dyDescent="0.35">
      <c r="A4223">
        <v>42615292</v>
      </c>
      <c r="B4223" t="s">
        <v>2855</v>
      </c>
      <c r="D4223" t="s">
        <v>85</v>
      </c>
      <c r="E4223" t="s">
        <v>86</v>
      </c>
      <c r="F4223" t="s">
        <v>58</v>
      </c>
      <c r="G4223" t="s">
        <v>59</v>
      </c>
      <c r="H4223" t="s">
        <v>60</v>
      </c>
      <c r="J4223" t="s">
        <v>86</v>
      </c>
      <c r="K4223" t="s">
        <v>320</v>
      </c>
      <c r="L4223" t="s">
        <v>62</v>
      </c>
      <c r="M4223" t="s">
        <v>63</v>
      </c>
      <c r="N4223" t="s">
        <v>64</v>
      </c>
      <c r="P4223" t="s">
        <v>100</v>
      </c>
      <c r="R4223">
        <v>12.3</v>
      </c>
      <c r="T4223">
        <v>8.9</v>
      </c>
      <c r="V4223">
        <v>16.8</v>
      </c>
      <c r="W4223" t="s">
        <v>66</v>
      </c>
      <c r="X4223" t="s">
        <v>67</v>
      </c>
      <c r="Y4223" t="s">
        <v>67</v>
      </c>
      <c r="Z4223" t="s">
        <v>68</v>
      </c>
      <c r="AB4223">
        <v>4</v>
      </c>
      <c r="AC4223" t="s">
        <v>61</v>
      </c>
      <c r="AJ4223" t="s">
        <v>69</v>
      </c>
      <c r="AY4223" t="s">
        <v>2868</v>
      </c>
      <c r="AZ4223">
        <v>475</v>
      </c>
      <c r="BA4223" t="s">
        <v>2869</v>
      </c>
      <c r="BB4223" t="s">
        <v>2870</v>
      </c>
      <c r="BC4223">
        <v>1980</v>
      </c>
      <c r="BD4223" t="s">
        <v>379</v>
      </c>
    </row>
    <row r="4224" spans="1:56" x14ac:dyDescent="0.35">
      <c r="A4224">
        <v>42615292</v>
      </c>
      <c r="B4224" t="s">
        <v>2855</v>
      </c>
      <c r="D4224" t="s">
        <v>57</v>
      </c>
      <c r="E4224">
        <v>60.8</v>
      </c>
      <c r="F4224" t="s">
        <v>58</v>
      </c>
      <c r="G4224" t="s">
        <v>59</v>
      </c>
      <c r="H4224" t="s">
        <v>60</v>
      </c>
      <c r="I4224" t="s">
        <v>186</v>
      </c>
      <c r="J4224">
        <v>1</v>
      </c>
      <c r="K4224" t="s">
        <v>61</v>
      </c>
      <c r="L4224" t="s">
        <v>74</v>
      </c>
      <c r="M4224" t="s">
        <v>63</v>
      </c>
      <c r="N4224" t="s">
        <v>64</v>
      </c>
      <c r="P4224" t="s">
        <v>65</v>
      </c>
      <c r="R4224">
        <v>2.5</v>
      </c>
      <c r="W4224" t="s">
        <v>66</v>
      </c>
      <c r="X4224" t="s">
        <v>67</v>
      </c>
      <c r="Y4224" t="s">
        <v>67</v>
      </c>
      <c r="Z4224" t="s">
        <v>68</v>
      </c>
      <c r="AB4224">
        <v>4</v>
      </c>
      <c r="AC4224" t="s">
        <v>61</v>
      </c>
      <c r="AJ4224" t="s">
        <v>69</v>
      </c>
      <c r="AY4224" t="s">
        <v>2175</v>
      </c>
      <c r="AZ4224">
        <v>8095</v>
      </c>
      <c r="BA4224" t="s">
        <v>2863</v>
      </c>
      <c r="BB4224" t="s">
        <v>2864</v>
      </c>
      <c r="BC4224">
        <v>1966</v>
      </c>
      <c r="BD4224" t="s">
        <v>73</v>
      </c>
    </row>
    <row r="4225" spans="1:56" x14ac:dyDescent="0.35">
      <c r="A4225">
        <v>42615292</v>
      </c>
      <c r="B4225" t="s">
        <v>2855</v>
      </c>
      <c r="D4225" t="s">
        <v>57</v>
      </c>
      <c r="E4225" t="s">
        <v>86</v>
      </c>
      <c r="F4225" t="s">
        <v>58</v>
      </c>
      <c r="G4225" t="s">
        <v>59</v>
      </c>
      <c r="H4225" t="s">
        <v>60</v>
      </c>
      <c r="J4225">
        <v>10</v>
      </c>
      <c r="K4225" t="s">
        <v>61</v>
      </c>
      <c r="L4225" t="s">
        <v>74</v>
      </c>
      <c r="M4225" t="s">
        <v>63</v>
      </c>
      <c r="N4225" t="s">
        <v>64</v>
      </c>
      <c r="P4225" t="s">
        <v>65</v>
      </c>
      <c r="R4225">
        <v>1.18</v>
      </c>
      <c r="T4225">
        <v>1.03</v>
      </c>
      <c r="V4225">
        <v>1.37</v>
      </c>
      <c r="W4225" t="s">
        <v>66</v>
      </c>
      <c r="X4225" t="s">
        <v>67</v>
      </c>
      <c r="Y4225" t="s">
        <v>67</v>
      </c>
      <c r="Z4225" t="s">
        <v>68</v>
      </c>
      <c r="AB4225">
        <v>4</v>
      </c>
      <c r="AC4225" t="s">
        <v>61</v>
      </c>
      <c r="AJ4225" t="s">
        <v>69</v>
      </c>
      <c r="AY4225" t="s">
        <v>2871</v>
      </c>
      <c r="AZ4225">
        <v>9311</v>
      </c>
      <c r="BA4225" t="s">
        <v>2872</v>
      </c>
      <c r="BB4225" t="s">
        <v>2873</v>
      </c>
      <c r="BC4225">
        <v>1993</v>
      </c>
      <c r="BD4225" t="s">
        <v>73</v>
      </c>
    </row>
    <row r="4226" spans="1:56" x14ac:dyDescent="0.35">
      <c r="A4226">
        <v>42615292</v>
      </c>
      <c r="B4226" t="s">
        <v>2855</v>
      </c>
      <c r="D4226" t="s">
        <v>85</v>
      </c>
      <c r="E4226" t="s">
        <v>86</v>
      </c>
      <c r="F4226" t="s">
        <v>58</v>
      </c>
      <c r="G4226" t="s">
        <v>59</v>
      </c>
      <c r="H4226" t="s">
        <v>60</v>
      </c>
      <c r="J4226" t="s">
        <v>86</v>
      </c>
      <c r="K4226" t="s">
        <v>320</v>
      </c>
      <c r="L4226" t="s">
        <v>62</v>
      </c>
      <c r="M4226" t="s">
        <v>63</v>
      </c>
      <c r="N4226" t="s">
        <v>64</v>
      </c>
      <c r="P4226" t="s">
        <v>100</v>
      </c>
      <c r="R4226">
        <v>4.0999999999999996</v>
      </c>
      <c r="T4226">
        <v>2.9</v>
      </c>
      <c r="V4226">
        <v>5.5</v>
      </c>
      <c r="W4226" t="s">
        <v>66</v>
      </c>
      <c r="X4226" t="s">
        <v>67</v>
      </c>
      <c r="Y4226" t="s">
        <v>67</v>
      </c>
      <c r="Z4226" t="s">
        <v>68</v>
      </c>
      <c r="AB4226">
        <v>4</v>
      </c>
      <c r="AC4226" t="s">
        <v>61</v>
      </c>
      <c r="AJ4226" t="s">
        <v>69</v>
      </c>
      <c r="AY4226" t="s">
        <v>2868</v>
      </c>
      <c r="AZ4226">
        <v>475</v>
      </c>
      <c r="BA4226" t="s">
        <v>2869</v>
      </c>
      <c r="BB4226" t="s">
        <v>2870</v>
      </c>
      <c r="BC4226">
        <v>1980</v>
      </c>
      <c r="BD4226" t="s">
        <v>379</v>
      </c>
    </row>
    <row r="4227" spans="1:56" x14ac:dyDescent="0.35">
      <c r="A4227">
        <v>42615292</v>
      </c>
      <c r="B4227" t="s">
        <v>2855</v>
      </c>
      <c r="D4227" t="s">
        <v>85</v>
      </c>
      <c r="E4227" t="s">
        <v>86</v>
      </c>
      <c r="F4227" t="s">
        <v>58</v>
      </c>
      <c r="G4227" t="s">
        <v>59</v>
      </c>
      <c r="H4227" t="s">
        <v>60</v>
      </c>
      <c r="J4227" t="s">
        <v>2874</v>
      </c>
      <c r="K4227" t="s">
        <v>320</v>
      </c>
      <c r="L4227" t="s">
        <v>62</v>
      </c>
      <c r="M4227" t="s">
        <v>63</v>
      </c>
      <c r="N4227" t="s">
        <v>64</v>
      </c>
      <c r="P4227" t="s">
        <v>65</v>
      </c>
      <c r="T4227">
        <v>2.2000000000000002</v>
      </c>
      <c r="V4227">
        <v>4.4000000000000004</v>
      </c>
      <c r="W4227" t="s">
        <v>66</v>
      </c>
      <c r="X4227" t="s">
        <v>67</v>
      </c>
      <c r="Y4227" t="s">
        <v>67</v>
      </c>
      <c r="Z4227" t="s">
        <v>68</v>
      </c>
      <c r="AB4227">
        <v>4</v>
      </c>
      <c r="AC4227" t="s">
        <v>61</v>
      </c>
      <c r="AJ4227" t="s">
        <v>69</v>
      </c>
      <c r="AY4227" t="s">
        <v>2875</v>
      </c>
      <c r="AZ4227">
        <v>2530</v>
      </c>
      <c r="BA4227" t="s">
        <v>2876</v>
      </c>
      <c r="BB4227" t="s">
        <v>2877</v>
      </c>
      <c r="BC4227">
        <v>1983</v>
      </c>
      <c r="BD4227" t="s">
        <v>324</v>
      </c>
    </row>
    <row r="4228" spans="1:56" x14ac:dyDescent="0.35">
      <c r="A4228">
        <v>50594666</v>
      </c>
      <c r="B4228" t="s">
        <v>2878</v>
      </c>
      <c r="E4228">
        <v>99.9</v>
      </c>
      <c r="F4228" t="s">
        <v>58</v>
      </c>
      <c r="G4228" t="s">
        <v>59</v>
      </c>
      <c r="H4228" t="s">
        <v>60</v>
      </c>
      <c r="J4228" t="s">
        <v>86</v>
      </c>
      <c r="L4228" t="s">
        <v>190</v>
      </c>
      <c r="M4228" t="s">
        <v>63</v>
      </c>
      <c r="N4228" t="s">
        <v>64</v>
      </c>
      <c r="P4228" t="s">
        <v>65</v>
      </c>
      <c r="Q4228" t="s">
        <v>153</v>
      </c>
      <c r="R4228">
        <v>83</v>
      </c>
      <c r="W4228" t="s">
        <v>66</v>
      </c>
      <c r="X4228" t="s">
        <v>67</v>
      </c>
      <c r="Y4228" t="s">
        <v>67</v>
      </c>
      <c r="Z4228" t="s">
        <v>68</v>
      </c>
      <c r="AB4228">
        <v>4</v>
      </c>
      <c r="AC4228" t="s">
        <v>61</v>
      </c>
      <c r="AJ4228" t="s">
        <v>69</v>
      </c>
      <c r="AY4228" t="s">
        <v>116</v>
      </c>
      <c r="AZ4228">
        <v>344</v>
      </c>
      <c r="BA4228" t="s">
        <v>117</v>
      </c>
      <c r="BB4228" t="s">
        <v>118</v>
      </c>
      <c r="BC4228">
        <v>1992</v>
      </c>
      <c r="BD4228" t="s">
        <v>90</v>
      </c>
    </row>
    <row r="4229" spans="1:56" x14ac:dyDescent="0.35">
      <c r="A4229">
        <v>51218452</v>
      </c>
      <c r="B4229" t="s">
        <v>2879</v>
      </c>
      <c r="E4229">
        <v>87</v>
      </c>
      <c r="F4229" t="s">
        <v>58</v>
      </c>
      <c r="G4229" t="s">
        <v>59</v>
      </c>
      <c r="H4229" t="s">
        <v>60</v>
      </c>
      <c r="J4229" t="s">
        <v>86</v>
      </c>
      <c r="L4229" t="s">
        <v>62</v>
      </c>
      <c r="M4229" t="s">
        <v>63</v>
      </c>
      <c r="N4229" t="s">
        <v>64</v>
      </c>
      <c r="P4229" t="s">
        <v>65</v>
      </c>
      <c r="R4229">
        <v>8.4</v>
      </c>
      <c r="T4229">
        <v>6.4</v>
      </c>
      <c r="V4229">
        <v>11</v>
      </c>
      <c r="W4229" t="s">
        <v>66</v>
      </c>
      <c r="X4229" t="s">
        <v>67</v>
      </c>
      <c r="Y4229" t="s">
        <v>67</v>
      </c>
      <c r="Z4229" t="s">
        <v>68</v>
      </c>
      <c r="AB4229">
        <v>4</v>
      </c>
      <c r="AC4229" t="s">
        <v>61</v>
      </c>
      <c r="AJ4229" t="s">
        <v>69</v>
      </c>
      <c r="AY4229" t="s">
        <v>96</v>
      </c>
      <c r="AZ4229">
        <v>6797</v>
      </c>
      <c r="BA4229" t="s">
        <v>97</v>
      </c>
      <c r="BB4229" t="s">
        <v>98</v>
      </c>
      <c r="BC4229">
        <v>1986</v>
      </c>
      <c r="BD4229" t="s">
        <v>90</v>
      </c>
    </row>
    <row r="4230" spans="1:56" x14ac:dyDescent="0.35">
      <c r="A4230">
        <v>51218452</v>
      </c>
      <c r="B4230" t="s">
        <v>2879</v>
      </c>
      <c r="E4230">
        <v>95.4</v>
      </c>
      <c r="F4230" t="s">
        <v>58</v>
      </c>
      <c r="G4230" t="s">
        <v>59</v>
      </c>
      <c r="H4230" t="s">
        <v>60</v>
      </c>
      <c r="J4230" t="s">
        <v>86</v>
      </c>
      <c r="L4230" t="s">
        <v>62</v>
      </c>
      <c r="M4230" t="s">
        <v>63</v>
      </c>
      <c r="N4230" t="s">
        <v>64</v>
      </c>
      <c r="P4230" t="s">
        <v>65</v>
      </c>
      <c r="R4230">
        <v>8</v>
      </c>
      <c r="T4230">
        <v>5.4</v>
      </c>
      <c r="V4230">
        <v>12</v>
      </c>
      <c r="W4230" t="s">
        <v>66</v>
      </c>
      <c r="X4230" t="s">
        <v>67</v>
      </c>
      <c r="Y4230" t="s">
        <v>67</v>
      </c>
      <c r="Z4230" t="s">
        <v>68</v>
      </c>
      <c r="AB4230">
        <v>4</v>
      </c>
      <c r="AC4230" t="s">
        <v>61</v>
      </c>
      <c r="AJ4230" t="s">
        <v>69</v>
      </c>
      <c r="AY4230" t="s">
        <v>96</v>
      </c>
      <c r="AZ4230">
        <v>6797</v>
      </c>
      <c r="BA4230" t="s">
        <v>97</v>
      </c>
      <c r="BB4230" t="s">
        <v>98</v>
      </c>
      <c r="BC4230">
        <v>1986</v>
      </c>
      <c r="BD4230" t="s">
        <v>90</v>
      </c>
    </row>
    <row r="4231" spans="1:56" x14ac:dyDescent="0.35">
      <c r="A4231">
        <v>51235042</v>
      </c>
      <c r="B4231" t="s">
        <v>2880</v>
      </c>
      <c r="C4231" t="s">
        <v>91</v>
      </c>
      <c r="D4231" t="s">
        <v>85</v>
      </c>
      <c r="E4231" t="s">
        <v>407</v>
      </c>
      <c r="F4231" t="s">
        <v>58</v>
      </c>
      <c r="G4231" t="s">
        <v>59</v>
      </c>
      <c r="H4231" t="s">
        <v>60</v>
      </c>
      <c r="J4231" t="s">
        <v>86</v>
      </c>
      <c r="L4231" t="s">
        <v>62</v>
      </c>
      <c r="M4231" t="s">
        <v>63</v>
      </c>
      <c r="N4231" t="s">
        <v>64</v>
      </c>
      <c r="P4231" t="s">
        <v>65</v>
      </c>
      <c r="R4231">
        <v>274</v>
      </c>
      <c r="W4231" t="s">
        <v>66</v>
      </c>
      <c r="X4231" t="s">
        <v>67</v>
      </c>
      <c r="Y4231" t="s">
        <v>67</v>
      </c>
      <c r="Z4231" t="s">
        <v>68</v>
      </c>
      <c r="AB4231">
        <v>4</v>
      </c>
      <c r="AC4231" t="s">
        <v>61</v>
      </c>
      <c r="AJ4231" t="s">
        <v>69</v>
      </c>
      <c r="AY4231" t="s">
        <v>2881</v>
      </c>
      <c r="AZ4231">
        <v>92379</v>
      </c>
      <c r="BA4231" t="s">
        <v>2882</v>
      </c>
      <c r="BB4231" t="s">
        <v>2883</v>
      </c>
      <c r="BC4231">
        <v>1984</v>
      </c>
      <c r="BD4231" t="s">
        <v>90</v>
      </c>
    </row>
    <row r="4232" spans="1:56" x14ac:dyDescent="0.35">
      <c r="A4232">
        <v>51235042</v>
      </c>
      <c r="B4232" t="s">
        <v>2880</v>
      </c>
      <c r="E4232">
        <v>97.5</v>
      </c>
      <c r="F4232" t="s">
        <v>58</v>
      </c>
      <c r="G4232" t="s">
        <v>59</v>
      </c>
      <c r="H4232" t="s">
        <v>60</v>
      </c>
      <c r="J4232" t="s">
        <v>86</v>
      </c>
      <c r="L4232" t="s">
        <v>62</v>
      </c>
      <c r="M4232" t="s">
        <v>63</v>
      </c>
      <c r="N4232" t="s">
        <v>64</v>
      </c>
      <c r="P4232" t="s">
        <v>65</v>
      </c>
      <c r="R4232">
        <v>274</v>
      </c>
      <c r="T4232">
        <v>207</v>
      </c>
      <c r="V4232">
        <v>361</v>
      </c>
      <c r="W4232" t="s">
        <v>66</v>
      </c>
      <c r="X4232" t="s">
        <v>67</v>
      </c>
      <c r="Y4232" t="s">
        <v>67</v>
      </c>
      <c r="Z4232" t="s">
        <v>68</v>
      </c>
      <c r="AB4232">
        <v>4</v>
      </c>
      <c r="AC4232" t="s">
        <v>61</v>
      </c>
      <c r="AJ4232" t="s">
        <v>69</v>
      </c>
      <c r="AY4232" t="s">
        <v>116</v>
      </c>
      <c r="AZ4232">
        <v>344</v>
      </c>
      <c r="BA4232" t="s">
        <v>117</v>
      </c>
      <c r="BB4232" t="s">
        <v>118</v>
      </c>
      <c r="BC4232">
        <v>1992</v>
      </c>
      <c r="BD4232" t="s">
        <v>90</v>
      </c>
    </row>
    <row r="4233" spans="1:56" x14ac:dyDescent="0.35">
      <c r="A4233">
        <v>51235042</v>
      </c>
      <c r="B4233" t="s">
        <v>2880</v>
      </c>
      <c r="D4233" t="s">
        <v>85</v>
      </c>
      <c r="E4233" t="s">
        <v>86</v>
      </c>
      <c r="F4233" t="s">
        <v>58</v>
      </c>
      <c r="G4233" t="s">
        <v>59</v>
      </c>
      <c r="H4233" t="s">
        <v>60</v>
      </c>
      <c r="I4233" t="s">
        <v>188</v>
      </c>
      <c r="J4233" t="s">
        <v>86</v>
      </c>
      <c r="K4233" t="s">
        <v>61</v>
      </c>
      <c r="L4233" t="s">
        <v>62</v>
      </c>
      <c r="M4233" t="s">
        <v>63</v>
      </c>
      <c r="N4233" t="s">
        <v>64</v>
      </c>
      <c r="P4233" t="s">
        <v>65</v>
      </c>
      <c r="Q4233" t="s">
        <v>153</v>
      </c>
      <c r="R4233">
        <v>0.55000000000000004</v>
      </c>
      <c r="W4233" t="s">
        <v>66</v>
      </c>
      <c r="X4233" t="s">
        <v>67</v>
      </c>
      <c r="Y4233" t="s">
        <v>67</v>
      </c>
      <c r="Z4233" t="s">
        <v>68</v>
      </c>
      <c r="AB4233">
        <v>4</v>
      </c>
      <c r="AC4233" t="s">
        <v>61</v>
      </c>
      <c r="AJ4233" t="s">
        <v>69</v>
      </c>
      <c r="AY4233" t="s">
        <v>2834</v>
      </c>
      <c r="AZ4233">
        <v>160505</v>
      </c>
      <c r="BA4233" t="s">
        <v>2835</v>
      </c>
      <c r="BB4233" t="s">
        <v>2836</v>
      </c>
      <c r="BC4233">
        <v>2012</v>
      </c>
      <c r="BD4233" t="s">
        <v>2837</v>
      </c>
    </row>
    <row r="4234" spans="1:56" x14ac:dyDescent="0.35">
      <c r="A4234">
        <v>51596113</v>
      </c>
      <c r="B4234" t="s">
        <v>2884</v>
      </c>
      <c r="E4234">
        <v>97</v>
      </c>
      <c r="F4234" t="s">
        <v>58</v>
      </c>
      <c r="G4234" t="s">
        <v>59</v>
      </c>
      <c r="H4234" t="s">
        <v>60</v>
      </c>
      <c r="J4234" t="s">
        <v>86</v>
      </c>
      <c r="L4234" t="s">
        <v>74</v>
      </c>
      <c r="M4234" t="s">
        <v>63</v>
      </c>
      <c r="N4234" t="s">
        <v>64</v>
      </c>
      <c r="P4234" t="s">
        <v>65</v>
      </c>
      <c r="R4234">
        <v>3.5000000000000003E-2</v>
      </c>
      <c r="T4234">
        <v>2.5999999999999999E-2</v>
      </c>
      <c r="V4234">
        <v>4.5999999999999999E-2</v>
      </c>
      <c r="W4234" t="s">
        <v>66</v>
      </c>
      <c r="X4234" t="s">
        <v>67</v>
      </c>
      <c r="Y4234" t="s">
        <v>67</v>
      </c>
      <c r="Z4234" t="s">
        <v>68</v>
      </c>
      <c r="AB4234">
        <v>4</v>
      </c>
      <c r="AC4234" t="s">
        <v>61</v>
      </c>
      <c r="AJ4234" t="s">
        <v>69</v>
      </c>
      <c r="AY4234" t="s">
        <v>116</v>
      </c>
      <c r="AZ4234">
        <v>344</v>
      </c>
      <c r="BA4234" t="s">
        <v>117</v>
      </c>
      <c r="BB4234" t="s">
        <v>118</v>
      </c>
      <c r="BC4234">
        <v>1992</v>
      </c>
      <c r="BD4234" t="s">
        <v>90</v>
      </c>
    </row>
    <row r="4235" spans="1:56" x14ac:dyDescent="0.35">
      <c r="A4235">
        <v>51630581</v>
      </c>
      <c r="B4235" t="s">
        <v>2885</v>
      </c>
      <c r="C4235" t="s">
        <v>91</v>
      </c>
      <c r="D4235" t="s">
        <v>57</v>
      </c>
      <c r="E4235">
        <v>97</v>
      </c>
      <c r="F4235" t="s">
        <v>58</v>
      </c>
      <c r="G4235" t="s">
        <v>59</v>
      </c>
      <c r="H4235" t="s">
        <v>60</v>
      </c>
      <c r="J4235" t="s">
        <v>86</v>
      </c>
      <c r="K4235" t="s">
        <v>61</v>
      </c>
      <c r="L4235" t="s">
        <v>74</v>
      </c>
      <c r="M4235" t="s">
        <v>63</v>
      </c>
      <c r="N4235" t="s">
        <v>64</v>
      </c>
      <c r="P4235" t="s">
        <v>65</v>
      </c>
      <c r="R4235">
        <v>5.4000000000000003E-3</v>
      </c>
      <c r="T4235">
        <v>5.1000000000000004E-3</v>
      </c>
      <c r="V4235">
        <v>5.5999999999999999E-3</v>
      </c>
      <c r="W4235" t="s">
        <v>66</v>
      </c>
      <c r="X4235" t="s">
        <v>67</v>
      </c>
      <c r="Y4235" t="s">
        <v>67</v>
      </c>
      <c r="Z4235" t="s">
        <v>68</v>
      </c>
      <c r="AB4235">
        <v>4</v>
      </c>
      <c r="AC4235" t="s">
        <v>61</v>
      </c>
      <c r="AJ4235" t="s">
        <v>69</v>
      </c>
      <c r="AY4235" t="s">
        <v>1127</v>
      </c>
      <c r="AZ4235">
        <v>10536</v>
      </c>
      <c r="BA4235" t="s">
        <v>1128</v>
      </c>
      <c r="BB4235" t="s">
        <v>1129</v>
      </c>
      <c r="BC4235">
        <v>1982</v>
      </c>
      <c r="BD4235" t="s">
        <v>148</v>
      </c>
    </row>
    <row r="4236" spans="1:56" x14ac:dyDescent="0.35">
      <c r="A4236">
        <v>51630581</v>
      </c>
      <c r="B4236" t="s">
        <v>2885</v>
      </c>
      <c r="D4236" t="s">
        <v>85</v>
      </c>
      <c r="E4236" t="s">
        <v>1854</v>
      </c>
      <c r="F4236" t="s">
        <v>58</v>
      </c>
      <c r="G4236" t="s">
        <v>59</v>
      </c>
      <c r="H4236" t="s">
        <v>60</v>
      </c>
      <c r="J4236" t="s">
        <v>86</v>
      </c>
      <c r="L4236" t="s">
        <v>62</v>
      </c>
      <c r="M4236" t="s">
        <v>63</v>
      </c>
      <c r="N4236" t="s">
        <v>64</v>
      </c>
      <c r="P4236" t="s">
        <v>65</v>
      </c>
      <c r="R4236">
        <v>0.03</v>
      </c>
      <c r="T4236">
        <v>1.5299999999999999E-2</v>
      </c>
      <c r="V4236">
        <v>5.8799999999999998E-2</v>
      </c>
      <c r="W4236" t="s">
        <v>66</v>
      </c>
      <c r="X4236" t="s">
        <v>67</v>
      </c>
      <c r="Y4236" t="s">
        <v>67</v>
      </c>
      <c r="Z4236" t="s">
        <v>68</v>
      </c>
      <c r="AB4236">
        <v>4</v>
      </c>
      <c r="AC4236" t="s">
        <v>61</v>
      </c>
      <c r="AJ4236" t="s">
        <v>69</v>
      </c>
      <c r="AY4236" t="s">
        <v>621</v>
      </c>
      <c r="AZ4236">
        <v>15277</v>
      </c>
      <c r="BA4236" t="s">
        <v>622</v>
      </c>
      <c r="BB4236" t="s">
        <v>623</v>
      </c>
      <c r="BC4236">
        <v>1982</v>
      </c>
      <c r="BD4236" t="s">
        <v>90</v>
      </c>
    </row>
    <row r="4237" spans="1:56" x14ac:dyDescent="0.35">
      <c r="A4237">
        <v>51630581</v>
      </c>
      <c r="B4237" t="s">
        <v>2885</v>
      </c>
      <c r="D4237" t="s">
        <v>85</v>
      </c>
      <c r="E4237" t="s">
        <v>1854</v>
      </c>
      <c r="F4237" t="s">
        <v>58</v>
      </c>
      <c r="G4237" t="s">
        <v>59</v>
      </c>
      <c r="H4237" t="s">
        <v>60</v>
      </c>
      <c r="J4237" t="s">
        <v>86</v>
      </c>
      <c r="L4237" t="s">
        <v>62</v>
      </c>
      <c r="M4237" t="s">
        <v>63</v>
      </c>
      <c r="N4237" t="s">
        <v>64</v>
      </c>
      <c r="P4237" t="s">
        <v>65</v>
      </c>
      <c r="R4237">
        <v>1.1000000000000001E-3</v>
      </c>
      <c r="T4237">
        <v>8.0000000000000004E-4</v>
      </c>
      <c r="V4237">
        <v>1.5E-3</v>
      </c>
      <c r="W4237" t="s">
        <v>66</v>
      </c>
      <c r="X4237" t="s">
        <v>67</v>
      </c>
      <c r="Y4237" t="s">
        <v>67</v>
      </c>
      <c r="Z4237" t="s">
        <v>68</v>
      </c>
      <c r="AB4237">
        <v>4</v>
      </c>
      <c r="AC4237" t="s">
        <v>61</v>
      </c>
      <c r="AJ4237" t="s">
        <v>69</v>
      </c>
      <c r="AY4237" t="s">
        <v>621</v>
      </c>
      <c r="AZ4237">
        <v>15277</v>
      </c>
      <c r="BA4237" t="s">
        <v>622</v>
      </c>
      <c r="BB4237" t="s">
        <v>623</v>
      </c>
      <c r="BC4237">
        <v>1982</v>
      </c>
      <c r="BD4237" t="s">
        <v>90</v>
      </c>
    </row>
    <row r="4238" spans="1:56" x14ac:dyDescent="0.35">
      <c r="A4238">
        <v>51630581</v>
      </c>
      <c r="B4238" t="s">
        <v>2885</v>
      </c>
      <c r="C4238" t="s">
        <v>91</v>
      </c>
      <c r="D4238" t="s">
        <v>57</v>
      </c>
      <c r="E4238">
        <v>93.5</v>
      </c>
      <c r="F4238" t="s">
        <v>58</v>
      </c>
      <c r="G4238" t="s">
        <v>59</v>
      </c>
      <c r="H4238" t="s">
        <v>60</v>
      </c>
      <c r="I4238" t="s">
        <v>188</v>
      </c>
      <c r="J4238" t="s">
        <v>289</v>
      </c>
      <c r="K4238" t="s">
        <v>184</v>
      </c>
      <c r="L4238" t="s">
        <v>190</v>
      </c>
      <c r="M4238" t="s">
        <v>63</v>
      </c>
      <c r="N4238" t="s">
        <v>64</v>
      </c>
      <c r="P4238" t="s">
        <v>65</v>
      </c>
      <c r="R4238">
        <v>8.4999999999999995E-4</v>
      </c>
      <c r="T4238">
        <v>6.8000000000000005E-4</v>
      </c>
      <c r="V4238">
        <v>1.0200000000000001E-3</v>
      </c>
      <c r="W4238" t="s">
        <v>66</v>
      </c>
      <c r="X4238" t="s">
        <v>67</v>
      </c>
      <c r="Y4238" t="s">
        <v>67</v>
      </c>
      <c r="Z4238" t="s">
        <v>68</v>
      </c>
      <c r="AB4238">
        <v>4</v>
      </c>
      <c r="AC4238" t="s">
        <v>61</v>
      </c>
      <c r="AJ4238" t="s">
        <v>69</v>
      </c>
      <c r="AY4238" t="s">
        <v>442</v>
      </c>
      <c r="AZ4238">
        <v>12885</v>
      </c>
      <c r="BA4238" t="s">
        <v>443</v>
      </c>
      <c r="BB4238" t="s">
        <v>444</v>
      </c>
      <c r="BC4238">
        <v>1988</v>
      </c>
      <c r="BD4238" t="s">
        <v>185</v>
      </c>
    </row>
    <row r="4239" spans="1:56" x14ac:dyDescent="0.35">
      <c r="A4239">
        <v>51630581</v>
      </c>
      <c r="B4239" t="s">
        <v>2885</v>
      </c>
      <c r="D4239" t="s">
        <v>85</v>
      </c>
      <c r="E4239" t="s">
        <v>1854</v>
      </c>
      <c r="F4239" t="s">
        <v>58</v>
      </c>
      <c r="G4239" t="s">
        <v>59</v>
      </c>
      <c r="H4239" t="s">
        <v>60</v>
      </c>
      <c r="J4239" t="s">
        <v>86</v>
      </c>
      <c r="L4239" t="s">
        <v>62</v>
      </c>
      <c r="M4239" t="s">
        <v>63</v>
      </c>
      <c r="N4239" t="s">
        <v>64</v>
      </c>
      <c r="P4239" t="s">
        <v>65</v>
      </c>
      <c r="R4239">
        <v>1.2E-2</v>
      </c>
      <c r="T4239">
        <v>0.01</v>
      </c>
      <c r="V4239">
        <v>1.44E-2</v>
      </c>
      <c r="W4239" t="s">
        <v>66</v>
      </c>
      <c r="X4239" t="s">
        <v>67</v>
      </c>
      <c r="Y4239" t="s">
        <v>67</v>
      </c>
      <c r="Z4239" t="s">
        <v>68</v>
      </c>
      <c r="AB4239">
        <v>4</v>
      </c>
      <c r="AC4239" t="s">
        <v>61</v>
      </c>
      <c r="AJ4239" t="s">
        <v>69</v>
      </c>
      <c r="AY4239" t="s">
        <v>621</v>
      </c>
      <c r="AZ4239">
        <v>15277</v>
      </c>
      <c r="BA4239" t="s">
        <v>622</v>
      </c>
      <c r="BB4239" t="s">
        <v>623</v>
      </c>
      <c r="BC4239">
        <v>1982</v>
      </c>
      <c r="BD4239" t="s">
        <v>90</v>
      </c>
    </row>
    <row r="4240" spans="1:56" x14ac:dyDescent="0.35">
      <c r="A4240">
        <v>51630581</v>
      </c>
      <c r="B4240" t="s">
        <v>2885</v>
      </c>
      <c r="D4240" t="s">
        <v>85</v>
      </c>
      <c r="E4240" t="s">
        <v>1854</v>
      </c>
      <c r="F4240" t="s">
        <v>58</v>
      </c>
      <c r="G4240" t="s">
        <v>59</v>
      </c>
      <c r="H4240" t="s">
        <v>60</v>
      </c>
      <c r="J4240" t="s">
        <v>86</v>
      </c>
      <c r="L4240" t="s">
        <v>62</v>
      </c>
      <c r="M4240" t="s">
        <v>63</v>
      </c>
      <c r="N4240" t="s">
        <v>64</v>
      </c>
      <c r="P4240" t="s">
        <v>65</v>
      </c>
      <c r="R4240">
        <v>1.29E-2</v>
      </c>
      <c r="T4240">
        <v>1.0800000000000001E-2</v>
      </c>
      <c r="V4240">
        <v>1.54E-2</v>
      </c>
      <c r="W4240" t="s">
        <v>66</v>
      </c>
      <c r="X4240" t="s">
        <v>67</v>
      </c>
      <c r="Y4240" t="s">
        <v>67</v>
      </c>
      <c r="Z4240" t="s">
        <v>68</v>
      </c>
      <c r="AB4240">
        <v>4</v>
      </c>
      <c r="AC4240" t="s">
        <v>61</v>
      </c>
      <c r="AJ4240" t="s">
        <v>69</v>
      </c>
      <c r="AY4240" t="s">
        <v>621</v>
      </c>
      <c r="AZ4240">
        <v>15277</v>
      </c>
      <c r="BA4240" t="s">
        <v>622</v>
      </c>
      <c r="BB4240" t="s">
        <v>623</v>
      </c>
      <c r="BC4240">
        <v>1982</v>
      </c>
      <c r="BD4240" t="s">
        <v>90</v>
      </c>
    </row>
    <row r="4241" spans="1:56" x14ac:dyDescent="0.35">
      <c r="A4241">
        <v>51630581</v>
      </c>
      <c r="B4241" t="s">
        <v>2885</v>
      </c>
      <c r="D4241" t="s">
        <v>85</v>
      </c>
      <c r="E4241" t="s">
        <v>1854</v>
      </c>
      <c r="F4241" t="s">
        <v>58</v>
      </c>
      <c r="G4241" t="s">
        <v>59</v>
      </c>
      <c r="H4241" t="s">
        <v>60</v>
      </c>
      <c r="J4241" t="s">
        <v>86</v>
      </c>
      <c r="L4241" t="s">
        <v>62</v>
      </c>
      <c r="M4241" t="s">
        <v>63</v>
      </c>
      <c r="N4241" t="s">
        <v>64</v>
      </c>
      <c r="P4241" t="s">
        <v>65</v>
      </c>
      <c r="R4241">
        <v>5.7000000000000002E-3</v>
      </c>
      <c r="T4241">
        <v>4.4000000000000003E-3</v>
      </c>
      <c r="V4241">
        <v>7.3000000000000001E-3</v>
      </c>
      <c r="W4241" t="s">
        <v>66</v>
      </c>
      <c r="X4241" t="s">
        <v>67</v>
      </c>
      <c r="Y4241" t="s">
        <v>67</v>
      </c>
      <c r="Z4241" t="s">
        <v>68</v>
      </c>
      <c r="AB4241">
        <v>4</v>
      </c>
      <c r="AC4241" t="s">
        <v>61</v>
      </c>
      <c r="AJ4241" t="s">
        <v>69</v>
      </c>
      <c r="AY4241" t="s">
        <v>621</v>
      </c>
      <c r="AZ4241">
        <v>15277</v>
      </c>
      <c r="BA4241" t="s">
        <v>622</v>
      </c>
      <c r="BB4241" t="s">
        <v>623</v>
      </c>
      <c r="BC4241">
        <v>1982</v>
      </c>
      <c r="BD4241" t="s">
        <v>90</v>
      </c>
    </row>
    <row r="4242" spans="1:56" x14ac:dyDescent="0.35">
      <c r="A4242">
        <v>51630581</v>
      </c>
      <c r="B4242" t="s">
        <v>2885</v>
      </c>
      <c r="E4242">
        <v>90</v>
      </c>
      <c r="F4242" t="s">
        <v>58</v>
      </c>
      <c r="G4242" t="s">
        <v>59</v>
      </c>
      <c r="H4242" t="s">
        <v>60</v>
      </c>
      <c r="J4242" t="s">
        <v>86</v>
      </c>
      <c r="L4242" t="s">
        <v>62</v>
      </c>
      <c r="M4242" t="s">
        <v>63</v>
      </c>
      <c r="N4242" t="s">
        <v>64</v>
      </c>
      <c r="P4242" t="s">
        <v>65</v>
      </c>
      <c r="R4242">
        <v>2.3500000000000001E-3</v>
      </c>
      <c r="T4242">
        <v>1.83E-3</v>
      </c>
      <c r="V4242">
        <v>3.0200000000000001E-3</v>
      </c>
      <c r="W4242" t="s">
        <v>66</v>
      </c>
      <c r="X4242" t="s">
        <v>67</v>
      </c>
      <c r="Y4242" t="s">
        <v>67</v>
      </c>
      <c r="Z4242" t="s">
        <v>68</v>
      </c>
      <c r="AB4242">
        <v>4</v>
      </c>
      <c r="AC4242" t="s">
        <v>61</v>
      </c>
      <c r="AJ4242" t="s">
        <v>69</v>
      </c>
      <c r="AY4242" t="s">
        <v>96</v>
      </c>
      <c r="AZ4242">
        <v>6797</v>
      </c>
      <c r="BA4242" t="s">
        <v>97</v>
      </c>
      <c r="BB4242" t="s">
        <v>98</v>
      </c>
      <c r="BC4242">
        <v>1986</v>
      </c>
      <c r="BD4242" t="s">
        <v>90</v>
      </c>
    </row>
    <row r="4243" spans="1:56" x14ac:dyDescent="0.35">
      <c r="A4243">
        <v>51630581</v>
      </c>
      <c r="B4243" t="s">
        <v>2885</v>
      </c>
      <c r="E4243">
        <v>93.5</v>
      </c>
      <c r="F4243" t="s">
        <v>58</v>
      </c>
      <c r="G4243" t="s">
        <v>59</v>
      </c>
      <c r="H4243" t="s">
        <v>60</v>
      </c>
      <c r="J4243" t="s">
        <v>86</v>
      </c>
      <c r="L4243" t="s">
        <v>190</v>
      </c>
      <c r="M4243" t="s">
        <v>63</v>
      </c>
      <c r="N4243" t="s">
        <v>64</v>
      </c>
      <c r="P4243" t="s">
        <v>65</v>
      </c>
      <c r="R4243">
        <v>3.3E-4</v>
      </c>
      <c r="T4243">
        <v>2.2000000000000001E-4</v>
      </c>
      <c r="V4243">
        <v>4.2999999999999999E-4</v>
      </c>
      <c r="W4243" t="s">
        <v>66</v>
      </c>
      <c r="X4243" t="s">
        <v>67</v>
      </c>
      <c r="Y4243" t="s">
        <v>67</v>
      </c>
      <c r="Z4243" t="s">
        <v>68</v>
      </c>
      <c r="AB4243">
        <v>4</v>
      </c>
      <c r="AC4243" t="s">
        <v>61</v>
      </c>
      <c r="AJ4243" t="s">
        <v>69</v>
      </c>
      <c r="AY4243" t="s">
        <v>116</v>
      </c>
      <c r="AZ4243">
        <v>344</v>
      </c>
      <c r="BA4243" t="s">
        <v>117</v>
      </c>
      <c r="BB4243" t="s">
        <v>118</v>
      </c>
      <c r="BC4243">
        <v>1992</v>
      </c>
      <c r="BD4243" t="s">
        <v>90</v>
      </c>
    </row>
    <row r="4244" spans="1:56" x14ac:dyDescent="0.35">
      <c r="A4244">
        <v>51630581</v>
      </c>
      <c r="B4244" t="s">
        <v>2885</v>
      </c>
      <c r="E4244">
        <v>96</v>
      </c>
      <c r="F4244" t="s">
        <v>58</v>
      </c>
      <c r="G4244" t="s">
        <v>59</v>
      </c>
      <c r="H4244" t="s">
        <v>60</v>
      </c>
      <c r="J4244" t="s">
        <v>86</v>
      </c>
      <c r="L4244" t="s">
        <v>62</v>
      </c>
      <c r="M4244" t="s">
        <v>63</v>
      </c>
      <c r="N4244" t="s">
        <v>64</v>
      </c>
      <c r="P4244" t="s">
        <v>65</v>
      </c>
      <c r="R4244">
        <v>1.1299999999999999E-3</v>
      </c>
      <c r="T4244">
        <v>9.2000000000000003E-4</v>
      </c>
      <c r="V4244">
        <v>1.3799999999999999E-3</v>
      </c>
      <c r="W4244" t="s">
        <v>66</v>
      </c>
      <c r="X4244" t="s">
        <v>67</v>
      </c>
      <c r="Y4244" t="s">
        <v>67</v>
      </c>
      <c r="Z4244" t="s">
        <v>68</v>
      </c>
      <c r="AB4244">
        <v>4</v>
      </c>
      <c r="AC4244" t="s">
        <v>61</v>
      </c>
      <c r="AJ4244" t="s">
        <v>69</v>
      </c>
      <c r="AY4244" t="s">
        <v>116</v>
      </c>
      <c r="AZ4244">
        <v>344</v>
      </c>
      <c r="BA4244" t="s">
        <v>117</v>
      </c>
      <c r="BB4244" t="s">
        <v>118</v>
      </c>
      <c r="BC4244">
        <v>1992</v>
      </c>
      <c r="BD4244" t="s">
        <v>90</v>
      </c>
    </row>
    <row r="4245" spans="1:56" x14ac:dyDescent="0.35">
      <c r="A4245">
        <v>51630581</v>
      </c>
      <c r="B4245" t="s">
        <v>2885</v>
      </c>
      <c r="E4245">
        <v>30</v>
      </c>
      <c r="F4245" t="s">
        <v>58</v>
      </c>
      <c r="G4245" t="s">
        <v>59</v>
      </c>
      <c r="H4245" t="s">
        <v>60</v>
      </c>
      <c r="J4245" t="s">
        <v>86</v>
      </c>
      <c r="L4245" t="s">
        <v>62</v>
      </c>
      <c r="M4245" t="s">
        <v>63</v>
      </c>
      <c r="N4245" t="s">
        <v>64</v>
      </c>
      <c r="P4245" t="s">
        <v>65</v>
      </c>
      <c r="R4245">
        <v>2.15E-3</v>
      </c>
      <c r="T4245">
        <v>1.65E-3</v>
      </c>
      <c r="V4245">
        <v>2.81E-3</v>
      </c>
      <c r="W4245" t="s">
        <v>66</v>
      </c>
      <c r="X4245" t="s">
        <v>67</v>
      </c>
      <c r="Y4245" t="s">
        <v>67</v>
      </c>
      <c r="Z4245" t="s">
        <v>68</v>
      </c>
      <c r="AB4245">
        <v>4</v>
      </c>
      <c r="AC4245" t="s">
        <v>61</v>
      </c>
      <c r="AJ4245" t="s">
        <v>69</v>
      </c>
      <c r="AY4245" t="s">
        <v>96</v>
      </c>
      <c r="AZ4245">
        <v>6797</v>
      </c>
      <c r="BA4245" t="s">
        <v>97</v>
      </c>
      <c r="BB4245" t="s">
        <v>98</v>
      </c>
      <c r="BC4245">
        <v>1986</v>
      </c>
      <c r="BD4245" t="s">
        <v>90</v>
      </c>
    </row>
    <row r="4246" spans="1:56" x14ac:dyDescent="0.35">
      <c r="A4246">
        <v>51630581</v>
      </c>
      <c r="B4246" t="s">
        <v>2885</v>
      </c>
      <c r="E4246">
        <v>98</v>
      </c>
      <c r="F4246" t="s">
        <v>58</v>
      </c>
      <c r="G4246" t="s">
        <v>59</v>
      </c>
      <c r="H4246" t="s">
        <v>60</v>
      </c>
      <c r="J4246" t="s">
        <v>86</v>
      </c>
      <c r="L4246" t="s">
        <v>62</v>
      </c>
      <c r="M4246" t="s">
        <v>63</v>
      </c>
      <c r="N4246" t="s">
        <v>64</v>
      </c>
      <c r="P4246" t="s">
        <v>65</v>
      </c>
      <c r="R4246">
        <v>1.8000000000000001E-4</v>
      </c>
      <c r="T4246">
        <v>1.2999999999999999E-4</v>
      </c>
      <c r="V4246">
        <v>3.6000000000000002E-4</v>
      </c>
      <c r="W4246" t="s">
        <v>66</v>
      </c>
      <c r="X4246" t="s">
        <v>67</v>
      </c>
      <c r="Y4246" t="s">
        <v>67</v>
      </c>
      <c r="Z4246" t="s">
        <v>68</v>
      </c>
      <c r="AB4246">
        <v>4</v>
      </c>
      <c r="AC4246" t="s">
        <v>61</v>
      </c>
      <c r="AJ4246" t="s">
        <v>69</v>
      </c>
      <c r="AY4246" t="s">
        <v>116</v>
      </c>
      <c r="AZ4246">
        <v>344</v>
      </c>
      <c r="BA4246" t="s">
        <v>117</v>
      </c>
      <c r="BB4246" t="s">
        <v>118</v>
      </c>
      <c r="BC4246">
        <v>1992</v>
      </c>
      <c r="BD4246" t="s">
        <v>90</v>
      </c>
    </row>
    <row r="4247" spans="1:56" x14ac:dyDescent="0.35">
      <c r="A4247">
        <v>51630581</v>
      </c>
      <c r="B4247" t="s">
        <v>2885</v>
      </c>
      <c r="D4247" t="s">
        <v>85</v>
      </c>
      <c r="E4247" t="s">
        <v>1854</v>
      </c>
      <c r="F4247" t="s">
        <v>58</v>
      </c>
      <c r="G4247" t="s">
        <v>59</v>
      </c>
      <c r="H4247" t="s">
        <v>60</v>
      </c>
      <c r="J4247" t="s">
        <v>86</v>
      </c>
      <c r="L4247" t="s">
        <v>62</v>
      </c>
      <c r="M4247" t="s">
        <v>63</v>
      </c>
      <c r="N4247" t="s">
        <v>64</v>
      </c>
      <c r="P4247" t="s">
        <v>65</v>
      </c>
      <c r="R4247">
        <v>2.2100000000000002E-2</v>
      </c>
      <c r="W4247" t="s">
        <v>66</v>
      </c>
      <c r="X4247" t="s">
        <v>67</v>
      </c>
      <c r="Y4247" t="s">
        <v>67</v>
      </c>
      <c r="Z4247" t="s">
        <v>68</v>
      </c>
      <c r="AB4247">
        <v>4</v>
      </c>
      <c r="AC4247" t="s">
        <v>61</v>
      </c>
      <c r="AJ4247" t="s">
        <v>69</v>
      </c>
      <c r="AY4247" t="s">
        <v>621</v>
      </c>
      <c r="AZ4247">
        <v>15277</v>
      </c>
      <c r="BA4247" t="s">
        <v>622</v>
      </c>
      <c r="BB4247" t="s">
        <v>623</v>
      </c>
      <c r="BC4247">
        <v>1982</v>
      </c>
      <c r="BD4247" t="s">
        <v>90</v>
      </c>
    </row>
    <row r="4248" spans="1:56" x14ac:dyDescent="0.35">
      <c r="A4248">
        <v>51630581</v>
      </c>
      <c r="B4248" t="s">
        <v>2885</v>
      </c>
      <c r="D4248" t="s">
        <v>85</v>
      </c>
      <c r="E4248" t="s">
        <v>1854</v>
      </c>
      <c r="F4248" t="s">
        <v>58</v>
      </c>
      <c r="G4248" t="s">
        <v>59</v>
      </c>
      <c r="H4248" t="s">
        <v>60</v>
      </c>
      <c r="J4248" t="s">
        <v>86</v>
      </c>
      <c r="L4248" t="s">
        <v>62</v>
      </c>
      <c r="M4248" t="s">
        <v>63</v>
      </c>
      <c r="N4248" t="s">
        <v>64</v>
      </c>
      <c r="P4248" t="s">
        <v>65</v>
      </c>
      <c r="R4248">
        <v>2.4899999999999999E-2</v>
      </c>
      <c r="T4248">
        <v>2.01E-2</v>
      </c>
      <c r="V4248">
        <v>3.0800000000000001E-2</v>
      </c>
      <c r="W4248" t="s">
        <v>66</v>
      </c>
      <c r="X4248" t="s">
        <v>67</v>
      </c>
      <c r="Y4248" t="s">
        <v>67</v>
      </c>
      <c r="Z4248" t="s">
        <v>68</v>
      </c>
      <c r="AB4248">
        <v>4</v>
      </c>
      <c r="AC4248" t="s">
        <v>61</v>
      </c>
      <c r="AJ4248" t="s">
        <v>69</v>
      </c>
      <c r="AY4248" t="s">
        <v>621</v>
      </c>
      <c r="AZ4248">
        <v>15277</v>
      </c>
      <c r="BA4248" t="s">
        <v>622</v>
      </c>
      <c r="BB4248" t="s">
        <v>623</v>
      </c>
      <c r="BC4248">
        <v>1982</v>
      </c>
      <c r="BD4248" t="s">
        <v>90</v>
      </c>
    </row>
    <row r="4249" spans="1:56" x14ac:dyDescent="0.35">
      <c r="A4249">
        <v>51630581</v>
      </c>
      <c r="B4249" t="s">
        <v>2885</v>
      </c>
      <c r="D4249" t="s">
        <v>85</v>
      </c>
      <c r="E4249" t="s">
        <v>1854</v>
      </c>
      <c r="F4249" t="s">
        <v>58</v>
      </c>
      <c r="G4249" t="s">
        <v>59</v>
      </c>
      <c r="H4249" t="s">
        <v>60</v>
      </c>
      <c r="J4249" t="s">
        <v>86</v>
      </c>
      <c r="L4249" t="s">
        <v>62</v>
      </c>
      <c r="M4249" t="s">
        <v>63</v>
      </c>
      <c r="N4249" t="s">
        <v>64</v>
      </c>
      <c r="P4249" t="s">
        <v>65</v>
      </c>
      <c r="R4249">
        <v>4.0000000000000001E-3</v>
      </c>
      <c r="T4249">
        <v>3.0000000000000001E-3</v>
      </c>
      <c r="V4249">
        <v>5.3E-3</v>
      </c>
      <c r="W4249" t="s">
        <v>66</v>
      </c>
      <c r="X4249" t="s">
        <v>67</v>
      </c>
      <c r="Y4249" t="s">
        <v>67</v>
      </c>
      <c r="Z4249" t="s">
        <v>68</v>
      </c>
      <c r="AB4249">
        <v>4</v>
      </c>
      <c r="AC4249" t="s">
        <v>61</v>
      </c>
      <c r="AJ4249" t="s">
        <v>69</v>
      </c>
      <c r="AY4249" t="s">
        <v>621</v>
      </c>
      <c r="AZ4249">
        <v>15277</v>
      </c>
      <c r="BA4249" t="s">
        <v>622</v>
      </c>
      <c r="BB4249" t="s">
        <v>623</v>
      </c>
      <c r="BC4249">
        <v>1982</v>
      </c>
      <c r="BD4249" t="s">
        <v>90</v>
      </c>
    </row>
    <row r="4250" spans="1:56" x14ac:dyDescent="0.35">
      <c r="A4250">
        <v>51630581</v>
      </c>
      <c r="B4250" t="s">
        <v>2885</v>
      </c>
      <c r="C4250" t="s">
        <v>91</v>
      </c>
      <c r="D4250" t="s">
        <v>57</v>
      </c>
      <c r="E4250">
        <v>93</v>
      </c>
      <c r="F4250" t="s">
        <v>58</v>
      </c>
      <c r="G4250" t="s">
        <v>59</v>
      </c>
      <c r="H4250" t="s">
        <v>60</v>
      </c>
      <c r="J4250" t="s">
        <v>86</v>
      </c>
      <c r="K4250" t="s">
        <v>61</v>
      </c>
      <c r="L4250" t="s">
        <v>74</v>
      </c>
      <c r="M4250" t="s">
        <v>63</v>
      </c>
      <c r="N4250" t="s">
        <v>64</v>
      </c>
      <c r="P4250" t="s">
        <v>65</v>
      </c>
      <c r="R4250">
        <v>6.8999999999999997E-4</v>
      </c>
      <c r="T4250">
        <v>6.3000000000000003E-4</v>
      </c>
      <c r="V4250">
        <v>7.3999999999999999E-4</v>
      </c>
      <c r="W4250" t="s">
        <v>66</v>
      </c>
      <c r="X4250" t="s">
        <v>67</v>
      </c>
      <c r="Y4250" t="s">
        <v>67</v>
      </c>
      <c r="Z4250" t="s">
        <v>68</v>
      </c>
      <c r="AB4250">
        <v>4</v>
      </c>
      <c r="AC4250" t="s">
        <v>61</v>
      </c>
      <c r="AJ4250" t="s">
        <v>69</v>
      </c>
      <c r="AY4250" t="s">
        <v>2886</v>
      </c>
      <c r="AZ4250">
        <v>10960</v>
      </c>
      <c r="BA4250" t="s">
        <v>2887</v>
      </c>
      <c r="BB4250" t="s">
        <v>2888</v>
      </c>
      <c r="BC4250">
        <v>1985</v>
      </c>
      <c r="BD4250" t="s">
        <v>161</v>
      </c>
    </row>
    <row r="4251" spans="1:56" x14ac:dyDescent="0.35">
      <c r="A4251">
        <v>51630581</v>
      </c>
      <c r="B4251" t="s">
        <v>2885</v>
      </c>
      <c r="D4251" t="s">
        <v>57</v>
      </c>
      <c r="E4251">
        <v>30</v>
      </c>
      <c r="F4251" t="s">
        <v>58</v>
      </c>
      <c r="G4251" t="s">
        <v>59</v>
      </c>
      <c r="H4251" t="s">
        <v>60</v>
      </c>
      <c r="J4251" t="s">
        <v>86</v>
      </c>
      <c r="K4251" t="s">
        <v>61</v>
      </c>
      <c r="L4251" t="s">
        <v>74</v>
      </c>
      <c r="M4251" t="s">
        <v>63</v>
      </c>
      <c r="N4251" t="s">
        <v>64</v>
      </c>
      <c r="P4251" t="s">
        <v>65</v>
      </c>
      <c r="R4251">
        <v>9.8999999999999999E-4</v>
      </c>
      <c r="T4251">
        <v>9.2000000000000003E-4</v>
      </c>
      <c r="V4251">
        <v>1.08E-3</v>
      </c>
      <c r="W4251" t="s">
        <v>66</v>
      </c>
      <c r="X4251" t="s">
        <v>67</v>
      </c>
      <c r="Y4251" t="s">
        <v>67</v>
      </c>
      <c r="Z4251" t="s">
        <v>68</v>
      </c>
      <c r="AB4251">
        <v>4</v>
      </c>
      <c r="AC4251" t="s">
        <v>61</v>
      </c>
      <c r="AJ4251" t="s">
        <v>69</v>
      </c>
      <c r="AY4251" t="s">
        <v>2886</v>
      </c>
      <c r="AZ4251">
        <v>10960</v>
      </c>
      <c r="BA4251" t="s">
        <v>2887</v>
      </c>
      <c r="BB4251" t="s">
        <v>2888</v>
      </c>
      <c r="BC4251">
        <v>1985</v>
      </c>
      <c r="BD4251" t="s">
        <v>161</v>
      </c>
    </row>
    <row r="4252" spans="1:56" x14ac:dyDescent="0.35">
      <c r="A4252">
        <v>51630581</v>
      </c>
      <c r="B4252" t="s">
        <v>2885</v>
      </c>
      <c r="D4252" t="s">
        <v>57</v>
      </c>
      <c r="E4252">
        <v>93.5</v>
      </c>
      <c r="F4252" t="s">
        <v>58</v>
      </c>
      <c r="G4252" t="s">
        <v>59</v>
      </c>
      <c r="H4252" t="s">
        <v>60</v>
      </c>
      <c r="J4252">
        <v>30</v>
      </c>
      <c r="K4252" t="s">
        <v>61</v>
      </c>
      <c r="L4252" t="s">
        <v>74</v>
      </c>
      <c r="M4252" t="s">
        <v>63</v>
      </c>
      <c r="N4252" t="s">
        <v>64</v>
      </c>
      <c r="P4252" t="s">
        <v>65</v>
      </c>
      <c r="R4252">
        <v>4.2000000000000002E-4</v>
      </c>
      <c r="T4252">
        <v>3.8999999999999999E-4</v>
      </c>
      <c r="V4252">
        <v>4.6000000000000001E-4</v>
      </c>
      <c r="W4252" t="s">
        <v>66</v>
      </c>
      <c r="X4252" t="s">
        <v>67</v>
      </c>
      <c r="Y4252" t="s">
        <v>67</v>
      </c>
      <c r="Z4252" t="s">
        <v>68</v>
      </c>
      <c r="AB4252">
        <v>4</v>
      </c>
      <c r="AC4252" t="s">
        <v>61</v>
      </c>
      <c r="AJ4252" t="s">
        <v>69</v>
      </c>
      <c r="AY4252" t="s">
        <v>75</v>
      </c>
      <c r="AZ4252">
        <v>3217</v>
      </c>
      <c r="BA4252" t="s">
        <v>76</v>
      </c>
      <c r="BB4252" t="s">
        <v>77</v>
      </c>
      <c r="BC4252">
        <v>1990</v>
      </c>
      <c r="BD4252" t="s">
        <v>73</v>
      </c>
    </row>
    <row r="4253" spans="1:56" x14ac:dyDescent="0.35">
      <c r="A4253">
        <v>51630581</v>
      </c>
      <c r="B4253" t="s">
        <v>2885</v>
      </c>
      <c r="D4253" t="s">
        <v>57</v>
      </c>
      <c r="E4253">
        <v>97</v>
      </c>
      <c r="F4253" t="s">
        <v>58</v>
      </c>
      <c r="G4253" t="s">
        <v>59</v>
      </c>
      <c r="H4253" t="s">
        <v>60</v>
      </c>
      <c r="J4253">
        <v>32</v>
      </c>
      <c r="K4253" t="s">
        <v>61</v>
      </c>
      <c r="L4253" t="s">
        <v>74</v>
      </c>
      <c r="M4253" t="s">
        <v>63</v>
      </c>
      <c r="N4253" t="s">
        <v>64</v>
      </c>
      <c r="P4253" t="s">
        <v>65</v>
      </c>
      <c r="R4253">
        <v>5.1399999999999996E-3</v>
      </c>
      <c r="T4253">
        <v>4.8900000000000002E-3</v>
      </c>
      <c r="V4253">
        <v>5.4000000000000003E-3</v>
      </c>
      <c r="W4253" t="s">
        <v>66</v>
      </c>
      <c r="X4253" t="s">
        <v>67</v>
      </c>
      <c r="Y4253" t="s">
        <v>67</v>
      </c>
      <c r="Z4253" t="s">
        <v>68</v>
      </c>
      <c r="AB4253">
        <v>4</v>
      </c>
      <c r="AC4253" t="s">
        <v>61</v>
      </c>
      <c r="AJ4253" t="s">
        <v>69</v>
      </c>
      <c r="AY4253" t="s">
        <v>80</v>
      </c>
      <c r="AZ4253">
        <v>12859</v>
      </c>
      <c r="BA4253" t="s">
        <v>81</v>
      </c>
      <c r="BB4253" t="s">
        <v>82</v>
      </c>
      <c r="BC4253">
        <v>1988</v>
      </c>
      <c r="BD4253" t="s">
        <v>73</v>
      </c>
    </row>
    <row r="4254" spans="1:56" x14ac:dyDescent="0.35">
      <c r="A4254">
        <v>52645531</v>
      </c>
      <c r="B4254" t="s">
        <v>2889</v>
      </c>
      <c r="D4254" t="s">
        <v>85</v>
      </c>
      <c r="E4254">
        <v>95.2</v>
      </c>
      <c r="F4254" t="s">
        <v>58</v>
      </c>
      <c r="G4254" t="s">
        <v>59</v>
      </c>
      <c r="H4254" t="s">
        <v>60</v>
      </c>
      <c r="J4254" t="s">
        <v>86</v>
      </c>
      <c r="L4254" t="s">
        <v>62</v>
      </c>
      <c r="M4254" t="s">
        <v>63</v>
      </c>
      <c r="N4254" t="s">
        <v>64</v>
      </c>
      <c r="O4254">
        <v>8</v>
      </c>
      <c r="P4254" t="s">
        <v>65</v>
      </c>
      <c r="R4254">
        <v>8.9700000000000005E-3</v>
      </c>
      <c r="T4254">
        <v>7.9000000000000008E-3</v>
      </c>
      <c r="V4254">
        <v>1.09E-2</v>
      </c>
      <c r="W4254" t="s">
        <v>66</v>
      </c>
      <c r="X4254" t="s">
        <v>67</v>
      </c>
      <c r="Y4254" t="s">
        <v>67</v>
      </c>
      <c r="Z4254" t="s">
        <v>68</v>
      </c>
      <c r="AB4254">
        <v>4</v>
      </c>
      <c r="AC4254" t="s">
        <v>61</v>
      </c>
      <c r="AJ4254" t="s">
        <v>69</v>
      </c>
      <c r="AY4254" t="s">
        <v>314</v>
      </c>
      <c r="AZ4254">
        <v>73668</v>
      </c>
      <c r="BA4254" t="s">
        <v>315</v>
      </c>
      <c r="BB4254" t="s">
        <v>316</v>
      </c>
      <c r="BC4254">
        <v>1995</v>
      </c>
      <c r="BD4254" t="s">
        <v>90</v>
      </c>
    </row>
    <row r="4255" spans="1:56" x14ac:dyDescent="0.35">
      <c r="A4255">
        <v>52645531</v>
      </c>
      <c r="B4255" t="s">
        <v>2889</v>
      </c>
      <c r="C4255" t="s">
        <v>91</v>
      </c>
      <c r="D4255" t="s">
        <v>85</v>
      </c>
      <c r="E4255">
        <v>92.15</v>
      </c>
      <c r="F4255" t="s">
        <v>58</v>
      </c>
      <c r="G4255" t="s">
        <v>59</v>
      </c>
      <c r="H4255" t="s">
        <v>60</v>
      </c>
      <c r="J4255" t="s">
        <v>86</v>
      </c>
      <c r="L4255" t="s">
        <v>62</v>
      </c>
      <c r="M4255" t="s">
        <v>63</v>
      </c>
      <c r="N4255" t="s">
        <v>64</v>
      </c>
      <c r="P4255" t="s">
        <v>65</v>
      </c>
      <c r="R4255">
        <v>7.4000000000000003E-3</v>
      </c>
      <c r="T4255">
        <v>5.1000000000000004E-3</v>
      </c>
      <c r="V4255">
        <v>1.0800000000000001E-2</v>
      </c>
      <c r="W4255" t="s">
        <v>66</v>
      </c>
      <c r="X4255" t="s">
        <v>67</v>
      </c>
      <c r="Y4255" t="s">
        <v>67</v>
      </c>
      <c r="Z4255" t="s">
        <v>68</v>
      </c>
      <c r="AB4255">
        <v>4</v>
      </c>
      <c r="AC4255" t="s">
        <v>61</v>
      </c>
      <c r="AJ4255" t="s">
        <v>69</v>
      </c>
      <c r="AY4255" t="s">
        <v>621</v>
      </c>
      <c r="AZ4255">
        <v>15277</v>
      </c>
      <c r="BA4255" t="s">
        <v>622</v>
      </c>
      <c r="BB4255" t="s">
        <v>623</v>
      </c>
      <c r="BC4255">
        <v>1982</v>
      </c>
      <c r="BD4255" t="s">
        <v>90</v>
      </c>
    </row>
    <row r="4256" spans="1:56" x14ac:dyDescent="0.35">
      <c r="A4256">
        <v>52645531</v>
      </c>
      <c r="B4256" t="s">
        <v>2889</v>
      </c>
      <c r="C4256" t="s">
        <v>91</v>
      </c>
      <c r="D4256" t="s">
        <v>85</v>
      </c>
      <c r="E4256">
        <v>92.15</v>
      </c>
      <c r="F4256" t="s">
        <v>58</v>
      </c>
      <c r="G4256" t="s">
        <v>59</v>
      </c>
      <c r="H4256" t="s">
        <v>60</v>
      </c>
      <c r="J4256" t="s">
        <v>86</v>
      </c>
      <c r="L4256" t="s">
        <v>62</v>
      </c>
      <c r="M4256" t="s">
        <v>63</v>
      </c>
      <c r="N4256" t="s">
        <v>64</v>
      </c>
      <c r="P4256" t="s">
        <v>65</v>
      </c>
      <c r="R4256">
        <v>1.9E-2</v>
      </c>
      <c r="T4256">
        <v>1.29E-2</v>
      </c>
      <c r="V4256">
        <v>2.5999999999999999E-2</v>
      </c>
      <c r="W4256" t="s">
        <v>66</v>
      </c>
      <c r="X4256" t="s">
        <v>67</v>
      </c>
      <c r="Y4256" t="s">
        <v>67</v>
      </c>
      <c r="Z4256" t="s">
        <v>68</v>
      </c>
      <c r="AB4256">
        <v>4</v>
      </c>
      <c r="AC4256" t="s">
        <v>61</v>
      </c>
      <c r="AJ4256" t="s">
        <v>69</v>
      </c>
      <c r="AY4256" t="s">
        <v>621</v>
      </c>
      <c r="AZ4256">
        <v>15277</v>
      </c>
      <c r="BA4256" t="s">
        <v>622</v>
      </c>
      <c r="BB4256" t="s">
        <v>623</v>
      </c>
      <c r="BC4256">
        <v>1982</v>
      </c>
      <c r="BD4256" t="s">
        <v>90</v>
      </c>
    </row>
    <row r="4257" spans="1:56" x14ac:dyDescent="0.35">
      <c r="A4257">
        <v>52645531</v>
      </c>
      <c r="B4257" t="s">
        <v>2889</v>
      </c>
      <c r="D4257" t="s">
        <v>85</v>
      </c>
      <c r="E4257">
        <v>95.2</v>
      </c>
      <c r="F4257" t="s">
        <v>58</v>
      </c>
      <c r="G4257" t="s">
        <v>59</v>
      </c>
      <c r="H4257" t="s">
        <v>60</v>
      </c>
      <c r="J4257" t="s">
        <v>86</v>
      </c>
      <c r="L4257" t="s">
        <v>62</v>
      </c>
      <c r="M4257" t="s">
        <v>63</v>
      </c>
      <c r="N4257" t="s">
        <v>64</v>
      </c>
      <c r="O4257">
        <v>8</v>
      </c>
      <c r="P4257" t="s">
        <v>65</v>
      </c>
      <c r="R4257">
        <v>1.5699999999999999E-2</v>
      </c>
      <c r="T4257">
        <v>1.34E-2</v>
      </c>
      <c r="V4257">
        <v>1.89E-2</v>
      </c>
      <c r="W4257" t="s">
        <v>66</v>
      </c>
      <c r="X4257" t="s">
        <v>67</v>
      </c>
      <c r="Y4257" t="s">
        <v>67</v>
      </c>
      <c r="Z4257" t="s">
        <v>68</v>
      </c>
      <c r="AB4257">
        <v>4</v>
      </c>
      <c r="AC4257" t="s">
        <v>61</v>
      </c>
      <c r="AJ4257" t="s">
        <v>69</v>
      </c>
      <c r="AY4257" t="s">
        <v>314</v>
      </c>
      <c r="AZ4257">
        <v>73668</v>
      </c>
      <c r="BA4257" t="s">
        <v>315</v>
      </c>
      <c r="BB4257" t="s">
        <v>316</v>
      </c>
      <c r="BC4257">
        <v>1995</v>
      </c>
      <c r="BD4257" t="s">
        <v>90</v>
      </c>
    </row>
    <row r="4258" spans="1:56" x14ac:dyDescent="0.35">
      <c r="A4258">
        <v>52645531</v>
      </c>
      <c r="B4258" t="s">
        <v>2889</v>
      </c>
      <c r="D4258" t="s">
        <v>85</v>
      </c>
      <c r="E4258">
        <v>95.2</v>
      </c>
      <c r="F4258" t="s">
        <v>58</v>
      </c>
      <c r="G4258" t="s">
        <v>59</v>
      </c>
      <c r="H4258" t="s">
        <v>60</v>
      </c>
      <c r="J4258" t="s">
        <v>86</v>
      </c>
      <c r="L4258" t="s">
        <v>62</v>
      </c>
      <c r="M4258" t="s">
        <v>63</v>
      </c>
      <c r="N4258" t="s">
        <v>64</v>
      </c>
      <c r="O4258">
        <v>8</v>
      </c>
      <c r="P4258" t="s">
        <v>65</v>
      </c>
      <c r="R4258">
        <v>0.01</v>
      </c>
      <c r="T4258">
        <v>9.1000000000000004E-3</v>
      </c>
      <c r="V4258">
        <v>1.17E-2</v>
      </c>
      <c r="W4258" t="s">
        <v>66</v>
      </c>
      <c r="X4258" t="s">
        <v>67</v>
      </c>
      <c r="Y4258" t="s">
        <v>67</v>
      </c>
      <c r="Z4258" t="s">
        <v>68</v>
      </c>
      <c r="AB4258">
        <v>4</v>
      </c>
      <c r="AC4258" t="s">
        <v>61</v>
      </c>
      <c r="AJ4258" t="s">
        <v>69</v>
      </c>
      <c r="AY4258" t="s">
        <v>314</v>
      </c>
      <c r="AZ4258">
        <v>73668</v>
      </c>
      <c r="BA4258" t="s">
        <v>315</v>
      </c>
      <c r="BB4258" t="s">
        <v>316</v>
      </c>
      <c r="BC4258">
        <v>1995</v>
      </c>
      <c r="BD4258" t="s">
        <v>90</v>
      </c>
    </row>
    <row r="4259" spans="1:56" x14ac:dyDescent="0.35">
      <c r="A4259">
        <v>52645531</v>
      </c>
      <c r="B4259" t="s">
        <v>2889</v>
      </c>
      <c r="C4259" t="s">
        <v>91</v>
      </c>
      <c r="D4259" t="s">
        <v>85</v>
      </c>
      <c r="E4259">
        <v>92.15</v>
      </c>
      <c r="F4259" t="s">
        <v>58</v>
      </c>
      <c r="G4259" t="s">
        <v>59</v>
      </c>
      <c r="H4259" t="s">
        <v>60</v>
      </c>
      <c r="J4259" t="s">
        <v>86</v>
      </c>
      <c r="L4259" t="s">
        <v>62</v>
      </c>
      <c r="M4259" t="s">
        <v>63</v>
      </c>
      <c r="N4259" t="s">
        <v>64</v>
      </c>
      <c r="P4259" t="s">
        <v>65</v>
      </c>
      <c r="R4259">
        <v>3.1E-2</v>
      </c>
      <c r="T4259">
        <v>2.5600000000000001E-2</v>
      </c>
      <c r="V4259">
        <v>3.7400000000000003E-2</v>
      </c>
      <c r="W4259" t="s">
        <v>66</v>
      </c>
      <c r="X4259" t="s">
        <v>67</v>
      </c>
      <c r="Y4259" t="s">
        <v>67</v>
      </c>
      <c r="Z4259" t="s">
        <v>68</v>
      </c>
      <c r="AB4259">
        <v>4</v>
      </c>
      <c r="AC4259" t="s">
        <v>61</v>
      </c>
      <c r="AJ4259" t="s">
        <v>69</v>
      </c>
      <c r="AY4259" t="s">
        <v>621</v>
      </c>
      <c r="AZ4259">
        <v>15277</v>
      </c>
      <c r="BA4259" t="s">
        <v>622</v>
      </c>
      <c r="BB4259" t="s">
        <v>623</v>
      </c>
      <c r="BC4259">
        <v>1982</v>
      </c>
      <c r="BD4259" t="s">
        <v>90</v>
      </c>
    </row>
    <row r="4260" spans="1:56" x14ac:dyDescent="0.35">
      <c r="A4260">
        <v>52645531</v>
      </c>
      <c r="B4260" t="s">
        <v>2889</v>
      </c>
      <c r="C4260" t="s">
        <v>91</v>
      </c>
      <c r="E4260" t="s">
        <v>86</v>
      </c>
      <c r="F4260" t="s">
        <v>58</v>
      </c>
      <c r="G4260" t="s">
        <v>59</v>
      </c>
      <c r="H4260" t="s">
        <v>60</v>
      </c>
      <c r="J4260" t="s">
        <v>86</v>
      </c>
      <c r="L4260" t="s">
        <v>62</v>
      </c>
      <c r="M4260" t="s">
        <v>63</v>
      </c>
      <c r="N4260" t="s">
        <v>64</v>
      </c>
      <c r="P4260" t="s">
        <v>65</v>
      </c>
      <c r="R4260">
        <v>3.0000000000000001E-3</v>
      </c>
      <c r="T4260">
        <v>1E-3</v>
      </c>
      <c r="V4260">
        <v>8.9999999999999993E-3</v>
      </c>
      <c r="W4260" t="s">
        <v>66</v>
      </c>
      <c r="X4260" t="s">
        <v>67</v>
      </c>
      <c r="Y4260" t="s">
        <v>67</v>
      </c>
      <c r="Z4260" t="s">
        <v>68</v>
      </c>
      <c r="AB4260">
        <v>4</v>
      </c>
      <c r="AC4260" t="s">
        <v>61</v>
      </c>
      <c r="AJ4260" t="s">
        <v>69</v>
      </c>
      <c r="AY4260" t="s">
        <v>116</v>
      </c>
      <c r="AZ4260">
        <v>344</v>
      </c>
      <c r="BA4260" t="s">
        <v>117</v>
      </c>
      <c r="BB4260" t="s">
        <v>118</v>
      </c>
      <c r="BC4260">
        <v>1992</v>
      </c>
      <c r="BD4260" t="s">
        <v>90</v>
      </c>
    </row>
    <row r="4261" spans="1:56" x14ac:dyDescent="0.35">
      <c r="A4261">
        <v>52645531</v>
      </c>
      <c r="B4261" t="s">
        <v>2889</v>
      </c>
      <c r="D4261" t="s">
        <v>57</v>
      </c>
      <c r="E4261">
        <v>91.9</v>
      </c>
      <c r="F4261" t="s">
        <v>58</v>
      </c>
      <c r="G4261" t="s">
        <v>59</v>
      </c>
      <c r="H4261" t="s">
        <v>60</v>
      </c>
      <c r="J4261">
        <v>31</v>
      </c>
      <c r="K4261" t="s">
        <v>61</v>
      </c>
      <c r="L4261" t="s">
        <v>74</v>
      </c>
      <c r="M4261" t="s">
        <v>63</v>
      </c>
      <c r="N4261" t="s">
        <v>64</v>
      </c>
      <c r="P4261" t="s">
        <v>65</v>
      </c>
      <c r="R4261">
        <v>1.6E-2</v>
      </c>
      <c r="T4261">
        <v>8.0000000000000002E-3</v>
      </c>
      <c r="V4261">
        <v>0.03</v>
      </c>
      <c r="W4261" t="s">
        <v>66</v>
      </c>
      <c r="X4261" t="s">
        <v>67</v>
      </c>
      <c r="Y4261" t="s">
        <v>67</v>
      </c>
      <c r="Z4261" t="s">
        <v>68</v>
      </c>
      <c r="AB4261">
        <v>4</v>
      </c>
      <c r="AC4261" t="s">
        <v>61</v>
      </c>
      <c r="AJ4261" t="s">
        <v>69</v>
      </c>
      <c r="AY4261" t="s">
        <v>80</v>
      </c>
      <c r="AZ4261">
        <v>12859</v>
      </c>
      <c r="BA4261" t="s">
        <v>81</v>
      </c>
      <c r="BB4261" t="s">
        <v>82</v>
      </c>
      <c r="BC4261">
        <v>1988</v>
      </c>
      <c r="BD4261" t="s">
        <v>73</v>
      </c>
    </row>
    <row r="4262" spans="1:56" x14ac:dyDescent="0.35">
      <c r="A4262">
        <v>52645531</v>
      </c>
      <c r="B4262" t="s">
        <v>2889</v>
      </c>
      <c r="D4262" t="s">
        <v>85</v>
      </c>
      <c r="E4262">
        <v>95.2</v>
      </c>
      <c r="F4262" t="s">
        <v>58</v>
      </c>
      <c r="G4262" t="s">
        <v>59</v>
      </c>
      <c r="H4262" t="s">
        <v>60</v>
      </c>
      <c r="J4262" t="s">
        <v>86</v>
      </c>
      <c r="L4262" t="s">
        <v>62</v>
      </c>
      <c r="M4262" t="s">
        <v>63</v>
      </c>
      <c r="N4262" t="s">
        <v>64</v>
      </c>
      <c r="O4262">
        <v>8</v>
      </c>
      <c r="P4262" t="s">
        <v>65</v>
      </c>
      <c r="R4262">
        <v>8.9599999999999992E-3</v>
      </c>
      <c r="T4262">
        <v>7.7000000000000002E-3</v>
      </c>
      <c r="V4262">
        <v>1.0699999999999999E-2</v>
      </c>
      <c r="W4262" t="s">
        <v>66</v>
      </c>
      <c r="X4262" t="s">
        <v>67</v>
      </c>
      <c r="Y4262" t="s">
        <v>67</v>
      </c>
      <c r="Z4262" t="s">
        <v>68</v>
      </c>
      <c r="AB4262">
        <v>4</v>
      </c>
      <c r="AC4262" t="s">
        <v>61</v>
      </c>
      <c r="AJ4262" t="s">
        <v>69</v>
      </c>
      <c r="AY4262" t="s">
        <v>314</v>
      </c>
      <c r="AZ4262">
        <v>73668</v>
      </c>
      <c r="BA4262" t="s">
        <v>315</v>
      </c>
      <c r="BB4262" t="s">
        <v>316</v>
      </c>
      <c r="BC4262">
        <v>1995</v>
      </c>
      <c r="BD4262" t="s">
        <v>90</v>
      </c>
    </row>
    <row r="4263" spans="1:56" x14ac:dyDescent="0.35">
      <c r="A4263">
        <v>52645531</v>
      </c>
      <c r="B4263" t="s">
        <v>2889</v>
      </c>
      <c r="D4263" t="s">
        <v>57</v>
      </c>
      <c r="E4263">
        <v>93</v>
      </c>
      <c r="F4263" t="s">
        <v>58</v>
      </c>
      <c r="G4263" t="s">
        <v>59</v>
      </c>
      <c r="H4263" t="s">
        <v>60</v>
      </c>
      <c r="J4263" t="s">
        <v>86</v>
      </c>
      <c r="L4263" t="s">
        <v>74</v>
      </c>
      <c r="M4263" t="s">
        <v>63</v>
      </c>
      <c r="N4263" t="s">
        <v>64</v>
      </c>
      <c r="P4263" t="s">
        <v>65</v>
      </c>
      <c r="R4263">
        <v>0.64</v>
      </c>
      <c r="T4263">
        <v>0.41899999999999998</v>
      </c>
      <c r="V4263">
        <v>0.97699999999999998</v>
      </c>
      <c r="W4263" t="s">
        <v>66</v>
      </c>
      <c r="X4263" t="s">
        <v>67</v>
      </c>
      <c r="Y4263" t="s">
        <v>67</v>
      </c>
      <c r="Z4263" t="s">
        <v>68</v>
      </c>
      <c r="AB4263">
        <v>4</v>
      </c>
      <c r="AC4263" t="s">
        <v>61</v>
      </c>
      <c r="AJ4263" t="s">
        <v>69</v>
      </c>
      <c r="AY4263" t="s">
        <v>401</v>
      </c>
      <c r="AZ4263">
        <v>12004</v>
      </c>
      <c r="BA4263" t="s">
        <v>402</v>
      </c>
      <c r="BB4263" t="s">
        <v>403</v>
      </c>
      <c r="BC4263">
        <v>1985</v>
      </c>
      <c r="BD4263" t="s">
        <v>90</v>
      </c>
    </row>
    <row r="4264" spans="1:56" x14ac:dyDescent="0.35">
      <c r="A4264">
        <v>52645531</v>
      </c>
      <c r="B4264" t="s">
        <v>2889</v>
      </c>
      <c r="C4264" t="s">
        <v>91</v>
      </c>
      <c r="D4264" t="s">
        <v>85</v>
      </c>
      <c r="E4264">
        <v>92.15</v>
      </c>
      <c r="F4264" t="s">
        <v>58</v>
      </c>
      <c r="G4264" t="s">
        <v>59</v>
      </c>
      <c r="H4264" t="s">
        <v>60</v>
      </c>
      <c r="J4264" t="s">
        <v>86</v>
      </c>
      <c r="L4264" t="s">
        <v>62</v>
      </c>
      <c r="M4264" t="s">
        <v>63</v>
      </c>
      <c r="N4264" t="s">
        <v>64</v>
      </c>
      <c r="P4264" t="s">
        <v>65</v>
      </c>
      <c r="R4264">
        <v>3.7999999999999999E-2</v>
      </c>
      <c r="T4264">
        <v>3.0800000000000001E-2</v>
      </c>
      <c r="V4264">
        <v>4.6800000000000001E-2</v>
      </c>
      <c r="W4264" t="s">
        <v>66</v>
      </c>
      <c r="X4264" t="s">
        <v>67</v>
      </c>
      <c r="Y4264" t="s">
        <v>67</v>
      </c>
      <c r="Z4264" t="s">
        <v>68</v>
      </c>
      <c r="AB4264">
        <v>4</v>
      </c>
      <c r="AC4264" t="s">
        <v>61</v>
      </c>
      <c r="AJ4264" t="s">
        <v>69</v>
      </c>
      <c r="AY4264" t="s">
        <v>621</v>
      </c>
      <c r="AZ4264">
        <v>15277</v>
      </c>
      <c r="BA4264" t="s">
        <v>622</v>
      </c>
      <c r="BB4264" t="s">
        <v>623</v>
      </c>
      <c r="BC4264">
        <v>1982</v>
      </c>
      <c r="BD4264" t="s">
        <v>90</v>
      </c>
    </row>
    <row r="4265" spans="1:56" x14ac:dyDescent="0.35">
      <c r="A4265">
        <v>52645531</v>
      </c>
      <c r="B4265" t="s">
        <v>2889</v>
      </c>
      <c r="E4265">
        <v>38.5</v>
      </c>
      <c r="F4265" t="s">
        <v>58</v>
      </c>
      <c r="G4265" t="s">
        <v>59</v>
      </c>
      <c r="H4265" t="s">
        <v>60</v>
      </c>
      <c r="J4265" t="s">
        <v>86</v>
      </c>
      <c r="L4265" t="s">
        <v>62</v>
      </c>
      <c r="M4265" t="s">
        <v>63</v>
      </c>
      <c r="N4265" t="s">
        <v>64</v>
      </c>
      <c r="P4265" t="s">
        <v>65</v>
      </c>
      <c r="R4265">
        <v>5.7000000000000002E-3</v>
      </c>
      <c r="T4265">
        <v>4.1000000000000003E-3</v>
      </c>
      <c r="V4265">
        <v>7.9000000000000008E-3</v>
      </c>
      <c r="W4265" t="s">
        <v>66</v>
      </c>
      <c r="X4265" t="s">
        <v>67</v>
      </c>
      <c r="Y4265" t="s">
        <v>67</v>
      </c>
      <c r="Z4265" t="s">
        <v>68</v>
      </c>
      <c r="AB4265">
        <v>4</v>
      </c>
      <c r="AC4265" t="s">
        <v>61</v>
      </c>
      <c r="AJ4265" t="s">
        <v>69</v>
      </c>
      <c r="AY4265" t="s">
        <v>96</v>
      </c>
      <c r="AZ4265">
        <v>6797</v>
      </c>
      <c r="BA4265" t="s">
        <v>97</v>
      </c>
      <c r="BB4265" t="s">
        <v>98</v>
      </c>
      <c r="BC4265">
        <v>1986</v>
      </c>
      <c r="BD4265" t="s">
        <v>90</v>
      </c>
    </row>
    <row r="4266" spans="1:56" x14ac:dyDescent="0.35">
      <c r="A4266">
        <v>52645531</v>
      </c>
      <c r="B4266" t="s">
        <v>2889</v>
      </c>
      <c r="C4266" t="s">
        <v>91</v>
      </c>
      <c r="D4266" t="s">
        <v>85</v>
      </c>
      <c r="E4266">
        <v>92.15</v>
      </c>
      <c r="F4266" t="s">
        <v>58</v>
      </c>
      <c r="G4266" t="s">
        <v>59</v>
      </c>
      <c r="H4266" t="s">
        <v>60</v>
      </c>
      <c r="J4266" t="s">
        <v>86</v>
      </c>
      <c r="L4266" t="s">
        <v>62</v>
      </c>
      <c r="M4266" t="s">
        <v>63</v>
      </c>
      <c r="N4266" t="s">
        <v>64</v>
      </c>
      <c r="P4266" t="s">
        <v>65</v>
      </c>
      <c r="R4266">
        <v>4.2000000000000003E-2</v>
      </c>
      <c r="T4266">
        <v>2.93E-2</v>
      </c>
      <c r="V4266">
        <v>6.0100000000000001E-2</v>
      </c>
      <c r="W4266" t="s">
        <v>66</v>
      </c>
      <c r="X4266" t="s">
        <v>67</v>
      </c>
      <c r="Y4266" t="s">
        <v>67</v>
      </c>
      <c r="Z4266" t="s">
        <v>68</v>
      </c>
      <c r="AB4266">
        <v>4</v>
      </c>
      <c r="AC4266" t="s">
        <v>61</v>
      </c>
      <c r="AJ4266" t="s">
        <v>69</v>
      </c>
      <c r="AY4266" t="s">
        <v>621</v>
      </c>
      <c r="AZ4266">
        <v>15277</v>
      </c>
      <c r="BA4266" t="s">
        <v>622</v>
      </c>
      <c r="BB4266" t="s">
        <v>623</v>
      </c>
      <c r="BC4266">
        <v>1982</v>
      </c>
      <c r="BD4266" t="s">
        <v>90</v>
      </c>
    </row>
    <row r="4267" spans="1:56" x14ac:dyDescent="0.35">
      <c r="A4267">
        <v>52645531</v>
      </c>
      <c r="B4267" t="s">
        <v>2889</v>
      </c>
      <c r="E4267">
        <v>93</v>
      </c>
      <c r="F4267" t="s">
        <v>58</v>
      </c>
      <c r="G4267" t="s">
        <v>59</v>
      </c>
      <c r="H4267" t="s">
        <v>60</v>
      </c>
      <c r="J4267" t="s">
        <v>86</v>
      </c>
      <c r="L4267" t="s">
        <v>74</v>
      </c>
      <c r="M4267" t="s">
        <v>63</v>
      </c>
      <c r="P4267" t="s">
        <v>65</v>
      </c>
      <c r="R4267">
        <v>6.2607040000000003E-2</v>
      </c>
      <c r="W4267" t="s">
        <v>66</v>
      </c>
      <c r="X4267" t="s">
        <v>67</v>
      </c>
      <c r="Y4267" t="s">
        <v>67</v>
      </c>
      <c r="Z4267" t="s">
        <v>68</v>
      </c>
      <c r="AB4267">
        <v>4</v>
      </c>
      <c r="AC4267" t="s">
        <v>61</v>
      </c>
      <c r="AJ4267" t="s">
        <v>69</v>
      </c>
      <c r="AY4267" t="s">
        <v>408</v>
      </c>
      <c r="AZ4267">
        <v>5876</v>
      </c>
      <c r="BA4267" t="s">
        <v>409</v>
      </c>
      <c r="BB4267" t="s">
        <v>410</v>
      </c>
      <c r="BC4267">
        <v>1988</v>
      </c>
      <c r="BD4267" t="s">
        <v>90</v>
      </c>
    </row>
    <row r="4268" spans="1:56" x14ac:dyDescent="0.35">
      <c r="A4268">
        <v>52645531</v>
      </c>
      <c r="B4268" t="s">
        <v>2889</v>
      </c>
      <c r="E4268">
        <v>91</v>
      </c>
      <c r="F4268" t="s">
        <v>58</v>
      </c>
      <c r="G4268" t="s">
        <v>59</v>
      </c>
      <c r="H4268" t="s">
        <v>60</v>
      </c>
      <c r="J4268" t="s">
        <v>86</v>
      </c>
      <c r="L4268" t="s">
        <v>62</v>
      </c>
      <c r="M4268" t="s">
        <v>63</v>
      </c>
      <c r="N4268" t="s">
        <v>64</v>
      </c>
      <c r="P4268" t="s">
        <v>65</v>
      </c>
      <c r="R4268">
        <v>5.7000000000000002E-3</v>
      </c>
      <c r="T4268">
        <v>4.1000000000000003E-3</v>
      </c>
      <c r="V4268">
        <v>7.9000000000000008E-3</v>
      </c>
      <c r="W4268" t="s">
        <v>66</v>
      </c>
      <c r="X4268" t="s">
        <v>67</v>
      </c>
      <c r="Y4268" t="s">
        <v>67</v>
      </c>
      <c r="Z4268" t="s">
        <v>68</v>
      </c>
      <c r="AB4268">
        <v>4</v>
      </c>
      <c r="AC4268" t="s">
        <v>61</v>
      </c>
      <c r="AJ4268" t="s">
        <v>69</v>
      </c>
      <c r="AY4268" t="s">
        <v>96</v>
      </c>
      <c r="AZ4268">
        <v>6797</v>
      </c>
      <c r="BA4268" t="s">
        <v>97</v>
      </c>
      <c r="BB4268" t="s">
        <v>98</v>
      </c>
      <c r="BC4268">
        <v>1986</v>
      </c>
      <c r="BD4268" t="s">
        <v>90</v>
      </c>
    </row>
    <row r="4269" spans="1:56" x14ac:dyDescent="0.35">
      <c r="A4269">
        <v>52645531</v>
      </c>
      <c r="B4269" t="s">
        <v>2889</v>
      </c>
      <c r="C4269" t="s">
        <v>91</v>
      </c>
      <c r="D4269" t="s">
        <v>57</v>
      </c>
      <c r="E4269">
        <v>91.9</v>
      </c>
      <c r="F4269" t="s">
        <v>58</v>
      </c>
      <c r="G4269" t="s">
        <v>59</v>
      </c>
      <c r="H4269" t="s">
        <v>60</v>
      </c>
      <c r="J4269" t="s">
        <v>86</v>
      </c>
      <c r="K4269" t="s">
        <v>61</v>
      </c>
      <c r="L4269" t="s">
        <v>74</v>
      </c>
      <c r="M4269" t="s">
        <v>63</v>
      </c>
      <c r="N4269" t="s">
        <v>64</v>
      </c>
      <c r="P4269" t="s">
        <v>65</v>
      </c>
      <c r="R4269">
        <v>1.5599999999999999E-2</v>
      </c>
      <c r="T4269">
        <v>8.5000000000000006E-3</v>
      </c>
      <c r="V4269">
        <v>2.8799999999999999E-2</v>
      </c>
      <c r="W4269" t="s">
        <v>66</v>
      </c>
      <c r="X4269" t="s">
        <v>67</v>
      </c>
      <c r="Y4269" t="s">
        <v>67</v>
      </c>
      <c r="Z4269" t="s">
        <v>68</v>
      </c>
      <c r="AB4269">
        <v>4</v>
      </c>
      <c r="AC4269" t="s">
        <v>61</v>
      </c>
      <c r="AJ4269" t="s">
        <v>69</v>
      </c>
      <c r="AY4269" t="s">
        <v>1127</v>
      </c>
      <c r="AZ4269">
        <v>10536</v>
      </c>
      <c r="BA4269" t="s">
        <v>1128</v>
      </c>
      <c r="BB4269" t="s">
        <v>1129</v>
      </c>
      <c r="BC4269">
        <v>1982</v>
      </c>
      <c r="BD4269" t="s">
        <v>148</v>
      </c>
    </row>
    <row r="4270" spans="1:56" x14ac:dyDescent="0.35">
      <c r="A4270">
        <v>52645531</v>
      </c>
      <c r="B4270" t="s">
        <v>2889</v>
      </c>
      <c r="C4270" t="s">
        <v>91</v>
      </c>
      <c r="D4270" t="s">
        <v>85</v>
      </c>
      <c r="E4270">
        <v>92.15</v>
      </c>
      <c r="F4270" t="s">
        <v>58</v>
      </c>
      <c r="G4270" t="s">
        <v>59</v>
      </c>
      <c r="H4270" t="s">
        <v>60</v>
      </c>
      <c r="J4270" t="s">
        <v>86</v>
      </c>
      <c r="L4270" t="s">
        <v>62</v>
      </c>
      <c r="M4270" t="s">
        <v>63</v>
      </c>
      <c r="N4270" t="s">
        <v>64</v>
      </c>
      <c r="P4270" t="s">
        <v>65</v>
      </c>
      <c r="R4270">
        <v>3.0499999999999999E-2</v>
      </c>
      <c r="T4270">
        <v>2.4899999999999999E-2</v>
      </c>
      <c r="V4270">
        <v>3.7199999999999997E-2</v>
      </c>
      <c r="W4270" t="s">
        <v>66</v>
      </c>
      <c r="X4270" t="s">
        <v>67</v>
      </c>
      <c r="Y4270" t="s">
        <v>67</v>
      </c>
      <c r="Z4270" t="s">
        <v>68</v>
      </c>
      <c r="AB4270">
        <v>4</v>
      </c>
      <c r="AC4270" t="s">
        <v>61</v>
      </c>
      <c r="AJ4270" t="s">
        <v>69</v>
      </c>
      <c r="AY4270" t="s">
        <v>621</v>
      </c>
      <c r="AZ4270">
        <v>15277</v>
      </c>
      <c r="BA4270" t="s">
        <v>622</v>
      </c>
      <c r="BB4270" t="s">
        <v>623</v>
      </c>
      <c r="BC4270">
        <v>1982</v>
      </c>
      <c r="BD4270" t="s">
        <v>90</v>
      </c>
    </row>
    <row r="4271" spans="1:56" x14ac:dyDescent="0.35">
      <c r="A4271">
        <v>52645531</v>
      </c>
      <c r="B4271" t="s">
        <v>2889</v>
      </c>
      <c r="D4271" t="s">
        <v>85</v>
      </c>
      <c r="E4271" t="s">
        <v>86</v>
      </c>
      <c r="F4271" t="s">
        <v>58</v>
      </c>
      <c r="G4271" t="s">
        <v>59</v>
      </c>
      <c r="H4271" t="s">
        <v>60</v>
      </c>
      <c r="J4271" t="s">
        <v>86</v>
      </c>
      <c r="L4271" t="s">
        <v>62</v>
      </c>
      <c r="M4271" t="s">
        <v>63</v>
      </c>
      <c r="N4271" t="s">
        <v>64</v>
      </c>
      <c r="P4271" t="s">
        <v>100</v>
      </c>
      <c r="R4271">
        <v>9.4999999999999998E-3</v>
      </c>
      <c r="T4271">
        <v>8.8999999999999999E-3</v>
      </c>
      <c r="V4271">
        <v>0.01</v>
      </c>
      <c r="W4271" t="s">
        <v>66</v>
      </c>
      <c r="X4271" t="s">
        <v>67</v>
      </c>
      <c r="Y4271" t="s">
        <v>67</v>
      </c>
      <c r="Z4271" t="s">
        <v>68</v>
      </c>
      <c r="AB4271">
        <v>4</v>
      </c>
      <c r="AC4271" t="s">
        <v>61</v>
      </c>
      <c r="AJ4271" t="s">
        <v>69</v>
      </c>
      <c r="AY4271" t="s">
        <v>317</v>
      </c>
      <c r="AZ4271">
        <v>153255</v>
      </c>
      <c r="BA4271" t="s">
        <v>318</v>
      </c>
      <c r="BB4271" t="s">
        <v>319</v>
      </c>
      <c r="BC4271">
        <v>2008</v>
      </c>
      <c r="BD4271" t="s">
        <v>90</v>
      </c>
    </row>
    <row r="4272" spans="1:56" x14ac:dyDescent="0.35">
      <c r="A4272">
        <v>52645531</v>
      </c>
      <c r="B4272" t="s">
        <v>2889</v>
      </c>
      <c r="D4272" t="s">
        <v>85</v>
      </c>
      <c r="E4272">
        <v>95.2</v>
      </c>
      <c r="F4272" t="s">
        <v>58</v>
      </c>
      <c r="G4272" t="s">
        <v>59</v>
      </c>
      <c r="H4272" t="s">
        <v>60</v>
      </c>
      <c r="J4272" t="s">
        <v>86</v>
      </c>
      <c r="L4272" t="s">
        <v>62</v>
      </c>
      <c r="M4272" t="s">
        <v>63</v>
      </c>
      <c r="N4272" t="s">
        <v>64</v>
      </c>
      <c r="P4272" t="s">
        <v>65</v>
      </c>
      <c r="R4272">
        <v>9.4000000000000004E-3</v>
      </c>
      <c r="T4272">
        <v>6.7000000000000002E-3</v>
      </c>
      <c r="V4272">
        <v>1.6E-2</v>
      </c>
      <c r="W4272" t="s">
        <v>66</v>
      </c>
      <c r="X4272" t="s">
        <v>67</v>
      </c>
      <c r="Y4272" t="s">
        <v>67</v>
      </c>
      <c r="Z4272" t="s">
        <v>68</v>
      </c>
      <c r="AB4272">
        <v>4</v>
      </c>
      <c r="AC4272" t="s">
        <v>61</v>
      </c>
      <c r="AJ4272" t="s">
        <v>69</v>
      </c>
      <c r="AY4272" t="s">
        <v>328</v>
      </c>
      <c r="AZ4272">
        <v>65396</v>
      </c>
      <c r="BA4272" t="s">
        <v>329</v>
      </c>
      <c r="BB4272" t="s">
        <v>330</v>
      </c>
      <c r="BC4272">
        <v>2001</v>
      </c>
      <c r="BD4272" t="s">
        <v>90</v>
      </c>
    </row>
    <row r="4273" spans="1:56" x14ac:dyDescent="0.35">
      <c r="A4273">
        <v>52645531</v>
      </c>
      <c r="B4273" t="s">
        <v>2889</v>
      </c>
      <c r="D4273" t="s">
        <v>85</v>
      </c>
      <c r="E4273">
        <v>95.2</v>
      </c>
      <c r="F4273" t="s">
        <v>58</v>
      </c>
      <c r="G4273" t="s">
        <v>59</v>
      </c>
      <c r="H4273" t="s">
        <v>60</v>
      </c>
      <c r="J4273" t="s">
        <v>86</v>
      </c>
      <c r="L4273" t="s">
        <v>62</v>
      </c>
      <c r="M4273" t="s">
        <v>63</v>
      </c>
      <c r="N4273" t="s">
        <v>64</v>
      </c>
      <c r="O4273">
        <v>8</v>
      </c>
      <c r="P4273" t="s">
        <v>65</v>
      </c>
      <c r="R4273">
        <v>8.09E-3</v>
      </c>
      <c r="T4273">
        <v>7.0000000000000001E-3</v>
      </c>
      <c r="V4273">
        <v>9.4000000000000004E-3</v>
      </c>
      <c r="W4273" t="s">
        <v>66</v>
      </c>
      <c r="X4273" t="s">
        <v>67</v>
      </c>
      <c r="Y4273" t="s">
        <v>67</v>
      </c>
      <c r="Z4273" t="s">
        <v>68</v>
      </c>
      <c r="AB4273">
        <v>4</v>
      </c>
      <c r="AC4273" t="s">
        <v>61</v>
      </c>
      <c r="AJ4273" t="s">
        <v>69</v>
      </c>
      <c r="AY4273" t="s">
        <v>314</v>
      </c>
      <c r="AZ4273">
        <v>73668</v>
      </c>
      <c r="BA4273" t="s">
        <v>315</v>
      </c>
      <c r="BB4273" t="s">
        <v>316</v>
      </c>
      <c r="BC4273">
        <v>1995</v>
      </c>
      <c r="BD4273" t="s">
        <v>90</v>
      </c>
    </row>
    <row r="4274" spans="1:56" x14ac:dyDescent="0.35">
      <c r="A4274">
        <v>52645531</v>
      </c>
      <c r="B4274" t="s">
        <v>2889</v>
      </c>
      <c r="C4274" t="s">
        <v>91</v>
      </c>
      <c r="D4274" t="s">
        <v>85</v>
      </c>
      <c r="E4274">
        <v>92.15</v>
      </c>
      <c r="F4274" t="s">
        <v>58</v>
      </c>
      <c r="G4274" t="s">
        <v>59</v>
      </c>
      <c r="H4274" t="s">
        <v>60</v>
      </c>
      <c r="J4274" t="s">
        <v>86</v>
      </c>
      <c r="L4274" t="s">
        <v>62</v>
      </c>
      <c r="M4274" t="s">
        <v>63</v>
      </c>
      <c r="N4274" t="s">
        <v>64</v>
      </c>
      <c r="P4274" t="s">
        <v>65</v>
      </c>
      <c r="R4274">
        <v>1.4500000000000001E-2</v>
      </c>
      <c r="T4274">
        <v>1.09E-2</v>
      </c>
      <c r="V4274">
        <v>1.9199999999999998E-2</v>
      </c>
      <c r="W4274" t="s">
        <v>66</v>
      </c>
      <c r="X4274" t="s">
        <v>67</v>
      </c>
      <c r="Y4274" t="s">
        <v>67</v>
      </c>
      <c r="Z4274" t="s">
        <v>68</v>
      </c>
      <c r="AB4274">
        <v>4</v>
      </c>
      <c r="AC4274" t="s">
        <v>61</v>
      </c>
      <c r="AJ4274" t="s">
        <v>69</v>
      </c>
      <c r="AY4274" t="s">
        <v>621</v>
      </c>
      <c r="AZ4274">
        <v>15277</v>
      </c>
      <c r="BA4274" t="s">
        <v>622</v>
      </c>
      <c r="BB4274" t="s">
        <v>623</v>
      </c>
      <c r="BC4274">
        <v>1982</v>
      </c>
      <c r="BD4274" t="s">
        <v>90</v>
      </c>
    </row>
    <row r="4275" spans="1:56" x14ac:dyDescent="0.35">
      <c r="A4275">
        <v>52645531</v>
      </c>
      <c r="B4275" t="s">
        <v>2889</v>
      </c>
      <c r="C4275" t="s">
        <v>91</v>
      </c>
      <c r="D4275" t="s">
        <v>85</v>
      </c>
      <c r="E4275">
        <v>95.2</v>
      </c>
      <c r="F4275" t="s">
        <v>58</v>
      </c>
      <c r="G4275" t="s">
        <v>59</v>
      </c>
      <c r="H4275" t="s">
        <v>60</v>
      </c>
      <c r="J4275" t="s">
        <v>86</v>
      </c>
      <c r="L4275" t="s">
        <v>62</v>
      </c>
      <c r="M4275" t="s">
        <v>63</v>
      </c>
      <c r="N4275" t="s">
        <v>64</v>
      </c>
      <c r="O4275">
        <v>8</v>
      </c>
      <c r="P4275" t="s">
        <v>65</v>
      </c>
      <c r="R4275">
        <v>9.3799999999999994E-3</v>
      </c>
      <c r="W4275" t="s">
        <v>66</v>
      </c>
      <c r="X4275" t="s">
        <v>67</v>
      </c>
      <c r="Y4275" t="s">
        <v>67</v>
      </c>
      <c r="Z4275" t="s">
        <v>68</v>
      </c>
      <c r="AB4275">
        <v>4</v>
      </c>
      <c r="AC4275" t="s">
        <v>61</v>
      </c>
      <c r="AJ4275" t="s">
        <v>69</v>
      </c>
      <c r="AY4275" t="s">
        <v>334</v>
      </c>
      <c r="AZ4275">
        <v>81380</v>
      </c>
      <c r="BA4275" t="s">
        <v>335</v>
      </c>
      <c r="BB4275" t="s">
        <v>336</v>
      </c>
      <c r="BC4275">
        <v>2005</v>
      </c>
      <c r="BD4275" t="s">
        <v>90</v>
      </c>
    </row>
    <row r="4276" spans="1:56" x14ac:dyDescent="0.35">
      <c r="A4276">
        <v>52645531</v>
      </c>
      <c r="B4276" t="s">
        <v>2889</v>
      </c>
      <c r="D4276" t="s">
        <v>85</v>
      </c>
      <c r="E4276">
        <v>95.2</v>
      </c>
      <c r="F4276" t="s">
        <v>58</v>
      </c>
      <c r="G4276" t="s">
        <v>59</v>
      </c>
      <c r="H4276" t="s">
        <v>60</v>
      </c>
      <c r="J4276" t="s">
        <v>86</v>
      </c>
      <c r="L4276" t="s">
        <v>62</v>
      </c>
      <c r="M4276" t="s">
        <v>63</v>
      </c>
      <c r="N4276" t="s">
        <v>64</v>
      </c>
      <c r="O4276">
        <v>8</v>
      </c>
      <c r="P4276" t="s">
        <v>65</v>
      </c>
      <c r="R4276">
        <v>6.6800000000000002E-3</v>
      </c>
      <c r="T4276">
        <v>5.7999999999999996E-3</v>
      </c>
      <c r="V4276">
        <v>7.7000000000000002E-3</v>
      </c>
      <c r="W4276" t="s">
        <v>66</v>
      </c>
      <c r="X4276" t="s">
        <v>67</v>
      </c>
      <c r="Y4276" t="s">
        <v>67</v>
      </c>
      <c r="Z4276" t="s">
        <v>68</v>
      </c>
      <c r="AB4276">
        <v>4</v>
      </c>
      <c r="AC4276" t="s">
        <v>61</v>
      </c>
      <c r="AJ4276" t="s">
        <v>69</v>
      </c>
      <c r="AY4276" t="s">
        <v>314</v>
      </c>
      <c r="AZ4276">
        <v>73668</v>
      </c>
      <c r="BA4276" t="s">
        <v>315</v>
      </c>
      <c r="BB4276" t="s">
        <v>316</v>
      </c>
      <c r="BC4276">
        <v>1995</v>
      </c>
      <c r="BD4276" t="s">
        <v>90</v>
      </c>
    </row>
    <row r="4277" spans="1:56" x14ac:dyDescent="0.35">
      <c r="A4277">
        <v>52645531</v>
      </c>
      <c r="B4277" t="s">
        <v>2889</v>
      </c>
      <c r="C4277" t="s">
        <v>91</v>
      </c>
      <c r="D4277" t="s">
        <v>85</v>
      </c>
      <c r="E4277">
        <v>92.15</v>
      </c>
      <c r="F4277" t="s">
        <v>58</v>
      </c>
      <c r="G4277" t="s">
        <v>59</v>
      </c>
      <c r="H4277" t="s">
        <v>60</v>
      </c>
      <c r="J4277" t="s">
        <v>86</v>
      </c>
      <c r="L4277" t="s">
        <v>62</v>
      </c>
      <c r="M4277" t="s">
        <v>63</v>
      </c>
      <c r="N4277" t="s">
        <v>64</v>
      </c>
      <c r="P4277" t="s">
        <v>65</v>
      </c>
      <c r="R4277">
        <v>3.5000000000000001E-3</v>
      </c>
      <c r="T4277">
        <v>2.5999999999999999E-3</v>
      </c>
      <c r="V4277">
        <v>4.7000000000000002E-3</v>
      </c>
      <c r="W4277" t="s">
        <v>66</v>
      </c>
      <c r="X4277" t="s">
        <v>67</v>
      </c>
      <c r="Y4277" t="s">
        <v>67</v>
      </c>
      <c r="Z4277" t="s">
        <v>68</v>
      </c>
      <c r="AB4277">
        <v>4</v>
      </c>
      <c r="AC4277" t="s">
        <v>61</v>
      </c>
      <c r="AJ4277" t="s">
        <v>69</v>
      </c>
      <c r="AY4277" t="s">
        <v>621</v>
      </c>
      <c r="AZ4277">
        <v>15277</v>
      </c>
      <c r="BA4277" t="s">
        <v>622</v>
      </c>
      <c r="BB4277" t="s">
        <v>623</v>
      </c>
      <c r="BC4277">
        <v>1982</v>
      </c>
      <c r="BD4277" t="s">
        <v>90</v>
      </c>
    </row>
    <row r="4278" spans="1:56" x14ac:dyDescent="0.35">
      <c r="A4278">
        <v>52663715</v>
      </c>
      <c r="B4278" t="s">
        <v>2890</v>
      </c>
      <c r="D4278" t="s">
        <v>85</v>
      </c>
      <c r="E4278" t="s">
        <v>86</v>
      </c>
      <c r="F4278" t="s">
        <v>58</v>
      </c>
      <c r="G4278" t="s">
        <v>59</v>
      </c>
      <c r="H4278" t="s">
        <v>60</v>
      </c>
      <c r="I4278" t="s">
        <v>188</v>
      </c>
      <c r="J4278" t="s">
        <v>86</v>
      </c>
      <c r="L4278" t="s">
        <v>190</v>
      </c>
      <c r="M4278" t="s">
        <v>63</v>
      </c>
      <c r="N4278" t="s">
        <v>64</v>
      </c>
      <c r="P4278" t="s">
        <v>100</v>
      </c>
      <c r="Q4278" t="s">
        <v>153</v>
      </c>
      <c r="R4278">
        <v>2E-3</v>
      </c>
      <c r="W4278" t="s">
        <v>66</v>
      </c>
      <c r="X4278" t="s">
        <v>67</v>
      </c>
      <c r="Y4278" t="s">
        <v>67</v>
      </c>
      <c r="Z4278" t="s">
        <v>68</v>
      </c>
      <c r="AB4278">
        <v>4</v>
      </c>
      <c r="AC4278" t="s">
        <v>61</v>
      </c>
      <c r="AJ4278" t="s">
        <v>69</v>
      </c>
      <c r="AY4278" t="s">
        <v>1973</v>
      </c>
      <c r="AZ4278">
        <v>16467</v>
      </c>
      <c r="BA4278" t="s">
        <v>1974</v>
      </c>
      <c r="BB4278" t="s">
        <v>1975</v>
      </c>
      <c r="BC4278">
        <v>1993</v>
      </c>
      <c r="BD4278" t="s">
        <v>90</v>
      </c>
    </row>
    <row r="4279" spans="1:56" x14ac:dyDescent="0.35">
      <c r="A4279">
        <v>53469219</v>
      </c>
      <c r="B4279" t="s">
        <v>2891</v>
      </c>
      <c r="D4279" t="s">
        <v>57</v>
      </c>
      <c r="E4279" t="s">
        <v>86</v>
      </c>
      <c r="F4279" t="s">
        <v>58</v>
      </c>
      <c r="G4279" t="s">
        <v>59</v>
      </c>
      <c r="H4279" t="s">
        <v>60</v>
      </c>
      <c r="I4279" t="s">
        <v>2060</v>
      </c>
      <c r="J4279" t="s">
        <v>86</v>
      </c>
      <c r="L4279" t="s">
        <v>74</v>
      </c>
      <c r="M4279" t="s">
        <v>63</v>
      </c>
      <c r="N4279" t="s">
        <v>64</v>
      </c>
      <c r="P4279" t="s">
        <v>65</v>
      </c>
      <c r="R4279">
        <v>1.4999999999999999E-2</v>
      </c>
      <c r="W4279" t="s">
        <v>66</v>
      </c>
      <c r="X4279" t="s">
        <v>67</v>
      </c>
      <c r="Y4279" t="s">
        <v>67</v>
      </c>
      <c r="Z4279" t="s">
        <v>68</v>
      </c>
      <c r="AB4279">
        <v>4</v>
      </c>
      <c r="AC4279" t="s">
        <v>61</v>
      </c>
      <c r="AJ4279" t="s">
        <v>69</v>
      </c>
      <c r="AY4279" t="s">
        <v>2525</v>
      </c>
      <c r="AZ4279">
        <v>679</v>
      </c>
      <c r="BA4279" t="s">
        <v>2526</v>
      </c>
      <c r="BB4279" t="s">
        <v>2527</v>
      </c>
      <c r="BC4279">
        <v>1974</v>
      </c>
      <c r="BD4279" t="s">
        <v>90</v>
      </c>
    </row>
    <row r="4280" spans="1:56" x14ac:dyDescent="0.35">
      <c r="A4280">
        <v>53469219</v>
      </c>
      <c r="B4280" t="s">
        <v>2891</v>
      </c>
      <c r="D4280" t="s">
        <v>57</v>
      </c>
      <c r="E4280" t="s">
        <v>86</v>
      </c>
      <c r="F4280" t="s">
        <v>58</v>
      </c>
      <c r="G4280" t="s">
        <v>59</v>
      </c>
      <c r="H4280" t="s">
        <v>60</v>
      </c>
      <c r="J4280">
        <v>2</v>
      </c>
      <c r="K4280" t="s">
        <v>320</v>
      </c>
      <c r="L4280" t="s">
        <v>74</v>
      </c>
      <c r="M4280" t="s">
        <v>63</v>
      </c>
      <c r="N4280" t="s">
        <v>64</v>
      </c>
      <c r="P4280" t="s">
        <v>65</v>
      </c>
      <c r="Q4280" t="s">
        <v>153</v>
      </c>
      <c r="R4280">
        <v>0.23400000000000001</v>
      </c>
      <c r="W4280" t="s">
        <v>66</v>
      </c>
      <c r="X4280" t="s">
        <v>67</v>
      </c>
      <c r="Y4280" t="s">
        <v>67</v>
      </c>
      <c r="Z4280" t="s">
        <v>68</v>
      </c>
      <c r="AB4280">
        <v>4</v>
      </c>
      <c r="AC4280" t="s">
        <v>61</v>
      </c>
      <c r="AJ4280" t="s">
        <v>69</v>
      </c>
      <c r="AY4280" t="s">
        <v>2525</v>
      </c>
      <c r="AZ4280">
        <v>679</v>
      </c>
      <c r="BA4280" t="s">
        <v>2526</v>
      </c>
      <c r="BB4280" t="s">
        <v>2527</v>
      </c>
      <c r="BC4280">
        <v>1974</v>
      </c>
      <c r="BD4280" t="s">
        <v>324</v>
      </c>
    </row>
    <row r="4281" spans="1:56" x14ac:dyDescent="0.35">
      <c r="A4281">
        <v>53763103</v>
      </c>
      <c r="B4281" t="s">
        <v>2892</v>
      </c>
      <c r="D4281" t="s">
        <v>85</v>
      </c>
      <c r="E4281" t="s">
        <v>86</v>
      </c>
      <c r="F4281" t="s">
        <v>58</v>
      </c>
      <c r="G4281" t="s">
        <v>59</v>
      </c>
      <c r="H4281" t="s">
        <v>60</v>
      </c>
      <c r="J4281" t="s">
        <v>86</v>
      </c>
      <c r="L4281" t="s">
        <v>62</v>
      </c>
      <c r="M4281" t="s">
        <v>63</v>
      </c>
      <c r="N4281" t="s">
        <v>64</v>
      </c>
      <c r="P4281" t="s">
        <v>100</v>
      </c>
      <c r="R4281">
        <v>32</v>
      </c>
      <c r="W4281" t="s">
        <v>66</v>
      </c>
      <c r="X4281" t="s">
        <v>67</v>
      </c>
      <c r="Y4281" t="s">
        <v>67</v>
      </c>
      <c r="Z4281" t="s">
        <v>68</v>
      </c>
      <c r="AB4281">
        <v>4</v>
      </c>
      <c r="AC4281" t="s">
        <v>61</v>
      </c>
      <c r="AJ4281" t="s">
        <v>69</v>
      </c>
      <c r="AY4281" t="s">
        <v>2640</v>
      </c>
      <c r="AZ4281">
        <v>959</v>
      </c>
      <c r="BA4281" t="s">
        <v>2641</v>
      </c>
      <c r="BB4281" t="s">
        <v>2642</v>
      </c>
      <c r="BC4281">
        <v>1969</v>
      </c>
      <c r="BD4281" t="s">
        <v>90</v>
      </c>
    </row>
    <row r="4282" spans="1:56" x14ac:dyDescent="0.35">
      <c r="A4282">
        <v>53763385</v>
      </c>
      <c r="B4282" t="s">
        <v>2893</v>
      </c>
      <c r="D4282" t="s">
        <v>85</v>
      </c>
      <c r="E4282" t="s">
        <v>86</v>
      </c>
      <c r="F4282" t="s">
        <v>58</v>
      </c>
      <c r="G4282" t="s">
        <v>59</v>
      </c>
      <c r="H4282" t="s">
        <v>60</v>
      </c>
      <c r="J4282" t="s">
        <v>86</v>
      </c>
      <c r="L4282" t="s">
        <v>62</v>
      </c>
      <c r="M4282" t="s">
        <v>63</v>
      </c>
      <c r="N4282" t="s">
        <v>64</v>
      </c>
      <c r="P4282" t="s">
        <v>100</v>
      </c>
      <c r="R4282">
        <v>56</v>
      </c>
      <c r="W4282" t="s">
        <v>66</v>
      </c>
      <c r="X4282" t="s">
        <v>67</v>
      </c>
      <c r="Y4282" t="s">
        <v>67</v>
      </c>
      <c r="Z4282" t="s">
        <v>68</v>
      </c>
      <c r="AB4282">
        <v>4</v>
      </c>
      <c r="AC4282" t="s">
        <v>61</v>
      </c>
      <c r="AJ4282" t="s">
        <v>69</v>
      </c>
      <c r="AY4282" t="s">
        <v>2640</v>
      </c>
      <c r="AZ4282">
        <v>959</v>
      </c>
      <c r="BA4282" t="s">
        <v>2641</v>
      </c>
      <c r="BB4282" t="s">
        <v>2642</v>
      </c>
      <c r="BC4282">
        <v>1969</v>
      </c>
      <c r="BD4282" t="s">
        <v>90</v>
      </c>
    </row>
    <row r="4283" spans="1:56" x14ac:dyDescent="0.35">
      <c r="A4283">
        <v>53763421</v>
      </c>
      <c r="B4283" t="s">
        <v>2894</v>
      </c>
      <c r="D4283" t="s">
        <v>85</v>
      </c>
      <c r="E4283" t="s">
        <v>86</v>
      </c>
      <c r="F4283" t="s">
        <v>58</v>
      </c>
      <c r="G4283" t="s">
        <v>59</v>
      </c>
      <c r="H4283" t="s">
        <v>60</v>
      </c>
      <c r="J4283" t="s">
        <v>86</v>
      </c>
      <c r="L4283" t="s">
        <v>62</v>
      </c>
      <c r="M4283" t="s">
        <v>63</v>
      </c>
      <c r="N4283" t="s">
        <v>64</v>
      </c>
      <c r="P4283" t="s">
        <v>100</v>
      </c>
      <c r="R4283">
        <v>14</v>
      </c>
      <c r="W4283" t="s">
        <v>66</v>
      </c>
      <c r="X4283" t="s">
        <v>67</v>
      </c>
      <c r="Y4283" t="s">
        <v>67</v>
      </c>
      <c r="Z4283" t="s">
        <v>68</v>
      </c>
      <c r="AB4283">
        <v>4</v>
      </c>
      <c r="AC4283" t="s">
        <v>61</v>
      </c>
      <c r="AJ4283" t="s">
        <v>69</v>
      </c>
      <c r="AY4283" t="s">
        <v>2640</v>
      </c>
      <c r="AZ4283">
        <v>959</v>
      </c>
      <c r="BA4283" t="s">
        <v>2641</v>
      </c>
      <c r="BB4283" t="s">
        <v>2642</v>
      </c>
      <c r="BC4283">
        <v>1969</v>
      </c>
      <c r="BD4283" t="s">
        <v>90</v>
      </c>
    </row>
    <row r="4284" spans="1:56" x14ac:dyDescent="0.35">
      <c r="A4284">
        <v>53763476</v>
      </c>
      <c r="B4284" t="s">
        <v>2895</v>
      </c>
      <c r="D4284" t="s">
        <v>85</v>
      </c>
      <c r="E4284" t="s">
        <v>86</v>
      </c>
      <c r="F4284" t="s">
        <v>58</v>
      </c>
      <c r="G4284" t="s">
        <v>59</v>
      </c>
      <c r="H4284" t="s">
        <v>60</v>
      </c>
      <c r="J4284" t="s">
        <v>86</v>
      </c>
      <c r="L4284" t="s">
        <v>62</v>
      </c>
      <c r="M4284" t="s">
        <v>63</v>
      </c>
      <c r="N4284" t="s">
        <v>64</v>
      </c>
      <c r="P4284" t="s">
        <v>100</v>
      </c>
      <c r="R4284">
        <v>25</v>
      </c>
      <c r="W4284" t="s">
        <v>66</v>
      </c>
      <c r="X4284" t="s">
        <v>67</v>
      </c>
      <c r="Y4284" t="s">
        <v>67</v>
      </c>
      <c r="Z4284" t="s">
        <v>68</v>
      </c>
      <c r="AB4284">
        <v>4</v>
      </c>
      <c r="AC4284" t="s">
        <v>61</v>
      </c>
      <c r="AJ4284" t="s">
        <v>69</v>
      </c>
      <c r="AY4284" t="s">
        <v>2640</v>
      </c>
      <c r="AZ4284">
        <v>959</v>
      </c>
      <c r="BA4284" t="s">
        <v>2641</v>
      </c>
      <c r="BB4284" t="s">
        <v>2642</v>
      </c>
      <c r="BC4284">
        <v>1969</v>
      </c>
      <c r="BD4284" t="s">
        <v>90</v>
      </c>
    </row>
    <row r="4285" spans="1:56" x14ac:dyDescent="0.35">
      <c r="A4285">
        <v>53763772</v>
      </c>
      <c r="B4285" t="s">
        <v>2896</v>
      </c>
      <c r="D4285" t="s">
        <v>85</v>
      </c>
      <c r="E4285" t="s">
        <v>86</v>
      </c>
      <c r="F4285" t="s">
        <v>58</v>
      </c>
      <c r="G4285" t="s">
        <v>59</v>
      </c>
      <c r="H4285" t="s">
        <v>60</v>
      </c>
      <c r="J4285" t="s">
        <v>86</v>
      </c>
      <c r="L4285" t="s">
        <v>62</v>
      </c>
      <c r="M4285" t="s">
        <v>63</v>
      </c>
      <c r="N4285" t="s">
        <v>64</v>
      </c>
      <c r="P4285" t="s">
        <v>100</v>
      </c>
      <c r="R4285">
        <v>5.6</v>
      </c>
      <c r="W4285" t="s">
        <v>66</v>
      </c>
      <c r="X4285" t="s">
        <v>67</v>
      </c>
      <c r="Y4285" t="s">
        <v>67</v>
      </c>
      <c r="Z4285" t="s">
        <v>68</v>
      </c>
      <c r="AB4285">
        <v>4</v>
      </c>
      <c r="AC4285" t="s">
        <v>61</v>
      </c>
      <c r="AJ4285" t="s">
        <v>69</v>
      </c>
      <c r="AY4285" t="s">
        <v>2640</v>
      </c>
      <c r="AZ4285">
        <v>959</v>
      </c>
      <c r="BA4285" t="s">
        <v>2641</v>
      </c>
      <c r="BB4285" t="s">
        <v>2642</v>
      </c>
      <c r="BC4285">
        <v>1969</v>
      </c>
      <c r="BD4285" t="s">
        <v>90</v>
      </c>
    </row>
    <row r="4286" spans="1:56" x14ac:dyDescent="0.35">
      <c r="A4286">
        <v>54381167</v>
      </c>
      <c r="B4286" t="s">
        <v>2897</v>
      </c>
      <c r="D4286" t="s">
        <v>85</v>
      </c>
      <c r="E4286" t="s">
        <v>86</v>
      </c>
      <c r="F4286" t="s">
        <v>58</v>
      </c>
      <c r="G4286" t="s">
        <v>59</v>
      </c>
      <c r="H4286" t="s">
        <v>60</v>
      </c>
      <c r="J4286" t="s">
        <v>86</v>
      </c>
      <c r="L4286" t="s">
        <v>62</v>
      </c>
      <c r="M4286" t="s">
        <v>63</v>
      </c>
      <c r="N4286" t="s">
        <v>64</v>
      </c>
      <c r="O4286">
        <v>6</v>
      </c>
      <c r="P4286" t="s">
        <v>100</v>
      </c>
      <c r="Q4286" t="s">
        <v>153</v>
      </c>
      <c r="R4286">
        <v>4</v>
      </c>
      <c r="W4286" t="s">
        <v>66</v>
      </c>
      <c r="X4286" t="s">
        <v>67</v>
      </c>
      <c r="Y4286" t="s">
        <v>67</v>
      </c>
      <c r="Z4286" t="s">
        <v>68</v>
      </c>
      <c r="AB4286">
        <v>4</v>
      </c>
      <c r="AC4286" t="s">
        <v>61</v>
      </c>
      <c r="AJ4286" t="s">
        <v>69</v>
      </c>
      <c r="AY4286" t="s">
        <v>173</v>
      </c>
      <c r="AZ4286">
        <v>167113</v>
      </c>
      <c r="BA4286" t="s">
        <v>174</v>
      </c>
      <c r="BB4286" t="s">
        <v>175</v>
      </c>
      <c r="BC4286">
        <v>1974</v>
      </c>
      <c r="BD4286" t="s">
        <v>90</v>
      </c>
    </row>
    <row r="4287" spans="1:56" x14ac:dyDescent="0.35">
      <c r="A4287">
        <v>54381167</v>
      </c>
      <c r="B4287" t="s">
        <v>2897</v>
      </c>
      <c r="D4287" t="s">
        <v>85</v>
      </c>
      <c r="E4287" t="s">
        <v>86</v>
      </c>
      <c r="F4287" t="s">
        <v>58</v>
      </c>
      <c r="G4287" t="s">
        <v>59</v>
      </c>
      <c r="H4287" t="s">
        <v>60</v>
      </c>
      <c r="J4287" t="s">
        <v>86</v>
      </c>
      <c r="L4287" t="s">
        <v>62</v>
      </c>
      <c r="M4287" t="s">
        <v>63</v>
      </c>
      <c r="N4287" t="s">
        <v>64</v>
      </c>
      <c r="O4287">
        <v>5</v>
      </c>
      <c r="P4287" t="s">
        <v>100</v>
      </c>
      <c r="T4287">
        <v>3.2</v>
      </c>
      <c r="V4287">
        <v>10</v>
      </c>
      <c r="W4287" t="s">
        <v>66</v>
      </c>
      <c r="X4287" t="s">
        <v>67</v>
      </c>
      <c r="Y4287" t="s">
        <v>67</v>
      </c>
      <c r="Z4287" t="s">
        <v>68</v>
      </c>
      <c r="AB4287">
        <v>4</v>
      </c>
      <c r="AC4287" t="s">
        <v>61</v>
      </c>
      <c r="AJ4287" t="s">
        <v>69</v>
      </c>
      <c r="AY4287" t="s">
        <v>173</v>
      </c>
      <c r="AZ4287">
        <v>167113</v>
      </c>
      <c r="BA4287" t="s">
        <v>174</v>
      </c>
      <c r="BB4287" t="s">
        <v>175</v>
      </c>
      <c r="BC4287">
        <v>1974</v>
      </c>
      <c r="BD4287" t="s">
        <v>90</v>
      </c>
    </row>
    <row r="4288" spans="1:56" x14ac:dyDescent="0.35">
      <c r="A4288">
        <v>54576328</v>
      </c>
      <c r="B4288" t="s">
        <v>2898</v>
      </c>
      <c r="D4288" t="s">
        <v>57</v>
      </c>
      <c r="E4288">
        <v>84</v>
      </c>
      <c r="F4288" t="s">
        <v>58</v>
      </c>
      <c r="G4288" t="s">
        <v>59</v>
      </c>
      <c r="H4288" t="s">
        <v>60</v>
      </c>
      <c r="J4288">
        <v>31</v>
      </c>
      <c r="K4288" t="s">
        <v>61</v>
      </c>
      <c r="L4288" t="s">
        <v>74</v>
      </c>
      <c r="M4288" t="s">
        <v>63</v>
      </c>
      <c r="N4288" t="s">
        <v>64</v>
      </c>
      <c r="P4288" t="s">
        <v>65</v>
      </c>
      <c r="R4288">
        <v>6.06</v>
      </c>
      <c r="T4288">
        <v>5.56</v>
      </c>
      <c r="V4288">
        <v>6.6</v>
      </c>
      <c r="W4288" t="s">
        <v>66</v>
      </c>
      <c r="X4288" t="s">
        <v>67</v>
      </c>
      <c r="Y4288" t="s">
        <v>67</v>
      </c>
      <c r="Z4288" t="s">
        <v>68</v>
      </c>
      <c r="AB4288">
        <v>4</v>
      </c>
      <c r="AC4288" t="s">
        <v>61</v>
      </c>
      <c r="AJ4288" t="s">
        <v>69</v>
      </c>
      <c r="AY4288" t="s">
        <v>141</v>
      </c>
      <c r="AZ4288">
        <v>12447</v>
      </c>
      <c r="BA4288" t="s">
        <v>142</v>
      </c>
      <c r="BB4288" t="s">
        <v>143</v>
      </c>
      <c r="BC4288">
        <v>1985</v>
      </c>
      <c r="BD4288" t="s">
        <v>73</v>
      </c>
    </row>
    <row r="4289" spans="1:56" x14ac:dyDescent="0.35">
      <c r="A4289">
        <v>54739183</v>
      </c>
      <c r="B4289" t="s">
        <v>2899</v>
      </c>
      <c r="D4289" t="s">
        <v>85</v>
      </c>
      <c r="E4289">
        <v>99.58</v>
      </c>
      <c r="F4289" t="s">
        <v>58</v>
      </c>
      <c r="G4289" t="s">
        <v>59</v>
      </c>
      <c r="H4289" t="s">
        <v>60</v>
      </c>
      <c r="I4289" t="s">
        <v>188</v>
      </c>
      <c r="J4289" t="s">
        <v>289</v>
      </c>
      <c r="K4289" t="s">
        <v>184</v>
      </c>
      <c r="L4289" t="s">
        <v>190</v>
      </c>
      <c r="M4289" t="s">
        <v>63</v>
      </c>
      <c r="N4289" t="s">
        <v>64</v>
      </c>
      <c r="P4289" t="s">
        <v>65</v>
      </c>
      <c r="R4289">
        <v>0.60299999999999998</v>
      </c>
      <c r="W4289" t="s">
        <v>66</v>
      </c>
      <c r="X4289" t="s">
        <v>67</v>
      </c>
      <c r="Y4289" t="s">
        <v>67</v>
      </c>
      <c r="Z4289" t="s">
        <v>68</v>
      </c>
      <c r="AB4289">
        <v>4</v>
      </c>
      <c r="AC4289" t="s">
        <v>61</v>
      </c>
      <c r="AJ4289" t="s">
        <v>69</v>
      </c>
      <c r="AY4289" t="s">
        <v>2900</v>
      </c>
      <c r="AZ4289">
        <v>155180</v>
      </c>
      <c r="BA4289" t="s">
        <v>2901</v>
      </c>
      <c r="BB4289" t="s">
        <v>2902</v>
      </c>
      <c r="BC4289">
        <v>2004</v>
      </c>
      <c r="BD4289" t="s">
        <v>185</v>
      </c>
    </row>
    <row r="4290" spans="1:56" x14ac:dyDescent="0.35">
      <c r="A4290">
        <v>55406536</v>
      </c>
      <c r="B4290" t="s">
        <v>2903</v>
      </c>
      <c r="E4290">
        <v>97.5</v>
      </c>
      <c r="F4290" t="s">
        <v>58</v>
      </c>
      <c r="G4290" t="s">
        <v>59</v>
      </c>
      <c r="H4290" t="s">
        <v>60</v>
      </c>
      <c r="J4290" t="s">
        <v>86</v>
      </c>
      <c r="L4290" t="s">
        <v>74</v>
      </c>
      <c r="M4290" t="s">
        <v>63</v>
      </c>
      <c r="N4290" t="s">
        <v>64</v>
      </c>
      <c r="P4290" t="s">
        <v>65</v>
      </c>
      <c r="R4290">
        <v>0.2</v>
      </c>
      <c r="T4290">
        <v>0.18</v>
      </c>
      <c r="V4290">
        <v>0.23</v>
      </c>
      <c r="W4290" t="s">
        <v>66</v>
      </c>
      <c r="X4290" t="s">
        <v>67</v>
      </c>
      <c r="Y4290" t="s">
        <v>67</v>
      </c>
      <c r="Z4290" t="s">
        <v>68</v>
      </c>
      <c r="AB4290">
        <v>4</v>
      </c>
      <c r="AC4290" t="s">
        <v>61</v>
      </c>
      <c r="AJ4290" t="s">
        <v>69</v>
      </c>
      <c r="AY4290" t="s">
        <v>116</v>
      </c>
      <c r="AZ4290">
        <v>344</v>
      </c>
      <c r="BA4290" t="s">
        <v>117</v>
      </c>
      <c r="BB4290" t="s">
        <v>118</v>
      </c>
      <c r="BC4290">
        <v>1992</v>
      </c>
      <c r="BD4290" t="s">
        <v>90</v>
      </c>
    </row>
    <row r="4291" spans="1:56" x14ac:dyDescent="0.35">
      <c r="A4291">
        <v>55427946</v>
      </c>
      <c r="B4291" t="s">
        <v>2904</v>
      </c>
      <c r="D4291" t="s">
        <v>57</v>
      </c>
      <c r="E4291" t="s">
        <v>86</v>
      </c>
      <c r="F4291" t="s">
        <v>58</v>
      </c>
      <c r="G4291" t="s">
        <v>59</v>
      </c>
      <c r="H4291" t="s">
        <v>60</v>
      </c>
      <c r="J4291" t="s">
        <v>86</v>
      </c>
      <c r="L4291" t="s">
        <v>62</v>
      </c>
      <c r="M4291" t="s">
        <v>63</v>
      </c>
      <c r="N4291" t="s">
        <v>64</v>
      </c>
      <c r="O4291">
        <v>2</v>
      </c>
      <c r="P4291" t="s">
        <v>65</v>
      </c>
      <c r="Q4291" t="s">
        <v>153</v>
      </c>
      <c r="R4291">
        <v>1E-3</v>
      </c>
      <c r="W4291" t="s">
        <v>66</v>
      </c>
      <c r="X4291" t="s">
        <v>67</v>
      </c>
      <c r="Y4291" t="s">
        <v>67</v>
      </c>
      <c r="Z4291" t="s">
        <v>68</v>
      </c>
      <c r="AB4291">
        <v>4</v>
      </c>
      <c r="AC4291" t="s">
        <v>61</v>
      </c>
      <c r="AJ4291" t="s">
        <v>69</v>
      </c>
      <c r="AY4291" t="s">
        <v>1875</v>
      </c>
      <c r="AZ4291">
        <v>8455</v>
      </c>
      <c r="BA4291" t="s">
        <v>1876</v>
      </c>
      <c r="BB4291" t="s">
        <v>1877</v>
      </c>
      <c r="BC4291">
        <v>1974</v>
      </c>
      <c r="BD4291" t="s">
        <v>90</v>
      </c>
    </row>
    <row r="4292" spans="1:56" x14ac:dyDescent="0.35">
      <c r="A4292">
        <v>55792615</v>
      </c>
      <c r="B4292" t="s">
        <v>2905</v>
      </c>
      <c r="D4292" t="s">
        <v>57</v>
      </c>
      <c r="E4292">
        <v>96</v>
      </c>
      <c r="F4292" t="s">
        <v>58</v>
      </c>
      <c r="G4292" t="s">
        <v>59</v>
      </c>
      <c r="H4292" t="s">
        <v>60</v>
      </c>
      <c r="J4292">
        <v>30</v>
      </c>
      <c r="K4292" t="s">
        <v>61</v>
      </c>
      <c r="L4292" t="s">
        <v>74</v>
      </c>
      <c r="M4292" t="s">
        <v>63</v>
      </c>
      <c r="N4292" t="s">
        <v>64</v>
      </c>
      <c r="P4292" t="s">
        <v>65</v>
      </c>
      <c r="R4292">
        <v>0.45</v>
      </c>
      <c r="W4292" t="s">
        <v>66</v>
      </c>
      <c r="X4292" t="s">
        <v>67</v>
      </c>
      <c r="Y4292" t="s">
        <v>67</v>
      </c>
      <c r="Z4292" t="s">
        <v>68</v>
      </c>
      <c r="AB4292">
        <v>4</v>
      </c>
      <c r="AC4292" t="s">
        <v>61</v>
      </c>
      <c r="AJ4292" t="s">
        <v>69</v>
      </c>
      <c r="AY4292" t="s">
        <v>263</v>
      </c>
      <c r="AZ4292">
        <v>12858</v>
      </c>
      <c r="BA4292" t="s">
        <v>264</v>
      </c>
      <c r="BB4292" t="s">
        <v>265</v>
      </c>
      <c r="BC4292">
        <v>1986</v>
      </c>
      <c r="BD4292" t="s">
        <v>73</v>
      </c>
    </row>
    <row r="4293" spans="1:56" x14ac:dyDescent="0.35">
      <c r="A4293">
        <v>55818865</v>
      </c>
      <c r="B4293" t="s">
        <v>2906</v>
      </c>
      <c r="D4293" t="s">
        <v>85</v>
      </c>
      <c r="E4293" t="s">
        <v>86</v>
      </c>
      <c r="F4293" t="s">
        <v>58</v>
      </c>
      <c r="G4293" t="s">
        <v>59</v>
      </c>
      <c r="H4293" t="s">
        <v>60</v>
      </c>
      <c r="J4293" t="s">
        <v>86</v>
      </c>
      <c r="L4293" t="s">
        <v>62</v>
      </c>
      <c r="M4293" t="s">
        <v>63</v>
      </c>
      <c r="N4293" t="s">
        <v>64</v>
      </c>
      <c r="P4293" t="s">
        <v>100</v>
      </c>
      <c r="R4293">
        <v>2.2999999999999998</v>
      </c>
      <c r="T4293">
        <v>1.7</v>
      </c>
      <c r="V4293">
        <v>3.1</v>
      </c>
      <c r="W4293" t="s">
        <v>66</v>
      </c>
      <c r="X4293" t="s">
        <v>67</v>
      </c>
      <c r="Y4293" t="s">
        <v>67</v>
      </c>
      <c r="Z4293" t="s">
        <v>68</v>
      </c>
      <c r="AB4293">
        <v>4</v>
      </c>
      <c r="AC4293" t="s">
        <v>61</v>
      </c>
      <c r="AJ4293" t="s">
        <v>69</v>
      </c>
      <c r="AY4293" t="s">
        <v>2907</v>
      </c>
      <c r="AZ4293">
        <v>11702</v>
      </c>
      <c r="BA4293" t="s">
        <v>2908</v>
      </c>
      <c r="BB4293" t="s">
        <v>2909</v>
      </c>
      <c r="BC4293">
        <v>1986</v>
      </c>
      <c r="BD4293" t="s">
        <v>90</v>
      </c>
    </row>
    <row r="4294" spans="1:56" x14ac:dyDescent="0.35">
      <c r="A4294">
        <v>55818865</v>
      </c>
      <c r="B4294" t="s">
        <v>2906</v>
      </c>
      <c r="E4294">
        <v>100</v>
      </c>
      <c r="F4294" t="s">
        <v>58</v>
      </c>
      <c r="G4294" t="s">
        <v>59</v>
      </c>
      <c r="H4294" t="s">
        <v>60</v>
      </c>
      <c r="J4294" t="s">
        <v>86</v>
      </c>
      <c r="L4294" t="s">
        <v>62</v>
      </c>
      <c r="M4294" t="s">
        <v>63</v>
      </c>
      <c r="N4294" t="s">
        <v>64</v>
      </c>
      <c r="P4294" t="s">
        <v>65</v>
      </c>
      <c r="R4294">
        <v>2.2999999999999998</v>
      </c>
      <c r="T4294">
        <v>1.7</v>
      </c>
      <c r="V4294">
        <v>3.1</v>
      </c>
      <c r="W4294" t="s">
        <v>66</v>
      </c>
      <c r="X4294" t="s">
        <v>67</v>
      </c>
      <c r="Y4294" t="s">
        <v>67</v>
      </c>
      <c r="Z4294" t="s">
        <v>68</v>
      </c>
      <c r="AB4294">
        <v>4</v>
      </c>
      <c r="AC4294" t="s">
        <v>61</v>
      </c>
      <c r="AJ4294" t="s">
        <v>69</v>
      </c>
      <c r="AY4294" t="s">
        <v>96</v>
      </c>
      <c r="AZ4294">
        <v>6797</v>
      </c>
      <c r="BA4294" t="s">
        <v>97</v>
      </c>
      <c r="BB4294" t="s">
        <v>98</v>
      </c>
      <c r="BC4294">
        <v>1986</v>
      </c>
      <c r="BD4294" t="s">
        <v>90</v>
      </c>
    </row>
    <row r="4295" spans="1:56" x14ac:dyDescent="0.35">
      <c r="A4295">
        <v>56108124</v>
      </c>
      <c r="B4295" t="s">
        <v>2910</v>
      </c>
      <c r="D4295" t="s">
        <v>57</v>
      </c>
      <c r="E4295" t="s">
        <v>86</v>
      </c>
      <c r="F4295" t="s">
        <v>58</v>
      </c>
      <c r="G4295" t="s">
        <v>59</v>
      </c>
      <c r="H4295" t="s">
        <v>60</v>
      </c>
      <c r="J4295">
        <v>29</v>
      </c>
      <c r="K4295" t="s">
        <v>61</v>
      </c>
      <c r="L4295" t="s">
        <v>74</v>
      </c>
      <c r="M4295" t="s">
        <v>63</v>
      </c>
      <c r="N4295" t="s">
        <v>64</v>
      </c>
      <c r="O4295">
        <v>6</v>
      </c>
      <c r="P4295" t="s">
        <v>65</v>
      </c>
      <c r="R4295">
        <v>31.9</v>
      </c>
      <c r="W4295" t="s">
        <v>66</v>
      </c>
      <c r="X4295" t="s">
        <v>67</v>
      </c>
      <c r="Y4295" t="s">
        <v>67</v>
      </c>
      <c r="Z4295" t="s">
        <v>68</v>
      </c>
      <c r="AB4295">
        <v>4</v>
      </c>
      <c r="AC4295" t="s">
        <v>61</v>
      </c>
      <c r="AJ4295" t="s">
        <v>69</v>
      </c>
      <c r="AY4295" t="s">
        <v>141</v>
      </c>
      <c r="AZ4295">
        <v>12447</v>
      </c>
      <c r="BA4295" t="s">
        <v>142</v>
      </c>
      <c r="BB4295" t="s">
        <v>143</v>
      </c>
      <c r="BC4295">
        <v>1985</v>
      </c>
      <c r="BD4295" t="s">
        <v>73</v>
      </c>
    </row>
    <row r="4296" spans="1:56" x14ac:dyDescent="0.35">
      <c r="A4296">
        <v>56108124</v>
      </c>
      <c r="B4296" t="s">
        <v>2910</v>
      </c>
      <c r="D4296" t="s">
        <v>57</v>
      </c>
      <c r="E4296" t="s">
        <v>128</v>
      </c>
      <c r="F4296" t="s">
        <v>58</v>
      </c>
      <c r="G4296" t="s">
        <v>59</v>
      </c>
      <c r="H4296" t="s">
        <v>60</v>
      </c>
      <c r="I4296" t="s">
        <v>129</v>
      </c>
      <c r="J4296" t="s">
        <v>86</v>
      </c>
      <c r="K4296" t="s">
        <v>61</v>
      </c>
      <c r="L4296" t="s">
        <v>74</v>
      </c>
      <c r="M4296" t="s">
        <v>63</v>
      </c>
      <c r="N4296" t="s">
        <v>64</v>
      </c>
      <c r="P4296" t="s">
        <v>65</v>
      </c>
      <c r="R4296">
        <v>31.9</v>
      </c>
      <c r="W4296" t="s">
        <v>66</v>
      </c>
      <c r="X4296" t="s">
        <v>67</v>
      </c>
      <c r="Y4296" t="s">
        <v>67</v>
      </c>
      <c r="Z4296" t="s">
        <v>68</v>
      </c>
      <c r="AB4296">
        <v>4</v>
      </c>
      <c r="AC4296" t="s">
        <v>61</v>
      </c>
      <c r="AJ4296" t="s">
        <v>69</v>
      </c>
      <c r="AY4296" t="s">
        <v>134</v>
      </c>
      <c r="AZ4296">
        <v>15031</v>
      </c>
      <c r="BA4296" t="s">
        <v>135</v>
      </c>
      <c r="BB4296" t="s">
        <v>136</v>
      </c>
      <c r="BC4296">
        <v>1995</v>
      </c>
      <c r="BD4296" t="s">
        <v>133</v>
      </c>
    </row>
    <row r="4297" spans="1:56" x14ac:dyDescent="0.35">
      <c r="A4297">
        <v>56207397</v>
      </c>
      <c r="B4297" t="s">
        <v>2911</v>
      </c>
      <c r="D4297" t="s">
        <v>85</v>
      </c>
      <c r="E4297" t="s">
        <v>86</v>
      </c>
      <c r="F4297" t="s">
        <v>58</v>
      </c>
      <c r="G4297" t="s">
        <v>59</v>
      </c>
      <c r="H4297" t="s">
        <v>60</v>
      </c>
      <c r="I4297" t="s">
        <v>129</v>
      </c>
      <c r="J4297" t="s">
        <v>86</v>
      </c>
      <c r="L4297" t="s">
        <v>62</v>
      </c>
      <c r="M4297" t="s">
        <v>63</v>
      </c>
      <c r="N4297" t="s">
        <v>64</v>
      </c>
      <c r="P4297" t="s">
        <v>65</v>
      </c>
      <c r="R4297">
        <v>0.9</v>
      </c>
      <c r="T4297">
        <v>0.7</v>
      </c>
      <c r="V4297">
        <v>1.2</v>
      </c>
      <c r="W4297" t="s">
        <v>66</v>
      </c>
      <c r="X4297" t="s">
        <v>67</v>
      </c>
      <c r="Y4297" t="s">
        <v>67</v>
      </c>
      <c r="Z4297" t="s">
        <v>68</v>
      </c>
      <c r="AB4297">
        <v>4</v>
      </c>
      <c r="AC4297" t="s">
        <v>61</v>
      </c>
      <c r="AJ4297" t="s">
        <v>69</v>
      </c>
      <c r="AY4297" t="s">
        <v>718</v>
      </c>
      <c r="AZ4297">
        <v>10141</v>
      </c>
      <c r="BA4297" t="s">
        <v>719</v>
      </c>
      <c r="BB4297" t="s">
        <v>720</v>
      </c>
      <c r="BC4297">
        <v>1983</v>
      </c>
      <c r="BD4297" t="s">
        <v>721</v>
      </c>
    </row>
    <row r="4298" spans="1:56" x14ac:dyDescent="0.35">
      <c r="A4298">
        <v>56207397</v>
      </c>
      <c r="B4298" t="s">
        <v>2911</v>
      </c>
      <c r="D4298" t="s">
        <v>85</v>
      </c>
      <c r="E4298" t="s">
        <v>86</v>
      </c>
      <c r="F4298" t="s">
        <v>58</v>
      </c>
      <c r="G4298" t="s">
        <v>59</v>
      </c>
      <c r="H4298" t="s">
        <v>60</v>
      </c>
      <c r="I4298" t="s">
        <v>129</v>
      </c>
      <c r="J4298" t="s">
        <v>86</v>
      </c>
      <c r="L4298" t="s">
        <v>62</v>
      </c>
      <c r="M4298" t="s">
        <v>63</v>
      </c>
      <c r="N4298" t="s">
        <v>64</v>
      </c>
      <c r="P4298" t="s">
        <v>100</v>
      </c>
      <c r="R4298">
        <v>0.78</v>
      </c>
      <c r="W4298" t="s">
        <v>66</v>
      </c>
      <c r="X4298" t="s">
        <v>67</v>
      </c>
      <c r="Y4298" t="s">
        <v>67</v>
      </c>
      <c r="Z4298" t="s">
        <v>68</v>
      </c>
      <c r="AB4298">
        <v>4</v>
      </c>
      <c r="AC4298" t="s">
        <v>61</v>
      </c>
      <c r="AJ4298" t="s">
        <v>69</v>
      </c>
      <c r="AY4298" t="s">
        <v>722</v>
      </c>
      <c r="AZ4298">
        <v>5087</v>
      </c>
      <c r="BA4298" t="s">
        <v>723</v>
      </c>
      <c r="BB4298" t="s">
        <v>724</v>
      </c>
      <c r="BC4298">
        <v>1979</v>
      </c>
      <c r="BD4298" t="s">
        <v>90</v>
      </c>
    </row>
    <row r="4299" spans="1:56" x14ac:dyDescent="0.35">
      <c r="A4299">
        <v>56296787</v>
      </c>
      <c r="B4299" t="s">
        <v>2912</v>
      </c>
      <c r="D4299" t="s">
        <v>85</v>
      </c>
      <c r="E4299">
        <v>99.9</v>
      </c>
      <c r="F4299" t="s">
        <v>58</v>
      </c>
      <c r="G4299" t="s">
        <v>59</v>
      </c>
      <c r="H4299" t="s">
        <v>60</v>
      </c>
      <c r="I4299" t="s">
        <v>188</v>
      </c>
      <c r="J4299" t="s">
        <v>289</v>
      </c>
      <c r="K4299" t="s">
        <v>184</v>
      </c>
      <c r="L4299" t="s">
        <v>190</v>
      </c>
      <c r="M4299" t="s">
        <v>63</v>
      </c>
      <c r="N4299" t="s">
        <v>64</v>
      </c>
      <c r="P4299" t="s">
        <v>65</v>
      </c>
      <c r="R4299">
        <v>0.16400000000000001</v>
      </c>
      <c r="W4299" t="s">
        <v>66</v>
      </c>
      <c r="X4299" t="s">
        <v>67</v>
      </c>
      <c r="Y4299" t="s">
        <v>67</v>
      </c>
      <c r="Z4299" t="s">
        <v>68</v>
      </c>
      <c r="AB4299">
        <v>4</v>
      </c>
      <c r="AC4299" t="s">
        <v>61</v>
      </c>
      <c r="AJ4299" t="s">
        <v>69</v>
      </c>
      <c r="AY4299" t="s">
        <v>2900</v>
      </c>
      <c r="AZ4299">
        <v>155180</v>
      </c>
      <c r="BA4299" t="s">
        <v>2901</v>
      </c>
      <c r="BB4299" t="s">
        <v>2902</v>
      </c>
      <c r="BC4299">
        <v>2004</v>
      </c>
      <c r="BD4299" t="s">
        <v>185</v>
      </c>
    </row>
    <row r="4300" spans="1:56" x14ac:dyDescent="0.35">
      <c r="A4300">
        <v>56348391</v>
      </c>
      <c r="B4300" t="s">
        <v>2913</v>
      </c>
      <c r="D4300" t="s">
        <v>57</v>
      </c>
      <c r="E4300">
        <v>84</v>
      </c>
      <c r="F4300" t="s">
        <v>58</v>
      </c>
      <c r="G4300" t="s">
        <v>59</v>
      </c>
      <c r="H4300" t="s">
        <v>60</v>
      </c>
      <c r="J4300">
        <v>29</v>
      </c>
      <c r="K4300" t="s">
        <v>61</v>
      </c>
      <c r="L4300" t="s">
        <v>74</v>
      </c>
      <c r="M4300" t="s">
        <v>63</v>
      </c>
      <c r="N4300" t="s">
        <v>64</v>
      </c>
      <c r="O4300">
        <v>6</v>
      </c>
      <c r="P4300" t="s">
        <v>65</v>
      </c>
      <c r="R4300">
        <v>2.99</v>
      </c>
      <c r="T4300">
        <v>2.71</v>
      </c>
      <c r="V4300">
        <v>3.3</v>
      </c>
      <c r="W4300" t="s">
        <v>66</v>
      </c>
      <c r="X4300" t="s">
        <v>67</v>
      </c>
      <c r="Y4300" t="s">
        <v>67</v>
      </c>
      <c r="Z4300" t="s">
        <v>68</v>
      </c>
      <c r="AB4300">
        <v>4</v>
      </c>
      <c r="AC4300" t="s">
        <v>61</v>
      </c>
      <c r="AJ4300" t="s">
        <v>69</v>
      </c>
      <c r="AY4300" t="s">
        <v>141</v>
      </c>
      <c r="AZ4300">
        <v>12447</v>
      </c>
      <c r="BA4300" t="s">
        <v>142</v>
      </c>
      <c r="BB4300" t="s">
        <v>143</v>
      </c>
      <c r="BC4300">
        <v>1985</v>
      </c>
      <c r="BD4300" t="s">
        <v>73</v>
      </c>
    </row>
    <row r="4301" spans="1:56" x14ac:dyDescent="0.35">
      <c r="A4301">
        <v>56348404</v>
      </c>
      <c r="B4301" t="s">
        <v>2914</v>
      </c>
      <c r="D4301" t="s">
        <v>57</v>
      </c>
      <c r="E4301">
        <v>84</v>
      </c>
      <c r="F4301" t="s">
        <v>58</v>
      </c>
      <c r="G4301" t="s">
        <v>59</v>
      </c>
      <c r="H4301" t="s">
        <v>60</v>
      </c>
      <c r="J4301">
        <v>31</v>
      </c>
      <c r="K4301" t="s">
        <v>61</v>
      </c>
      <c r="L4301" t="s">
        <v>74</v>
      </c>
      <c r="M4301" t="s">
        <v>63</v>
      </c>
      <c r="N4301" t="s">
        <v>64</v>
      </c>
      <c r="P4301" t="s">
        <v>65</v>
      </c>
      <c r="R4301">
        <v>10.1</v>
      </c>
      <c r="T4301">
        <v>9.5399999999999991</v>
      </c>
      <c r="V4301">
        <v>10.8</v>
      </c>
      <c r="W4301" t="s">
        <v>66</v>
      </c>
      <c r="X4301" t="s">
        <v>67</v>
      </c>
      <c r="Y4301" t="s">
        <v>67</v>
      </c>
      <c r="Z4301" t="s">
        <v>68</v>
      </c>
      <c r="AB4301">
        <v>4</v>
      </c>
      <c r="AC4301" t="s">
        <v>61</v>
      </c>
      <c r="AJ4301" t="s">
        <v>69</v>
      </c>
      <c r="AY4301" t="s">
        <v>141</v>
      </c>
      <c r="AZ4301">
        <v>12447</v>
      </c>
      <c r="BA4301" t="s">
        <v>142</v>
      </c>
      <c r="BB4301" t="s">
        <v>143</v>
      </c>
      <c r="BC4301">
        <v>1985</v>
      </c>
      <c r="BD4301" t="s">
        <v>73</v>
      </c>
    </row>
    <row r="4302" spans="1:56" x14ac:dyDescent="0.35">
      <c r="A4302">
        <v>56646050</v>
      </c>
      <c r="B4302" t="s">
        <v>2915</v>
      </c>
      <c r="E4302">
        <v>89</v>
      </c>
      <c r="F4302" t="s">
        <v>58</v>
      </c>
      <c r="G4302" t="s">
        <v>59</v>
      </c>
      <c r="H4302" t="s">
        <v>60</v>
      </c>
      <c r="J4302" t="s">
        <v>86</v>
      </c>
      <c r="L4302" t="s">
        <v>62</v>
      </c>
      <c r="M4302" t="s">
        <v>63</v>
      </c>
      <c r="N4302" t="s">
        <v>64</v>
      </c>
      <c r="P4302" t="s">
        <v>65</v>
      </c>
      <c r="R4302">
        <v>650</v>
      </c>
      <c r="T4302">
        <v>497</v>
      </c>
      <c r="V4302">
        <v>851</v>
      </c>
      <c r="W4302" t="s">
        <v>66</v>
      </c>
      <c r="X4302" t="s">
        <v>67</v>
      </c>
      <c r="Y4302" t="s">
        <v>67</v>
      </c>
      <c r="Z4302" t="s">
        <v>68</v>
      </c>
      <c r="AB4302">
        <v>4</v>
      </c>
      <c r="AC4302" t="s">
        <v>61</v>
      </c>
      <c r="AJ4302" t="s">
        <v>69</v>
      </c>
      <c r="AY4302" t="s">
        <v>96</v>
      </c>
      <c r="AZ4302">
        <v>6797</v>
      </c>
      <c r="BA4302" t="s">
        <v>97</v>
      </c>
      <c r="BB4302" t="s">
        <v>98</v>
      </c>
      <c r="BC4302">
        <v>1986</v>
      </c>
      <c r="BD4302" t="s">
        <v>90</v>
      </c>
    </row>
    <row r="4303" spans="1:56" x14ac:dyDescent="0.35">
      <c r="A4303">
        <v>56646050</v>
      </c>
      <c r="B4303" t="s">
        <v>2915</v>
      </c>
      <c r="D4303" t="s">
        <v>85</v>
      </c>
      <c r="E4303">
        <v>88.35</v>
      </c>
      <c r="F4303" t="s">
        <v>58</v>
      </c>
      <c r="G4303" t="s">
        <v>59</v>
      </c>
      <c r="H4303" t="s">
        <v>60</v>
      </c>
      <c r="J4303" t="s">
        <v>86</v>
      </c>
      <c r="L4303" t="s">
        <v>62</v>
      </c>
      <c r="M4303" t="s">
        <v>63</v>
      </c>
      <c r="N4303" t="s">
        <v>64</v>
      </c>
      <c r="P4303" t="s">
        <v>65</v>
      </c>
      <c r="R4303">
        <v>650</v>
      </c>
      <c r="T4303">
        <v>497</v>
      </c>
      <c r="V4303">
        <v>851</v>
      </c>
      <c r="W4303" t="s">
        <v>66</v>
      </c>
      <c r="X4303" t="s">
        <v>67</v>
      </c>
      <c r="Y4303" t="s">
        <v>67</v>
      </c>
      <c r="Z4303" t="s">
        <v>68</v>
      </c>
      <c r="AB4303">
        <v>4</v>
      </c>
      <c r="AC4303" t="s">
        <v>61</v>
      </c>
      <c r="AJ4303" t="s">
        <v>69</v>
      </c>
      <c r="AY4303" t="s">
        <v>2916</v>
      </c>
      <c r="AZ4303">
        <v>687</v>
      </c>
      <c r="BA4303" t="s">
        <v>2917</v>
      </c>
      <c r="BB4303" t="s">
        <v>2918</v>
      </c>
      <c r="BC4303">
        <v>1977</v>
      </c>
      <c r="BD4303" t="s">
        <v>90</v>
      </c>
    </row>
    <row r="4304" spans="1:56" x14ac:dyDescent="0.35">
      <c r="A4304">
        <v>56646050</v>
      </c>
      <c r="B4304" t="s">
        <v>2915</v>
      </c>
      <c r="D4304" t="s">
        <v>85</v>
      </c>
      <c r="E4304" t="s">
        <v>86</v>
      </c>
      <c r="F4304" t="s">
        <v>58</v>
      </c>
      <c r="G4304" t="s">
        <v>59</v>
      </c>
      <c r="H4304" t="s">
        <v>60</v>
      </c>
      <c r="I4304" t="s">
        <v>129</v>
      </c>
      <c r="J4304" t="s">
        <v>86</v>
      </c>
      <c r="L4304" t="s">
        <v>74</v>
      </c>
      <c r="M4304" t="s">
        <v>63</v>
      </c>
      <c r="N4304" t="s">
        <v>64</v>
      </c>
      <c r="P4304" t="s">
        <v>100</v>
      </c>
      <c r="R4304">
        <v>1.022</v>
      </c>
      <c r="W4304" t="s">
        <v>66</v>
      </c>
      <c r="X4304" t="s">
        <v>67</v>
      </c>
      <c r="Y4304" t="s">
        <v>67</v>
      </c>
      <c r="Z4304" t="s">
        <v>68</v>
      </c>
      <c r="AB4304">
        <v>4</v>
      </c>
      <c r="AC4304" t="s">
        <v>61</v>
      </c>
      <c r="AJ4304" t="s">
        <v>69</v>
      </c>
      <c r="AY4304" t="s">
        <v>2420</v>
      </c>
      <c r="AZ4304">
        <v>6010</v>
      </c>
      <c r="BA4304" t="s">
        <v>2421</v>
      </c>
      <c r="BB4304" t="s">
        <v>2422</v>
      </c>
      <c r="BC4304">
        <v>1974</v>
      </c>
      <c r="BD4304" t="s">
        <v>90</v>
      </c>
    </row>
    <row r="4305" spans="1:56" x14ac:dyDescent="0.35">
      <c r="A4305">
        <v>56646050</v>
      </c>
      <c r="B4305" t="s">
        <v>2915</v>
      </c>
      <c r="D4305" t="s">
        <v>85</v>
      </c>
      <c r="E4305" t="s">
        <v>86</v>
      </c>
      <c r="F4305" t="s">
        <v>58</v>
      </c>
      <c r="G4305" t="s">
        <v>59</v>
      </c>
      <c r="H4305" t="s">
        <v>60</v>
      </c>
      <c r="I4305" t="s">
        <v>129</v>
      </c>
      <c r="J4305" t="s">
        <v>86</v>
      </c>
      <c r="L4305" t="s">
        <v>62</v>
      </c>
      <c r="M4305" t="s">
        <v>63</v>
      </c>
      <c r="N4305" t="s">
        <v>64</v>
      </c>
      <c r="P4305" t="s">
        <v>100</v>
      </c>
      <c r="R4305">
        <v>1.32</v>
      </c>
      <c r="W4305" t="s">
        <v>66</v>
      </c>
      <c r="X4305" t="s">
        <v>67</v>
      </c>
      <c r="Y4305" t="s">
        <v>67</v>
      </c>
      <c r="Z4305" t="s">
        <v>68</v>
      </c>
      <c r="AB4305">
        <v>4</v>
      </c>
      <c r="AC4305" t="s">
        <v>61</v>
      </c>
      <c r="AJ4305" t="s">
        <v>69</v>
      </c>
      <c r="AY4305" t="s">
        <v>2420</v>
      </c>
      <c r="AZ4305">
        <v>6010</v>
      </c>
      <c r="BA4305" t="s">
        <v>2421</v>
      </c>
      <c r="BB4305" t="s">
        <v>2422</v>
      </c>
      <c r="BC4305">
        <v>1974</v>
      </c>
      <c r="BD4305" t="s">
        <v>90</v>
      </c>
    </row>
    <row r="4306" spans="1:56" x14ac:dyDescent="0.35">
      <c r="A4306">
        <v>57055386</v>
      </c>
      <c r="B4306" t="s">
        <v>2919</v>
      </c>
      <c r="D4306" t="s">
        <v>57</v>
      </c>
      <c r="E4306" t="s">
        <v>86</v>
      </c>
      <c r="F4306" t="s">
        <v>58</v>
      </c>
      <c r="G4306" t="s">
        <v>59</v>
      </c>
      <c r="H4306" t="s">
        <v>60</v>
      </c>
      <c r="J4306" t="s">
        <v>86</v>
      </c>
      <c r="L4306" t="s">
        <v>62</v>
      </c>
      <c r="M4306" t="s">
        <v>63</v>
      </c>
      <c r="N4306" t="s">
        <v>64</v>
      </c>
      <c r="P4306" t="s">
        <v>65</v>
      </c>
      <c r="R4306">
        <v>1.35</v>
      </c>
      <c r="W4306" t="s">
        <v>66</v>
      </c>
      <c r="X4306" t="s">
        <v>67</v>
      </c>
      <c r="Y4306" t="s">
        <v>67</v>
      </c>
      <c r="Z4306" t="s">
        <v>68</v>
      </c>
      <c r="AB4306">
        <v>4</v>
      </c>
      <c r="AC4306" t="s">
        <v>61</v>
      </c>
      <c r="AJ4306" t="s">
        <v>69</v>
      </c>
      <c r="AY4306" t="s">
        <v>1725</v>
      </c>
      <c r="AZ4306">
        <v>10550</v>
      </c>
      <c r="BA4306" t="s">
        <v>1726</v>
      </c>
      <c r="BB4306" t="s">
        <v>1727</v>
      </c>
      <c r="BC4306">
        <v>1983</v>
      </c>
      <c r="BD4306" t="s">
        <v>90</v>
      </c>
    </row>
    <row r="4307" spans="1:56" x14ac:dyDescent="0.35">
      <c r="A4307">
        <v>57055397</v>
      </c>
      <c r="B4307" t="s">
        <v>2920</v>
      </c>
      <c r="D4307" t="s">
        <v>57</v>
      </c>
      <c r="E4307" t="s">
        <v>86</v>
      </c>
      <c r="F4307" t="s">
        <v>58</v>
      </c>
      <c r="G4307" t="s">
        <v>59</v>
      </c>
      <c r="H4307" t="s">
        <v>60</v>
      </c>
      <c r="J4307" t="s">
        <v>86</v>
      </c>
      <c r="L4307" t="s">
        <v>62</v>
      </c>
      <c r="M4307" t="s">
        <v>63</v>
      </c>
      <c r="N4307" t="s">
        <v>64</v>
      </c>
      <c r="P4307" t="s">
        <v>65</v>
      </c>
      <c r="R4307">
        <v>0.67</v>
      </c>
      <c r="W4307" t="s">
        <v>66</v>
      </c>
      <c r="X4307" t="s">
        <v>67</v>
      </c>
      <c r="Y4307" t="s">
        <v>67</v>
      </c>
      <c r="Z4307" t="s">
        <v>68</v>
      </c>
      <c r="AB4307">
        <v>4</v>
      </c>
      <c r="AC4307" t="s">
        <v>61</v>
      </c>
      <c r="AJ4307" t="s">
        <v>69</v>
      </c>
      <c r="AY4307" t="s">
        <v>1725</v>
      </c>
      <c r="AZ4307">
        <v>10550</v>
      </c>
      <c r="BA4307" t="s">
        <v>1726</v>
      </c>
      <c r="BB4307" t="s">
        <v>1727</v>
      </c>
      <c r="BC4307">
        <v>1983</v>
      </c>
      <c r="BD4307" t="s">
        <v>90</v>
      </c>
    </row>
    <row r="4308" spans="1:56" x14ac:dyDescent="0.35">
      <c r="A4308">
        <v>57213691</v>
      </c>
      <c r="B4308" t="s">
        <v>2921</v>
      </c>
      <c r="E4308">
        <v>44.9</v>
      </c>
      <c r="F4308" t="s">
        <v>58</v>
      </c>
      <c r="G4308" t="s">
        <v>59</v>
      </c>
      <c r="H4308" t="s">
        <v>60</v>
      </c>
      <c r="J4308" t="s">
        <v>86</v>
      </c>
      <c r="L4308" t="s">
        <v>74</v>
      </c>
      <c r="M4308" t="s">
        <v>63</v>
      </c>
      <c r="N4308" t="s">
        <v>64</v>
      </c>
      <c r="P4308" t="s">
        <v>100</v>
      </c>
      <c r="R4308">
        <v>279</v>
      </c>
      <c r="T4308">
        <v>251</v>
      </c>
      <c r="V4308">
        <v>306</v>
      </c>
      <c r="W4308" t="s">
        <v>66</v>
      </c>
      <c r="X4308" t="s">
        <v>67</v>
      </c>
      <c r="Y4308" t="s">
        <v>67</v>
      </c>
      <c r="Z4308" t="s">
        <v>68</v>
      </c>
      <c r="AB4308">
        <v>4</v>
      </c>
      <c r="AC4308" t="s">
        <v>61</v>
      </c>
      <c r="AJ4308" t="s">
        <v>69</v>
      </c>
      <c r="AY4308" t="s">
        <v>116</v>
      </c>
      <c r="AZ4308">
        <v>344</v>
      </c>
      <c r="BA4308" t="s">
        <v>117</v>
      </c>
      <c r="BB4308" t="s">
        <v>118</v>
      </c>
      <c r="BC4308">
        <v>1992</v>
      </c>
      <c r="BD4308" t="s">
        <v>90</v>
      </c>
    </row>
    <row r="4309" spans="1:56" x14ac:dyDescent="0.35">
      <c r="A4309">
        <v>57213691</v>
      </c>
      <c r="B4309" t="s">
        <v>2921</v>
      </c>
      <c r="E4309">
        <v>45</v>
      </c>
      <c r="F4309" t="s">
        <v>58</v>
      </c>
      <c r="G4309" t="s">
        <v>59</v>
      </c>
      <c r="H4309" t="s">
        <v>60</v>
      </c>
      <c r="J4309" t="s">
        <v>86</v>
      </c>
      <c r="L4309" t="s">
        <v>62</v>
      </c>
      <c r="M4309" t="s">
        <v>63</v>
      </c>
      <c r="N4309" t="s">
        <v>64</v>
      </c>
      <c r="P4309" t="s">
        <v>100</v>
      </c>
      <c r="R4309">
        <v>546</v>
      </c>
      <c r="T4309">
        <v>499</v>
      </c>
      <c r="V4309">
        <v>600</v>
      </c>
      <c r="W4309" t="s">
        <v>66</v>
      </c>
      <c r="X4309" t="s">
        <v>67</v>
      </c>
      <c r="Y4309" t="s">
        <v>67</v>
      </c>
      <c r="Z4309" t="s">
        <v>68</v>
      </c>
      <c r="AB4309">
        <v>4</v>
      </c>
      <c r="AC4309" t="s">
        <v>61</v>
      </c>
      <c r="AJ4309" t="s">
        <v>69</v>
      </c>
      <c r="AY4309" t="s">
        <v>116</v>
      </c>
      <c r="AZ4309">
        <v>344</v>
      </c>
      <c r="BA4309" t="s">
        <v>117</v>
      </c>
      <c r="BB4309" t="s">
        <v>118</v>
      </c>
      <c r="BC4309">
        <v>1992</v>
      </c>
      <c r="BD4309" t="s">
        <v>90</v>
      </c>
    </row>
    <row r="4310" spans="1:56" x14ac:dyDescent="0.35">
      <c r="A4310">
        <v>57213691</v>
      </c>
      <c r="B4310" t="s">
        <v>2921</v>
      </c>
      <c r="D4310" t="s">
        <v>85</v>
      </c>
      <c r="E4310">
        <v>44.9</v>
      </c>
      <c r="F4310" t="s">
        <v>58</v>
      </c>
      <c r="G4310" t="s">
        <v>59</v>
      </c>
      <c r="H4310" t="s">
        <v>60</v>
      </c>
      <c r="J4310" t="s">
        <v>86</v>
      </c>
      <c r="L4310" t="s">
        <v>62</v>
      </c>
      <c r="M4310" t="s">
        <v>63</v>
      </c>
      <c r="N4310" t="s">
        <v>64</v>
      </c>
      <c r="P4310" t="s">
        <v>65</v>
      </c>
      <c r="R4310">
        <v>245</v>
      </c>
      <c r="T4310">
        <v>224</v>
      </c>
      <c r="V4310">
        <v>269</v>
      </c>
      <c r="W4310" t="s">
        <v>66</v>
      </c>
      <c r="X4310" t="s">
        <v>67</v>
      </c>
      <c r="Y4310" t="s">
        <v>67</v>
      </c>
      <c r="Z4310" t="s">
        <v>68</v>
      </c>
      <c r="AB4310">
        <v>4</v>
      </c>
      <c r="AC4310" t="s">
        <v>61</v>
      </c>
      <c r="AJ4310" t="s">
        <v>69</v>
      </c>
      <c r="AY4310" t="s">
        <v>2922</v>
      </c>
      <c r="AZ4310">
        <v>10699</v>
      </c>
      <c r="BA4310" t="s">
        <v>2923</v>
      </c>
      <c r="BB4310" t="s">
        <v>2924</v>
      </c>
      <c r="BC4310">
        <v>1984</v>
      </c>
      <c r="BD4310" t="s">
        <v>90</v>
      </c>
    </row>
    <row r="4311" spans="1:56" x14ac:dyDescent="0.35">
      <c r="A4311">
        <v>57213691</v>
      </c>
      <c r="B4311" t="s">
        <v>2921</v>
      </c>
      <c r="D4311" t="s">
        <v>57</v>
      </c>
      <c r="E4311">
        <v>44.9</v>
      </c>
      <c r="F4311" t="s">
        <v>58</v>
      </c>
      <c r="G4311" t="s">
        <v>59</v>
      </c>
      <c r="H4311" t="s">
        <v>60</v>
      </c>
      <c r="J4311">
        <v>36</v>
      </c>
      <c r="K4311" t="s">
        <v>61</v>
      </c>
      <c r="L4311" t="s">
        <v>74</v>
      </c>
      <c r="M4311" t="s">
        <v>63</v>
      </c>
      <c r="N4311" t="s">
        <v>64</v>
      </c>
      <c r="P4311" t="s">
        <v>65</v>
      </c>
      <c r="R4311">
        <v>120</v>
      </c>
      <c r="T4311">
        <v>104</v>
      </c>
      <c r="V4311">
        <v>140</v>
      </c>
      <c r="W4311" t="s">
        <v>66</v>
      </c>
      <c r="X4311" t="s">
        <v>67</v>
      </c>
      <c r="Y4311" t="s">
        <v>67</v>
      </c>
      <c r="Z4311" t="s">
        <v>68</v>
      </c>
      <c r="AB4311">
        <v>4</v>
      </c>
      <c r="AC4311" t="s">
        <v>61</v>
      </c>
      <c r="AJ4311" t="s">
        <v>69</v>
      </c>
      <c r="AY4311" t="s">
        <v>2922</v>
      </c>
      <c r="AZ4311">
        <v>10699</v>
      </c>
      <c r="BA4311" t="s">
        <v>2923</v>
      </c>
      <c r="BB4311" t="s">
        <v>2924</v>
      </c>
      <c r="BC4311">
        <v>1984</v>
      </c>
      <c r="BD4311" t="s">
        <v>73</v>
      </c>
    </row>
    <row r="4312" spans="1:56" x14ac:dyDescent="0.35">
      <c r="A4312">
        <v>57213691</v>
      </c>
      <c r="B4312" t="s">
        <v>2921</v>
      </c>
      <c r="E4312">
        <v>64.7</v>
      </c>
      <c r="F4312" t="s">
        <v>58</v>
      </c>
      <c r="G4312" t="s">
        <v>59</v>
      </c>
      <c r="H4312" t="s">
        <v>60</v>
      </c>
      <c r="J4312" t="s">
        <v>86</v>
      </c>
      <c r="L4312" t="s">
        <v>62</v>
      </c>
      <c r="M4312" t="s">
        <v>63</v>
      </c>
      <c r="N4312" t="s">
        <v>64</v>
      </c>
      <c r="P4312" t="s">
        <v>100</v>
      </c>
      <c r="R4312">
        <v>947</v>
      </c>
      <c r="T4312">
        <v>838</v>
      </c>
      <c r="V4312">
        <v>1071</v>
      </c>
      <c r="W4312" t="s">
        <v>66</v>
      </c>
      <c r="X4312" t="s">
        <v>67</v>
      </c>
      <c r="Y4312" t="s">
        <v>67</v>
      </c>
      <c r="Z4312" t="s">
        <v>68</v>
      </c>
      <c r="AB4312">
        <v>4</v>
      </c>
      <c r="AC4312" t="s">
        <v>61</v>
      </c>
      <c r="AJ4312" t="s">
        <v>69</v>
      </c>
      <c r="AY4312" t="s">
        <v>116</v>
      </c>
      <c r="AZ4312">
        <v>344</v>
      </c>
      <c r="BA4312" t="s">
        <v>117</v>
      </c>
      <c r="BB4312" t="s">
        <v>118</v>
      </c>
      <c r="BC4312">
        <v>1992</v>
      </c>
      <c r="BD4312" t="s">
        <v>90</v>
      </c>
    </row>
    <row r="4313" spans="1:56" x14ac:dyDescent="0.35">
      <c r="A4313">
        <v>57754855</v>
      </c>
      <c r="B4313" t="s">
        <v>2925</v>
      </c>
      <c r="E4313">
        <v>35</v>
      </c>
      <c r="F4313" t="s">
        <v>58</v>
      </c>
      <c r="G4313" t="s">
        <v>59</v>
      </c>
      <c r="H4313" t="s">
        <v>60</v>
      </c>
      <c r="J4313" t="s">
        <v>86</v>
      </c>
      <c r="L4313" t="s">
        <v>62</v>
      </c>
      <c r="M4313" t="s">
        <v>63</v>
      </c>
      <c r="N4313" t="s">
        <v>64</v>
      </c>
      <c r="P4313" t="s">
        <v>100</v>
      </c>
      <c r="Q4313" t="s">
        <v>153</v>
      </c>
      <c r="R4313">
        <v>2900</v>
      </c>
      <c r="W4313" t="s">
        <v>66</v>
      </c>
      <c r="X4313" t="s">
        <v>67</v>
      </c>
      <c r="Y4313" t="s">
        <v>67</v>
      </c>
      <c r="Z4313" t="s">
        <v>68</v>
      </c>
      <c r="AB4313">
        <v>4</v>
      </c>
      <c r="AC4313" t="s">
        <v>61</v>
      </c>
      <c r="AJ4313" t="s">
        <v>69</v>
      </c>
      <c r="AY4313" t="s">
        <v>116</v>
      </c>
      <c r="AZ4313">
        <v>344</v>
      </c>
      <c r="BA4313" t="s">
        <v>117</v>
      </c>
      <c r="BB4313" t="s">
        <v>118</v>
      </c>
      <c r="BC4313">
        <v>1992</v>
      </c>
      <c r="BD4313" t="s">
        <v>90</v>
      </c>
    </row>
    <row r="4314" spans="1:56" x14ac:dyDescent="0.35">
      <c r="A4314">
        <v>58138082</v>
      </c>
      <c r="B4314" t="s">
        <v>2926</v>
      </c>
      <c r="E4314">
        <v>89.1</v>
      </c>
      <c r="F4314" t="s">
        <v>58</v>
      </c>
      <c r="G4314" t="s">
        <v>59</v>
      </c>
      <c r="H4314" t="s">
        <v>60</v>
      </c>
      <c r="J4314" t="s">
        <v>86</v>
      </c>
      <c r="L4314" t="s">
        <v>62</v>
      </c>
      <c r="M4314" t="s">
        <v>63</v>
      </c>
      <c r="N4314" t="s">
        <v>64</v>
      </c>
      <c r="P4314" t="s">
        <v>65</v>
      </c>
      <c r="R4314">
        <v>1.32</v>
      </c>
      <c r="T4314">
        <v>1.1599999999999999</v>
      </c>
      <c r="V4314">
        <v>1.5</v>
      </c>
      <c r="W4314" t="s">
        <v>66</v>
      </c>
      <c r="X4314" t="s">
        <v>67</v>
      </c>
      <c r="Y4314" t="s">
        <v>67</v>
      </c>
      <c r="Z4314" t="s">
        <v>68</v>
      </c>
      <c r="AB4314">
        <v>4</v>
      </c>
      <c r="AC4314" t="s">
        <v>61</v>
      </c>
      <c r="AJ4314" t="s">
        <v>69</v>
      </c>
      <c r="AY4314" t="s">
        <v>116</v>
      </c>
      <c r="AZ4314">
        <v>344</v>
      </c>
      <c r="BA4314" t="s">
        <v>117</v>
      </c>
      <c r="BB4314" t="s">
        <v>118</v>
      </c>
      <c r="BC4314">
        <v>1992</v>
      </c>
      <c r="BD4314" t="s">
        <v>90</v>
      </c>
    </row>
    <row r="4315" spans="1:56" x14ac:dyDescent="0.35">
      <c r="A4315">
        <v>59756604</v>
      </c>
      <c r="B4315" t="s">
        <v>2927</v>
      </c>
      <c r="E4315">
        <v>48</v>
      </c>
      <c r="F4315" t="s">
        <v>58</v>
      </c>
      <c r="G4315" t="s">
        <v>59</v>
      </c>
      <c r="H4315" t="s">
        <v>60</v>
      </c>
      <c r="J4315" t="s">
        <v>86</v>
      </c>
      <c r="L4315" t="s">
        <v>62</v>
      </c>
      <c r="M4315" t="s">
        <v>63</v>
      </c>
      <c r="N4315" t="s">
        <v>64</v>
      </c>
      <c r="P4315" t="s">
        <v>100</v>
      </c>
      <c r="R4315">
        <v>8.3000000000000007</v>
      </c>
      <c r="T4315">
        <v>6.7</v>
      </c>
      <c r="V4315">
        <v>10.199999999999999</v>
      </c>
      <c r="W4315" t="s">
        <v>66</v>
      </c>
      <c r="X4315" t="s">
        <v>67</v>
      </c>
      <c r="Y4315" t="s">
        <v>67</v>
      </c>
      <c r="Z4315" t="s">
        <v>68</v>
      </c>
      <c r="AB4315">
        <v>4</v>
      </c>
      <c r="AC4315" t="s">
        <v>61</v>
      </c>
      <c r="AJ4315" t="s">
        <v>69</v>
      </c>
      <c r="AY4315" t="s">
        <v>116</v>
      </c>
      <c r="AZ4315">
        <v>344</v>
      </c>
      <c r="BA4315" t="s">
        <v>117</v>
      </c>
      <c r="BB4315" t="s">
        <v>118</v>
      </c>
      <c r="BC4315">
        <v>1992</v>
      </c>
      <c r="BD4315" t="s">
        <v>90</v>
      </c>
    </row>
    <row r="4316" spans="1:56" x14ac:dyDescent="0.35">
      <c r="A4316">
        <v>59756604</v>
      </c>
      <c r="B4316" t="s">
        <v>2927</v>
      </c>
      <c r="D4316" t="s">
        <v>57</v>
      </c>
      <c r="E4316">
        <v>48</v>
      </c>
      <c r="F4316" t="s">
        <v>58</v>
      </c>
      <c r="G4316" t="s">
        <v>59</v>
      </c>
      <c r="H4316" t="s">
        <v>60</v>
      </c>
      <c r="J4316" t="s">
        <v>86</v>
      </c>
      <c r="L4316" t="s">
        <v>62</v>
      </c>
      <c r="M4316" t="s">
        <v>63</v>
      </c>
      <c r="N4316" t="s">
        <v>64</v>
      </c>
      <c r="P4316" t="s">
        <v>65</v>
      </c>
      <c r="S4316" t="s">
        <v>153</v>
      </c>
      <c r="T4316">
        <v>6.7</v>
      </c>
      <c r="U4316" t="s">
        <v>435</v>
      </c>
      <c r="V4316">
        <v>10.199999999999999</v>
      </c>
      <c r="W4316" t="s">
        <v>66</v>
      </c>
      <c r="X4316" t="s">
        <v>67</v>
      </c>
      <c r="Y4316" t="s">
        <v>67</v>
      </c>
      <c r="Z4316" t="s">
        <v>68</v>
      </c>
      <c r="AB4316">
        <v>4</v>
      </c>
      <c r="AC4316" t="s">
        <v>61</v>
      </c>
      <c r="AJ4316" t="s">
        <v>69</v>
      </c>
      <c r="AY4316" t="s">
        <v>2928</v>
      </c>
      <c r="AZ4316">
        <v>12170</v>
      </c>
      <c r="BA4316" t="s">
        <v>2929</v>
      </c>
      <c r="BB4316" t="s">
        <v>2930</v>
      </c>
      <c r="BC4316">
        <v>1986</v>
      </c>
      <c r="BD4316" t="s">
        <v>90</v>
      </c>
    </row>
    <row r="4317" spans="1:56" x14ac:dyDescent="0.35">
      <c r="A4317">
        <v>59756604</v>
      </c>
      <c r="B4317" t="s">
        <v>2927</v>
      </c>
      <c r="E4317">
        <v>41</v>
      </c>
      <c r="F4317" t="s">
        <v>58</v>
      </c>
      <c r="G4317" t="s">
        <v>59</v>
      </c>
      <c r="H4317" t="s">
        <v>60</v>
      </c>
      <c r="J4317" t="s">
        <v>86</v>
      </c>
      <c r="L4317" t="s">
        <v>62</v>
      </c>
      <c r="M4317" t="s">
        <v>63</v>
      </c>
      <c r="N4317" t="s">
        <v>64</v>
      </c>
      <c r="P4317" t="s">
        <v>65</v>
      </c>
      <c r="R4317">
        <v>41</v>
      </c>
      <c r="T4317">
        <v>32</v>
      </c>
      <c r="V4317">
        <v>52</v>
      </c>
      <c r="W4317" t="s">
        <v>66</v>
      </c>
      <c r="X4317" t="s">
        <v>67</v>
      </c>
      <c r="Y4317" t="s">
        <v>67</v>
      </c>
      <c r="Z4317" t="s">
        <v>68</v>
      </c>
      <c r="AB4317">
        <v>4</v>
      </c>
      <c r="AC4317" t="s">
        <v>61</v>
      </c>
      <c r="AJ4317" t="s">
        <v>69</v>
      </c>
      <c r="AY4317" t="s">
        <v>96</v>
      </c>
      <c r="AZ4317">
        <v>6797</v>
      </c>
      <c r="BA4317" t="s">
        <v>97</v>
      </c>
      <c r="BB4317" t="s">
        <v>98</v>
      </c>
      <c r="BC4317">
        <v>1986</v>
      </c>
      <c r="BD4317" t="s">
        <v>90</v>
      </c>
    </row>
    <row r="4318" spans="1:56" x14ac:dyDescent="0.35">
      <c r="A4318">
        <v>59756604</v>
      </c>
      <c r="B4318" t="s">
        <v>2927</v>
      </c>
      <c r="C4318" t="s">
        <v>91</v>
      </c>
      <c r="D4318" t="s">
        <v>85</v>
      </c>
      <c r="E4318" t="s">
        <v>86</v>
      </c>
      <c r="F4318" t="s">
        <v>58</v>
      </c>
      <c r="G4318" t="s">
        <v>59</v>
      </c>
      <c r="H4318" t="s">
        <v>60</v>
      </c>
      <c r="J4318" t="s">
        <v>86</v>
      </c>
      <c r="L4318" t="s">
        <v>62</v>
      </c>
      <c r="M4318" t="s">
        <v>63</v>
      </c>
      <c r="N4318" t="s">
        <v>64</v>
      </c>
      <c r="P4318" t="s">
        <v>65</v>
      </c>
      <c r="R4318">
        <v>22</v>
      </c>
      <c r="T4318">
        <v>17</v>
      </c>
      <c r="V4318">
        <v>28</v>
      </c>
      <c r="W4318" t="s">
        <v>66</v>
      </c>
      <c r="X4318" t="s">
        <v>67</v>
      </c>
      <c r="Y4318" t="s">
        <v>67</v>
      </c>
      <c r="Z4318" t="s">
        <v>68</v>
      </c>
      <c r="AB4318">
        <v>4</v>
      </c>
      <c r="AC4318" t="s">
        <v>61</v>
      </c>
      <c r="AJ4318" t="s">
        <v>69</v>
      </c>
      <c r="AY4318" t="s">
        <v>2928</v>
      </c>
      <c r="AZ4318">
        <v>12170</v>
      </c>
      <c r="BA4318" t="s">
        <v>2929</v>
      </c>
      <c r="BB4318" t="s">
        <v>2930</v>
      </c>
      <c r="BC4318">
        <v>1986</v>
      </c>
      <c r="BD4318" t="s">
        <v>2931</v>
      </c>
    </row>
    <row r="4319" spans="1:56" x14ac:dyDescent="0.35">
      <c r="A4319">
        <v>59756604</v>
      </c>
      <c r="B4319" t="s">
        <v>2927</v>
      </c>
      <c r="E4319">
        <v>98</v>
      </c>
      <c r="F4319" t="s">
        <v>58</v>
      </c>
      <c r="G4319" t="s">
        <v>59</v>
      </c>
      <c r="H4319" t="s">
        <v>60</v>
      </c>
      <c r="J4319" t="s">
        <v>86</v>
      </c>
      <c r="L4319" t="s">
        <v>62</v>
      </c>
      <c r="M4319" t="s">
        <v>63</v>
      </c>
      <c r="N4319" t="s">
        <v>64</v>
      </c>
      <c r="P4319" t="s">
        <v>65</v>
      </c>
      <c r="R4319">
        <v>22</v>
      </c>
      <c r="T4319">
        <v>17</v>
      </c>
      <c r="V4319">
        <v>28</v>
      </c>
      <c r="W4319" t="s">
        <v>66</v>
      </c>
      <c r="X4319" t="s">
        <v>67</v>
      </c>
      <c r="Y4319" t="s">
        <v>67</v>
      </c>
      <c r="Z4319" t="s">
        <v>68</v>
      </c>
      <c r="AB4319">
        <v>4</v>
      </c>
      <c r="AC4319" t="s">
        <v>61</v>
      </c>
      <c r="AJ4319" t="s">
        <v>69</v>
      </c>
      <c r="AY4319" t="s">
        <v>96</v>
      </c>
      <c r="AZ4319">
        <v>6797</v>
      </c>
      <c r="BA4319" t="s">
        <v>97</v>
      </c>
      <c r="BB4319" t="s">
        <v>98</v>
      </c>
      <c r="BC4319">
        <v>1986</v>
      </c>
      <c r="BD4319" t="s">
        <v>90</v>
      </c>
    </row>
    <row r="4320" spans="1:56" x14ac:dyDescent="0.35">
      <c r="A4320">
        <v>60842480</v>
      </c>
      <c r="B4320" t="s">
        <v>2932</v>
      </c>
      <c r="D4320" t="s">
        <v>85</v>
      </c>
      <c r="E4320">
        <v>100</v>
      </c>
      <c r="F4320" t="s">
        <v>58</v>
      </c>
      <c r="G4320" t="s">
        <v>59</v>
      </c>
      <c r="H4320" t="s">
        <v>60</v>
      </c>
      <c r="J4320" t="s">
        <v>86</v>
      </c>
      <c r="L4320" t="s">
        <v>62</v>
      </c>
      <c r="M4320" t="s">
        <v>63</v>
      </c>
      <c r="N4320" t="s">
        <v>64</v>
      </c>
      <c r="P4320" t="s">
        <v>65</v>
      </c>
      <c r="R4320">
        <v>5.4</v>
      </c>
      <c r="T4320">
        <v>4</v>
      </c>
      <c r="V4320">
        <v>7.4</v>
      </c>
      <c r="W4320" t="s">
        <v>546</v>
      </c>
      <c r="X4320" t="s">
        <v>67</v>
      </c>
      <c r="Y4320" t="s">
        <v>67</v>
      </c>
      <c r="Z4320" t="s">
        <v>68</v>
      </c>
      <c r="AB4320">
        <v>4</v>
      </c>
      <c r="AC4320" t="s">
        <v>61</v>
      </c>
      <c r="AJ4320" t="s">
        <v>69</v>
      </c>
      <c r="AY4320" t="s">
        <v>547</v>
      </c>
      <c r="AZ4320">
        <v>5968</v>
      </c>
      <c r="BA4320" t="s">
        <v>548</v>
      </c>
      <c r="BB4320" t="s">
        <v>549</v>
      </c>
      <c r="BC4320">
        <v>1975</v>
      </c>
      <c r="BD4320" t="s">
        <v>90</v>
      </c>
    </row>
    <row r="4321" spans="1:56" x14ac:dyDescent="0.35">
      <c r="A4321">
        <v>60842480</v>
      </c>
      <c r="B4321" t="s">
        <v>2932</v>
      </c>
      <c r="D4321" t="s">
        <v>85</v>
      </c>
      <c r="E4321">
        <v>100</v>
      </c>
      <c r="F4321" t="s">
        <v>58</v>
      </c>
      <c r="G4321" t="s">
        <v>59</v>
      </c>
      <c r="H4321" t="s">
        <v>60</v>
      </c>
      <c r="J4321" t="s">
        <v>86</v>
      </c>
      <c r="L4321" t="s">
        <v>62</v>
      </c>
      <c r="M4321" t="s">
        <v>63</v>
      </c>
      <c r="N4321" t="s">
        <v>64</v>
      </c>
      <c r="P4321" t="s">
        <v>65</v>
      </c>
      <c r="S4321" t="s">
        <v>153</v>
      </c>
      <c r="T4321">
        <v>0.32</v>
      </c>
      <c r="U4321" t="s">
        <v>435</v>
      </c>
      <c r="V4321">
        <v>1</v>
      </c>
      <c r="W4321" t="s">
        <v>546</v>
      </c>
      <c r="X4321" t="s">
        <v>67</v>
      </c>
      <c r="Y4321" t="s">
        <v>67</v>
      </c>
      <c r="Z4321" t="s">
        <v>68</v>
      </c>
      <c r="AB4321">
        <v>4</v>
      </c>
      <c r="AC4321" t="s">
        <v>61</v>
      </c>
      <c r="AJ4321" t="s">
        <v>69</v>
      </c>
      <c r="AY4321" t="s">
        <v>547</v>
      </c>
      <c r="AZ4321">
        <v>5968</v>
      </c>
      <c r="BA4321" t="s">
        <v>548</v>
      </c>
      <c r="BB4321" t="s">
        <v>549</v>
      </c>
      <c r="BC4321">
        <v>1975</v>
      </c>
      <c r="BD4321" t="s">
        <v>90</v>
      </c>
    </row>
    <row r="4322" spans="1:56" x14ac:dyDescent="0.35">
      <c r="A4322">
        <v>61096842</v>
      </c>
      <c r="B4322" t="s">
        <v>2933</v>
      </c>
      <c r="D4322" t="s">
        <v>57</v>
      </c>
      <c r="E4322" t="s">
        <v>79</v>
      </c>
      <c r="F4322" t="s">
        <v>58</v>
      </c>
      <c r="G4322" t="s">
        <v>59</v>
      </c>
      <c r="H4322" t="s">
        <v>60</v>
      </c>
      <c r="J4322">
        <v>32</v>
      </c>
      <c r="K4322" t="s">
        <v>61</v>
      </c>
      <c r="L4322" t="s">
        <v>74</v>
      </c>
      <c r="M4322" t="s">
        <v>63</v>
      </c>
      <c r="N4322" t="s">
        <v>64</v>
      </c>
      <c r="P4322" t="s">
        <v>65</v>
      </c>
      <c r="R4322">
        <v>2.67</v>
      </c>
      <c r="T4322">
        <v>2.36</v>
      </c>
      <c r="V4322">
        <v>3.01</v>
      </c>
      <c r="W4322" t="s">
        <v>66</v>
      </c>
      <c r="X4322" t="s">
        <v>67</v>
      </c>
      <c r="Y4322" t="s">
        <v>67</v>
      </c>
      <c r="Z4322" t="s">
        <v>68</v>
      </c>
      <c r="AB4322">
        <v>4</v>
      </c>
      <c r="AC4322" t="s">
        <v>61</v>
      </c>
      <c r="AJ4322" t="s">
        <v>69</v>
      </c>
      <c r="AY4322" t="s">
        <v>286</v>
      </c>
      <c r="AZ4322">
        <v>12448</v>
      </c>
      <c r="BA4322" t="s">
        <v>287</v>
      </c>
      <c r="BB4322" t="s">
        <v>288</v>
      </c>
      <c r="BC4322">
        <v>1984</v>
      </c>
      <c r="BD4322" t="s">
        <v>73</v>
      </c>
    </row>
    <row r="4323" spans="1:56" x14ac:dyDescent="0.35">
      <c r="A4323">
        <v>61711259</v>
      </c>
      <c r="B4323" t="s">
        <v>2934</v>
      </c>
      <c r="D4323" t="s">
        <v>57</v>
      </c>
      <c r="E4323" t="s">
        <v>86</v>
      </c>
      <c r="F4323" t="s">
        <v>58</v>
      </c>
      <c r="G4323" t="s">
        <v>59</v>
      </c>
      <c r="H4323" t="s">
        <v>60</v>
      </c>
      <c r="J4323" t="s">
        <v>86</v>
      </c>
      <c r="L4323" t="s">
        <v>74</v>
      </c>
      <c r="M4323" t="s">
        <v>63</v>
      </c>
      <c r="N4323" t="s">
        <v>64</v>
      </c>
      <c r="O4323">
        <v>6</v>
      </c>
      <c r="P4323" t="s">
        <v>65</v>
      </c>
      <c r="R4323">
        <v>0.92</v>
      </c>
      <c r="T4323">
        <v>0.8</v>
      </c>
      <c r="V4323">
        <v>1.1000000000000001</v>
      </c>
      <c r="W4323" t="s">
        <v>66</v>
      </c>
      <c r="X4323" t="s">
        <v>67</v>
      </c>
      <c r="Y4323" t="s">
        <v>67</v>
      </c>
      <c r="Z4323" t="s">
        <v>68</v>
      </c>
      <c r="AB4323">
        <v>4</v>
      </c>
      <c r="AC4323" t="s">
        <v>61</v>
      </c>
      <c r="AJ4323" t="s">
        <v>69</v>
      </c>
      <c r="AY4323" t="s">
        <v>2935</v>
      </c>
      <c r="AZ4323">
        <v>110632</v>
      </c>
      <c r="BA4323" t="s">
        <v>2936</v>
      </c>
      <c r="BB4323" t="s">
        <v>2937</v>
      </c>
      <c r="BC4323">
        <v>2006</v>
      </c>
      <c r="BD4323" t="s">
        <v>90</v>
      </c>
    </row>
    <row r="4324" spans="1:56" x14ac:dyDescent="0.35">
      <c r="A4324">
        <v>61711259</v>
      </c>
      <c r="B4324" t="s">
        <v>2934</v>
      </c>
      <c r="D4324" t="s">
        <v>57</v>
      </c>
      <c r="E4324">
        <v>31.2</v>
      </c>
      <c r="F4324" t="s">
        <v>58</v>
      </c>
      <c r="G4324" t="s">
        <v>59</v>
      </c>
      <c r="H4324" t="s">
        <v>60</v>
      </c>
      <c r="J4324" t="s">
        <v>86</v>
      </c>
      <c r="L4324" t="s">
        <v>74</v>
      </c>
      <c r="M4324" t="s">
        <v>63</v>
      </c>
      <c r="N4324" t="s">
        <v>64</v>
      </c>
      <c r="O4324">
        <v>6</v>
      </c>
      <c r="P4324" t="s">
        <v>65</v>
      </c>
      <c r="R4324">
        <v>0.47</v>
      </c>
      <c r="T4324">
        <v>0.4</v>
      </c>
      <c r="V4324">
        <v>0.54</v>
      </c>
      <c r="W4324" t="s">
        <v>66</v>
      </c>
      <c r="X4324" t="s">
        <v>67</v>
      </c>
      <c r="Y4324" t="s">
        <v>67</v>
      </c>
      <c r="Z4324" t="s">
        <v>68</v>
      </c>
      <c r="AB4324">
        <v>4</v>
      </c>
      <c r="AC4324" t="s">
        <v>61</v>
      </c>
      <c r="AJ4324" t="s">
        <v>69</v>
      </c>
      <c r="AY4324" t="s">
        <v>2935</v>
      </c>
      <c r="AZ4324">
        <v>110632</v>
      </c>
      <c r="BA4324" t="s">
        <v>2936</v>
      </c>
      <c r="BB4324" t="s">
        <v>2937</v>
      </c>
      <c r="BC4324">
        <v>2006</v>
      </c>
      <c r="BD4324" t="s">
        <v>90</v>
      </c>
    </row>
    <row r="4325" spans="1:56" x14ac:dyDescent="0.35">
      <c r="A4325">
        <v>61711259</v>
      </c>
      <c r="B4325" t="s">
        <v>2934</v>
      </c>
      <c r="D4325" t="s">
        <v>57</v>
      </c>
      <c r="E4325">
        <v>31.2</v>
      </c>
      <c r="F4325" t="s">
        <v>58</v>
      </c>
      <c r="G4325" t="s">
        <v>59</v>
      </c>
      <c r="H4325" t="s">
        <v>60</v>
      </c>
      <c r="J4325" t="s">
        <v>86</v>
      </c>
      <c r="L4325" t="s">
        <v>74</v>
      </c>
      <c r="M4325" t="s">
        <v>63</v>
      </c>
      <c r="N4325" t="s">
        <v>64</v>
      </c>
      <c r="O4325">
        <v>6</v>
      </c>
      <c r="P4325" t="s">
        <v>65</v>
      </c>
      <c r="R4325">
        <v>0.87</v>
      </c>
      <c r="T4325">
        <v>0.78</v>
      </c>
      <c r="V4325">
        <v>0.97</v>
      </c>
      <c r="W4325" t="s">
        <v>66</v>
      </c>
      <c r="X4325" t="s">
        <v>67</v>
      </c>
      <c r="Y4325" t="s">
        <v>67</v>
      </c>
      <c r="Z4325" t="s">
        <v>68</v>
      </c>
      <c r="AB4325">
        <v>4</v>
      </c>
      <c r="AC4325" t="s">
        <v>61</v>
      </c>
      <c r="AJ4325" t="s">
        <v>69</v>
      </c>
      <c r="AY4325" t="s">
        <v>2935</v>
      </c>
      <c r="AZ4325">
        <v>110632</v>
      </c>
      <c r="BA4325" t="s">
        <v>2936</v>
      </c>
      <c r="BB4325" t="s">
        <v>2937</v>
      </c>
      <c r="BC4325">
        <v>2006</v>
      </c>
      <c r="BD4325" t="s">
        <v>90</v>
      </c>
    </row>
    <row r="4326" spans="1:56" x14ac:dyDescent="0.35">
      <c r="A4326">
        <v>61711259</v>
      </c>
      <c r="B4326" t="s">
        <v>2934</v>
      </c>
      <c r="D4326" t="s">
        <v>57</v>
      </c>
      <c r="E4326">
        <v>31.2</v>
      </c>
      <c r="F4326" t="s">
        <v>58</v>
      </c>
      <c r="G4326" t="s">
        <v>59</v>
      </c>
      <c r="H4326" t="s">
        <v>60</v>
      </c>
      <c r="J4326" t="s">
        <v>86</v>
      </c>
      <c r="L4326" t="s">
        <v>74</v>
      </c>
      <c r="M4326" t="s">
        <v>63</v>
      </c>
      <c r="N4326" t="s">
        <v>64</v>
      </c>
      <c r="O4326">
        <v>6</v>
      </c>
      <c r="P4326" t="s">
        <v>65</v>
      </c>
      <c r="R4326">
        <v>0.56000000000000005</v>
      </c>
      <c r="T4326">
        <v>0.47</v>
      </c>
      <c r="V4326">
        <v>0.66</v>
      </c>
      <c r="W4326" t="s">
        <v>66</v>
      </c>
      <c r="X4326" t="s">
        <v>67</v>
      </c>
      <c r="Y4326" t="s">
        <v>67</v>
      </c>
      <c r="Z4326" t="s">
        <v>68</v>
      </c>
      <c r="AB4326">
        <v>4</v>
      </c>
      <c r="AC4326" t="s">
        <v>61</v>
      </c>
      <c r="AJ4326" t="s">
        <v>69</v>
      </c>
      <c r="AY4326" t="s">
        <v>2935</v>
      </c>
      <c r="AZ4326">
        <v>110632</v>
      </c>
      <c r="BA4326" t="s">
        <v>2936</v>
      </c>
      <c r="BB4326" t="s">
        <v>2937</v>
      </c>
      <c r="BC4326">
        <v>2006</v>
      </c>
      <c r="BD4326" t="s">
        <v>90</v>
      </c>
    </row>
    <row r="4327" spans="1:56" x14ac:dyDescent="0.35">
      <c r="A4327">
        <v>61791262</v>
      </c>
      <c r="B4327" t="s">
        <v>2938</v>
      </c>
      <c r="E4327">
        <v>100</v>
      </c>
      <c r="F4327" t="s">
        <v>58</v>
      </c>
      <c r="G4327" t="s">
        <v>59</v>
      </c>
      <c r="H4327" t="s">
        <v>60</v>
      </c>
      <c r="J4327" t="s">
        <v>86</v>
      </c>
      <c r="L4327" t="s">
        <v>62</v>
      </c>
      <c r="M4327" t="s">
        <v>63</v>
      </c>
      <c r="N4327" t="s">
        <v>64</v>
      </c>
      <c r="P4327" t="s">
        <v>65</v>
      </c>
      <c r="R4327">
        <v>1.4</v>
      </c>
      <c r="T4327">
        <v>1.2</v>
      </c>
      <c r="V4327">
        <v>1.7</v>
      </c>
      <c r="W4327" t="s">
        <v>66</v>
      </c>
      <c r="X4327" t="s">
        <v>67</v>
      </c>
      <c r="Y4327" t="s">
        <v>67</v>
      </c>
      <c r="Z4327" t="s">
        <v>68</v>
      </c>
      <c r="AB4327">
        <v>4</v>
      </c>
      <c r="AC4327" t="s">
        <v>61</v>
      </c>
      <c r="AJ4327" t="s">
        <v>69</v>
      </c>
      <c r="AY4327" t="s">
        <v>96</v>
      </c>
      <c r="AZ4327">
        <v>6797</v>
      </c>
      <c r="BA4327" t="s">
        <v>97</v>
      </c>
      <c r="BB4327" t="s">
        <v>98</v>
      </c>
      <c r="BC4327">
        <v>1986</v>
      </c>
      <c r="BD4327" t="s">
        <v>90</v>
      </c>
    </row>
    <row r="4328" spans="1:56" x14ac:dyDescent="0.35">
      <c r="A4328">
        <v>61791262</v>
      </c>
      <c r="B4328" t="s">
        <v>2938</v>
      </c>
      <c r="D4328" t="s">
        <v>85</v>
      </c>
      <c r="E4328" t="s">
        <v>86</v>
      </c>
      <c r="F4328" t="s">
        <v>58</v>
      </c>
      <c r="G4328" t="s">
        <v>59</v>
      </c>
      <c r="H4328" t="s">
        <v>60</v>
      </c>
      <c r="I4328" t="s">
        <v>188</v>
      </c>
      <c r="J4328" t="s">
        <v>86</v>
      </c>
      <c r="K4328" t="s">
        <v>61</v>
      </c>
      <c r="L4328" t="s">
        <v>62</v>
      </c>
      <c r="M4328" t="s">
        <v>63</v>
      </c>
      <c r="N4328" t="s">
        <v>64</v>
      </c>
      <c r="P4328" t="s">
        <v>65</v>
      </c>
      <c r="Q4328" t="s">
        <v>153</v>
      </c>
      <c r="R4328">
        <v>0.44</v>
      </c>
      <c r="W4328" t="s">
        <v>66</v>
      </c>
      <c r="X4328" t="s">
        <v>67</v>
      </c>
      <c r="Y4328" t="s">
        <v>67</v>
      </c>
      <c r="Z4328" t="s">
        <v>68</v>
      </c>
      <c r="AB4328">
        <v>4</v>
      </c>
      <c r="AC4328" t="s">
        <v>61</v>
      </c>
      <c r="AJ4328" t="s">
        <v>69</v>
      </c>
      <c r="AY4328" t="s">
        <v>2834</v>
      </c>
      <c r="AZ4328">
        <v>160505</v>
      </c>
      <c r="BA4328" t="s">
        <v>2835</v>
      </c>
      <c r="BB4328" t="s">
        <v>2836</v>
      </c>
      <c r="BC4328">
        <v>2012</v>
      </c>
      <c r="BD4328" t="s">
        <v>2837</v>
      </c>
    </row>
    <row r="4329" spans="1:56" x14ac:dyDescent="0.35">
      <c r="A4329">
        <v>61791262</v>
      </c>
      <c r="B4329" t="s">
        <v>2938</v>
      </c>
      <c r="D4329" t="s">
        <v>85</v>
      </c>
      <c r="E4329" t="s">
        <v>86</v>
      </c>
      <c r="F4329" t="s">
        <v>58</v>
      </c>
      <c r="G4329" t="s">
        <v>59</v>
      </c>
      <c r="H4329" t="s">
        <v>60</v>
      </c>
      <c r="J4329" t="s">
        <v>86</v>
      </c>
      <c r="L4329" t="s">
        <v>62</v>
      </c>
      <c r="M4329" t="s">
        <v>63</v>
      </c>
      <c r="N4329" t="s">
        <v>64</v>
      </c>
      <c r="P4329" t="s">
        <v>100</v>
      </c>
      <c r="R4329">
        <v>1</v>
      </c>
      <c r="W4329" t="s">
        <v>66</v>
      </c>
      <c r="X4329" t="s">
        <v>67</v>
      </c>
      <c r="Y4329" t="s">
        <v>67</v>
      </c>
      <c r="Z4329" t="s">
        <v>68</v>
      </c>
      <c r="AB4329">
        <v>4</v>
      </c>
      <c r="AC4329" t="s">
        <v>61</v>
      </c>
      <c r="AJ4329" t="s">
        <v>69</v>
      </c>
      <c r="AY4329" t="s">
        <v>2830</v>
      </c>
      <c r="AZ4329">
        <v>5752</v>
      </c>
      <c r="BA4329" t="s">
        <v>2831</v>
      </c>
      <c r="BB4329" t="s">
        <v>2832</v>
      </c>
      <c r="BC4329">
        <v>1979</v>
      </c>
      <c r="BD4329" t="s">
        <v>90</v>
      </c>
    </row>
    <row r="4330" spans="1:56" x14ac:dyDescent="0.35">
      <c r="A4330">
        <v>61912876</v>
      </c>
      <c r="B4330" t="s">
        <v>2939</v>
      </c>
      <c r="E4330">
        <v>8</v>
      </c>
      <c r="F4330" t="s">
        <v>58</v>
      </c>
      <c r="G4330" t="s">
        <v>59</v>
      </c>
      <c r="H4330" t="s">
        <v>60</v>
      </c>
      <c r="J4330" t="s">
        <v>86</v>
      </c>
      <c r="L4330" t="s">
        <v>62</v>
      </c>
      <c r="M4330" t="s">
        <v>63</v>
      </c>
      <c r="N4330" t="s">
        <v>64</v>
      </c>
      <c r="P4330" t="s">
        <v>65</v>
      </c>
      <c r="R4330">
        <v>3.5900000000000001E-2</v>
      </c>
      <c r="T4330">
        <v>2.63E-2</v>
      </c>
      <c r="V4330">
        <v>4.8899999999999999E-2</v>
      </c>
      <c r="W4330" t="s">
        <v>66</v>
      </c>
      <c r="X4330" t="s">
        <v>67</v>
      </c>
      <c r="Y4330" t="s">
        <v>67</v>
      </c>
      <c r="Z4330" t="s">
        <v>68</v>
      </c>
      <c r="AB4330">
        <v>4</v>
      </c>
      <c r="AC4330" t="s">
        <v>61</v>
      </c>
      <c r="AJ4330" t="s">
        <v>69</v>
      </c>
      <c r="AY4330" t="s">
        <v>96</v>
      </c>
      <c r="AZ4330">
        <v>6797</v>
      </c>
      <c r="BA4330" t="s">
        <v>97</v>
      </c>
      <c r="BB4330" t="s">
        <v>98</v>
      </c>
      <c r="BC4330">
        <v>1986</v>
      </c>
      <c r="BD4330" t="s">
        <v>90</v>
      </c>
    </row>
    <row r="4331" spans="1:56" x14ac:dyDescent="0.35">
      <c r="A4331">
        <v>63449398</v>
      </c>
      <c r="B4331" t="s">
        <v>2940</v>
      </c>
      <c r="E4331">
        <v>100</v>
      </c>
      <c r="F4331" t="s">
        <v>58</v>
      </c>
      <c r="G4331" t="s">
        <v>59</v>
      </c>
      <c r="H4331" t="s">
        <v>60</v>
      </c>
      <c r="J4331" t="s">
        <v>86</v>
      </c>
      <c r="L4331" t="s">
        <v>62</v>
      </c>
      <c r="M4331" t="s">
        <v>63</v>
      </c>
      <c r="N4331" t="s">
        <v>64</v>
      </c>
      <c r="P4331" t="s">
        <v>65</v>
      </c>
      <c r="Q4331" t="s">
        <v>153</v>
      </c>
      <c r="R4331">
        <v>100</v>
      </c>
      <c r="W4331" t="s">
        <v>66</v>
      </c>
      <c r="X4331" t="s">
        <v>67</v>
      </c>
      <c r="Y4331" t="s">
        <v>67</v>
      </c>
      <c r="Z4331" t="s">
        <v>68</v>
      </c>
      <c r="AB4331">
        <v>4</v>
      </c>
      <c r="AC4331" t="s">
        <v>61</v>
      </c>
      <c r="AJ4331" t="s">
        <v>69</v>
      </c>
      <c r="AY4331" t="s">
        <v>96</v>
      </c>
      <c r="AZ4331">
        <v>6797</v>
      </c>
      <c r="BA4331" t="s">
        <v>97</v>
      </c>
      <c r="BB4331" t="s">
        <v>98</v>
      </c>
      <c r="BC4331">
        <v>1986</v>
      </c>
      <c r="BD4331" t="s">
        <v>90</v>
      </c>
    </row>
    <row r="4332" spans="1:56" x14ac:dyDescent="0.35">
      <c r="A4332">
        <v>64700567</v>
      </c>
      <c r="B4332" t="s">
        <v>2941</v>
      </c>
      <c r="D4332" t="s">
        <v>85</v>
      </c>
      <c r="E4332" t="s">
        <v>86</v>
      </c>
      <c r="F4332" t="s">
        <v>58</v>
      </c>
      <c r="G4332" t="s">
        <v>59</v>
      </c>
      <c r="H4332" t="s">
        <v>60</v>
      </c>
      <c r="I4332" t="s">
        <v>188</v>
      </c>
      <c r="J4332" t="s">
        <v>86</v>
      </c>
      <c r="K4332" t="s">
        <v>61</v>
      </c>
      <c r="L4332" t="s">
        <v>62</v>
      </c>
      <c r="M4332" t="s">
        <v>63</v>
      </c>
      <c r="N4332" t="s">
        <v>64</v>
      </c>
      <c r="P4332" t="s">
        <v>65</v>
      </c>
      <c r="R4332">
        <v>1.1100000000000001</v>
      </c>
      <c r="W4332" t="s">
        <v>2833</v>
      </c>
      <c r="X4332" t="s">
        <v>67</v>
      </c>
      <c r="Y4332" t="s">
        <v>67</v>
      </c>
      <c r="Z4332" t="s">
        <v>68</v>
      </c>
      <c r="AB4332">
        <v>4</v>
      </c>
      <c r="AC4332" t="s">
        <v>61</v>
      </c>
      <c r="AJ4332" t="s">
        <v>69</v>
      </c>
      <c r="AY4332" t="s">
        <v>2834</v>
      </c>
      <c r="AZ4332">
        <v>160505</v>
      </c>
      <c r="BA4332" t="s">
        <v>2835</v>
      </c>
      <c r="BB4332" t="s">
        <v>2836</v>
      </c>
      <c r="BC4332">
        <v>2012</v>
      </c>
      <c r="BD4332" t="s">
        <v>2837</v>
      </c>
    </row>
    <row r="4333" spans="1:56" x14ac:dyDescent="0.35">
      <c r="A4333">
        <v>64700567</v>
      </c>
      <c r="B4333" t="s">
        <v>2941</v>
      </c>
      <c r="D4333" t="s">
        <v>85</v>
      </c>
      <c r="E4333" t="s">
        <v>86</v>
      </c>
      <c r="F4333" t="s">
        <v>58</v>
      </c>
      <c r="G4333" t="s">
        <v>59</v>
      </c>
      <c r="H4333" t="s">
        <v>60</v>
      </c>
      <c r="I4333" t="s">
        <v>188</v>
      </c>
      <c r="J4333" t="s">
        <v>86</v>
      </c>
      <c r="K4333" t="s">
        <v>61</v>
      </c>
      <c r="L4333" t="s">
        <v>62</v>
      </c>
      <c r="M4333" t="s">
        <v>63</v>
      </c>
      <c r="N4333" t="s">
        <v>64</v>
      </c>
      <c r="P4333" t="s">
        <v>65</v>
      </c>
      <c r="R4333">
        <v>1.1000000000000001</v>
      </c>
      <c r="W4333" t="s">
        <v>2833</v>
      </c>
      <c r="X4333" t="s">
        <v>67</v>
      </c>
      <c r="Y4333" t="s">
        <v>67</v>
      </c>
      <c r="Z4333" t="s">
        <v>68</v>
      </c>
      <c r="AB4333">
        <v>4</v>
      </c>
      <c r="AC4333" t="s">
        <v>61</v>
      </c>
      <c r="AJ4333" t="s">
        <v>69</v>
      </c>
      <c r="AY4333" t="s">
        <v>2834</v>
      </c>
      <c r="AZ4333">
        <v>160505</v>
      </c>
      <c r="BA4333" t="s">
        <v>2835</v>
      </c>
      <c r="BB4333" t="s">
        <v>2836</v>
      </c>
      <c r="BC4333">
        <v>2012</v>
      </c>
      <c r="BD4333" t="s">
        <v>2837</v>
      </c>
    </row>
    <row r="4334" spans="1:56" x14ac:dyDescent="0.35">
      <c r="A4334">
        <v>64902723</v>
      </c>
      <c r="B4334" t="s">
        <v>2942</v>
      </c>
      <c r="E4334">
        <v>91</v>
      </c>
      <c r="F4334" t="s">
        <v>58</v>
      </c>
      <c r="G4334" t="s">
        <v>59</v>
      </c>
      <c r="H4334" t="s">
        <v>60</v>
      </c>
      <c r="I4334" t="s">
        <v>129</v>
      </c>
      <c r="J4334" t="s">
        <v>86</v>
      </c>
      <c r="L4334" t="s">
        <v>62</v>
      </c>
      <c r="M4334" t="s">
        <v>63</v>
      </c>
      <c r="N4334" t="s">
        <v>64</v>
      </c>
      <c r="P4334" t="s">
        <v>65</v>
      </c>
      <c r="Q4334" t="s">
        <v>153</v>
      </c>
      <c r="R4334">
        <v>300</v>
      </c>
      <c r="W4334" t="s">
        <v>66</v>
      </c>
      <c r="X4334" t="s">
        <v>67</v>
      </c>
      <c r="Y4334" t="s">
        <v>67</v>
      </c>
      <c r="Z4334" t="s">
        <v>68</v>
      </c>
      <c r="AB4334">
        <v>4</v>
      </c>
      <c r="AC4334" t="s">
        <v>61</v>
      </c>
      <c r="AJ4334" t="s">
        <v>69</v>
      </c>
      <c r="AY4334" t="s">
        <v>116</v>
      </c>
      <c r="AZ4334">
        <v>344</v>
      </c>
      <c r="BA4334" t="s">
        <v>117</v>
      </c>
      <c r="BB4334" t="s">
        <v>118</v>
      </c>
      <c r="BC4334">
        <v>1992</v>
      </c>
      <c r="BD4334" t="s">
        <v>90</v>
      </c>
    </row>
    <row r="4335" spans="1:56" x14ac:dyDescent="0.35">
      <c r="A4335">
        <v>65337135</v>
      </c>
      <c r="B4335" t="s">
        <v>2943</v>
      </c>
      <c r="D4335" t="s">
        <v>57</v>
      </c>
      <c r="E4335">
        <v>99</v>
      </c>
      <c r="F4335" t="s">
        <v>58</v>
      </c>
      <c r="G4335" t="s">
        <v>59</v>
      </c>
      <c r="H4335" t="s">
        <v>60</v>
      </c>
      <c r="J4335">
        <v>30</v>
      </c>
      <c r="K4335" t="s">
        <v>61</v>
      </c>
      <c r="L4335" t="s">
        <v>74</v>
      </c>
      <c r="M4335" t="s">
        <v>63</v>
      </c>
      <c r="N4335" t="s">
        <v>64</v>
      </c>
      <c r="P4335" t="s">
        <v>65</v>
      </c>
      <c r="R4335">
        <v>11.7</v>
      </c>
      <c r="T4335">
        <v>10.8</v>
      </c>
      <c r="V4335">
        <v>12.6</v>
      </c>
      <c r="W4335" t="s">
        <v>66</v>
      </c>
      <c r="X4335" t="s">
        <v>67</v>
      </c>
      <c r="Y4335" t="s">
        <v>67</v>
      </c>
      <c r="Z4335" t="s">
        <v>68</v>
      </c>
      <c r="AB4335">
        <v>4</v>
      </c>
      <c r="AC4335" t="s">
        <v>61</v>
      </c>
      <c r="AJ4335" t="s">
        <v>69</v>
      </c>
      <c r="AY4335" t="s">
        <v>263</v>
      </c>
      <c r="AZ4335">
        <v>12858</v>
      </c>
      <c r="BA4335" t="s">
        <v>264</v>
      </c>
      <c r="BB4335" t="s">
        <v>265</v>
      </c>
      <c r="BC4335">
        <v>1986</v>
      </c>
      <c r="BD4335" t="s">
        <v>73</v>
      </c>
    </row>
    <row r="4336" spans="1:56" x14ac:dyDescent="0.35">
      <c r="A4336">
        <v>66230044</v>
      </c>
      <c r="B4336" t="s">
        <v>2944</v>
      </c>
      <c r="D4336" t="s">
        <v>85</v>
      </c>
      <c r="E4336" t="s">
        <v>86</v>
      </c>
      <c r="F4336" t="s">
        <v>58</v>
      </c>
      <c r="G4336" t="s">
        <v>59</v>
      </c>
      <c r="H4336" t="s">
        <v>60</v>
      </c>
      <c r="I4336" t="s">
        <v>188</v>
      </c>
      <c r="J4336">
        <v>48</v>
      </c>
      <c r="K4336" t="s">
        <v>184</v>
      </c>
      <c r="L4336" t="s">
        <v>190</v>
      </c>
      <c r="M4336" t="s">
        <v>63</v>
      </c>
      <c r="N4336" t="s">
        <v>64</v>
      </c>
      <c r="O4336" t="s">
        <v>381</v>
      </c>
      <c r="P4336" t="s">
        <v>100</v>
      </c>
      <c r="R4336">
        <v>2.5000000000000001E-4</v>
      </c>
      <c r="W4336" t="s">
        <v>66</v>
      </c>
      <c r="X4336" t="s">
        <v>67</v>
      </c>
      <c r="Y4336" t="s">
        <v>67</v>
      </c>
      <c r="Z4336" t="s">
        <v>68</v>
      </c>
      <c r="AB4336">
        <v>4</v>
      </c>
      <c r="AC4336" t="s">
        <v>61</v>
      </c>
      <c r="AJ4336" t="s">
        <v>69</v>
      </c>
      <c r="AY4336" t="s">
        <v>1415</v>
      </c>
      <c r="AZ4336">
        <v>65773</v>
      </c>
      <c r="BA4336" t="s">
        <v>1416</v>
      </c>
      <c r="BB4336" t="s">
        <v>1417</v>
      </c>
      <c r="BC4336">
        <v>2002</v>
      </c>
      <c r="BD4336" t="s">
        <v>185</v>
      </c>
    </row>
    <row r="4337" spans="1:56" x14ac:dyDescent="0.35">
      <c r="A4337">
        <v>66230044</v>
      </c>
      <c r="B4337" t="s">
        <v>2944</v>
      </c>
      <c r="D4337" t="s">
        <v>85</v>
      </c>
      <c r="E4337" t="s">
        <v>86</v>
      </c>
      <c r="F4337" t="s">
        <v>58</v>
      </c>
      <c r="G4337" t="s">
        <v>59</v>
      </c>
      <c r="H4337" t="s">
        <v>60</v>
      </c>
      <c r="J4337">
        <v>1</v>
      </c>
      <c r="K4337" t="s">
        <v>61</v>
      </c>
      <c r="L4337" t="s">
        <v>62</v>
      </c>
      <c r="M4337" t="s">
        <v>63</v>
      </c>
      <c r="N4337" t="s">
        <v>64</v>
      </c>
      <c r="P4337" t="s">
        <v>100</v>
      </c>
      <c r="R4337">
        <v>3.2000000000000003E-4</v>
      </c>
      <c r="T4337">
        <v>2.5999999999999998E-4</v>
      </c>
      <c r="V4337">
        <v>4.0000000000000002E-4</v>
      </c>
      <c r="W4337" t="s">
        <v>66</v>
      </c>
      <c r="X4337" t="s">
        <v>67</v>
      </c>
      <c r="Y4337" t="s">
        <v>67</v>
      </c>
      <c r="Z4337" t="s">
        <v>68</v>
      </c>
      <c r="AB4337">
        <v>4</v>
      </c>
      <c r="AC4337" t="s">
        <v>61</v>
      </c>
      <c r="AJ4337" t="s">
        <v>69</v>
      </c>
      <c r="AY4337" t="s">
        <v>658</v>
      </c>
      <c r="AZ4337">
        <v>14914</v>
      </c>
      <c r="BA4337" t="s">
        <v>659</v>
      </c>
      <c r="BB4337" t="s">
        <v>660</v>
      </c>
      <c r="BC4337">
        <v>1995</v>
      </c>
      <c r="BD4337" t="s">
        <v>73</v>
      </c>
    </row>
    <row r="4338" spans="1:56" x14ac:dyDescent="0.35">
      <c r="A4338">
        <v>66230044</v>
      </c>
      <c r="B4338" t="s">
        <v>2944</v>
      </c>
      <c r="D4338" t="s">
        <v>85</v>
      </c>
      <c r="E4338">
        <v>24</v>
      </c>
      <c r="F4338" t="s">
        <v>58</v>
      </c>
      <c r="G4338" t="s">
        <v>59</v>
      </c>
      <c r="H4338" t="s">
        <v>60</v>
      </c>
      <c r="I4338" t="s">
        <v>211</v>
      </c>
      <c r="J4338" t="s">
        <v>86</v>
      </c>
      <c r="L4338" t="s">
        <v>665</v>
      </c>
      <c r="M4338" t="s">
        <v>63</v>
      </c>
      <c r="N4338" t="s">
        <v>666</v>
      </c>
      <c r="O4338">
        <v>6</v>
      </c>
      <c r="P4338" t="s">
        <v>100</v>
      </c>
      <c r="R4338">
        <v>8.4999999999999995E-4</v>
      </c>
      <c r="T4338">
        <v>6.7000000000000002E-4</v>
      </c>
      <c r="V4338">
        <v>1.07E-3</v>
      </c>
      <c r="W4338" t="s">
        <v>66</v>
      </c>
      <c r="X4338" t="s">
        <v>67</v>
      </c>
      <c r="Y4338" t="s">
        <v>67</v>
      </c>
      <c r="Z4338" t="s">
        <v>68</v>
      </c>
      <c r="AB4338">
        <v>4</v>
      </c>
      <c r="AC4338" t="s">
        <v>61</v>
      </c>
      <c r="AJ4338" t="s">
        <v>69</v>
      </c>
      <c r="AY4338" t="s">
        <v>2945</v>
      </c>
      <c r="AZ4338">
        <v>19341</v>
      </c>
      <c r="BA4338" t="s">
        <v>2946</v>
      </c>
      <c r="BB4338" t="s">
        <v>2947</v>
      </c>
      <c r="BC4338">
        <v>1989</v>
      </c>
      <c r="BD4338" t="s">
        <v>90</v>
      </c>
    </row>
    <row r="4339" spans="1:56" x14ac:dyDescent="0.35">
      <c r="A4339">
        <v>66230044</v>
      </c>
      <c r="B4339" t="s">
        <v>2944</v>
      </c>
      <c r="D4339" t="s">
        <v>85</v>
      </c>
      <c r="E4339" t="s">
        <v>86</v>
      </c>
      <c r="F4339" t="s">
        <v>58</v>
      </c>
      <c r="G4339" t="s">
        <v>59</v>
      </c>
      <c r="H4339" t="s">
        <v>60</v>
      </c>
      <c r="J4339">
        <v>36</v>
      </c>
      <c r="K4339" t="s">
        <v>61</v>
      </c>
      <c r="L4339" t="s">
        <v>62</v>
      </c>
      <c r="M4339" t="s">
        <v>63</v>
      </c>
      <c r="N4339" t="s">
        <v>64</v>
      </c>
      <c r="P4339" t="s">
        <v>100</v>
      </c>
      <c r="R4339">
        <v>2.2000000000000001E-4</v>
      </c>
      <c r="T4339">
        <v>1.8000000000000001E-4</v>
      </c>
      <c r="V4339">
        <v>2.7E-4</v>
      </c>
      <c r="W4339" t="s">
        <v>66</v>
      </c>
      <c r="X4339" t="s">
        <v>67</v>
      </c>
      <c r="Y4339" t="s">
        <v>67</v>
      </c>
      <c r="Z4339" t="s">
        <v>68</v>
      </c>
      <c r="AB4339">
        <v>4</v>
      </c>
      <c r="AC4339" t="s">
        <v>61</v>
      </c>
      <c r="AJ4339" t="s">
        <v>69</v>
      </c>
      <c r="AY4339" t="s">
        <v>658</v>
      </c>
      <c r="AZ4339">
        <v>14914</v>
      </c>
      <c r="BA4339" t="s">
        <v>659</v>
      </c>
      <c r="BB4339" t="s">
        <v>660</v>
      </c>
      <c r="BC4339">
        <v>1995</v>
      </c>
      <c r="BD4339" t="s">
        <v>73</v>
      </c>
    </row>
    <row r="4340" spans="1:56" x14ac:dyDescent="0.35">
      <c r="A4340">
        <v>66230044</v>
      </c>
      <c r="B4340" t="s">
        <v>2944</v>
      </c>
      <c r="D4340" t="s">
        <v>85</v>
      </c>
      <c r="E4340" t="s">
        <v>86</v>
      </c>
      <c r="F4340" t="s">
        <v>58</v>
      </c>
      <c r="G4340" t="s">
        <v>59</v>
      </c>
      <c r="H4340" t="s">
        <v>60</v>
      </c>
      <c r="J4340" t="s">
        <v>86</v>
      </c>
      <c r="K4340" t="s">
        <v>61</v>
      </c>
      <c r="L4340" t="s">
        <v>62</v>
      </c>
      <c r="M4340" t="s">
        <v>63</v>
      </c>
      <c r="N4340" t="s">
        <v>64</v>
      </c>
      <c r="P4340" t="s">
        <v>100</v>
      </c>
      <c r="R4340">
        <v>2.3000000000000001E-4</v>
      </c>
      <c r="T4340">
        <v>2.0000000000000001E-4</v>
      </c>
      <c r="V4340">
        <v>2.7E-4</v>
      </c>
      <c r="W4340" t="s">
        <v>66</v>
      </c>
      <c r="X4340" t="s">
        <v>67</v>
      </c>
      <c r="Y4340" t="s">
        <v>67</v>
      </c>
      <c r="Z4340" t="s">
        <v>68</v>
      </c>
      <c r="AB4340">
        <v>4</v>
      </c>
      <c r="AC4340" t="s">
        <v>61</v>
      </c>
      <c r="AJ4340" t="s">
        <v>69</v>
      </c>
      <c r="AY4340" t="s">
        <v>658</v>
      </c>
      <c r="AZ4340">
        <v>14914</v>
      </c>
      <c r="BA4340" t="s">
        <v>659</v>
      </c>
      <c r="BB4340" t="s">
        <v>660</v>
      </c>
      <c r="BC4340">
        <v>1995</v>
      </c>
      <c r="BD4340" t="s">
        <v>2948</v>
      </c>
    </row>
    <row r="4341" spans="1:56" x14ac:dyDescent="0.35">
      <c r="A4341">
        <v>66230044</v>
      </c>
      <c r="B4341" t="s">
        <v>2944</v>
      </c>
      <c r="D4341" t="s">
        <v>85</v>
      </c>
      <c r="E4341">
        <v>24</v>
      </c>
      <c r="F4341" t="s">
        <v>58</v>
      </c>
      <c r="G4341" t="s">
        <v>59</v>
      </c>
      <c r="H4341" t="s">
        <v>60</v>
      </c>
      <c r="I4341" t="s">
        <v>188</v>
      </c>
      <c r="J4341" t="s">
        <v>86</v>
      </c>
      <c r="K4341" t="s">
        <v>61</v>
      </c>
      <c r="L4341" t="s">
        <v>62</v>
      </c>
      <c r="M4341" t="s">
        <v>63</v>
      </c>
      <c r="N4341" t="s">
        <v>64</v>
      </c>
      <c r="O4341">
        <v>6</v>
      </c>
      <c r="P4341" t="s">
        <v>65</v>
      </c>
      <c r="R4341">
        <v>2.3000000000000001E-4</v>
      </c>
      <c r="W4341" t="s">
        <v>66</v>
      </c>
      <c r="X4341" t="s">
        <v>67</v>
      </c>
      <c r="Y4341" t="s">
        <v>67</v>
      </c>
      <c r="Z4341" t="s">
        <v>68</v>
      </c>
      <c r="AB4341">
        <v>4</v>
      </c>
      <c r="AC4341" t="s">
        <v>61</v>
      </c>
      <c r="AJ4341" t="s">
        <v>69</v>
      </c>
      <c r="AY4341" t="s">
        <v>2945</v>
      </c>
      <c r="AZ4341">
        <v>19341</v>
      </c>
      <c r="BA4341" t="s">
        <v>2946</v>
      </c>
      <c r="BB4341" t="s">
        <v>2947</v>
      </c>
      <c r="BC4341">
        <v>1989</v>
      </c>
      <c r="BD4341" t="s">
        <v>2948</v>
      </c>
    </row>
    <row r="4342" spans="1:56" x14ac:dyDescent="0.35">
      <c r="A4342">
        <v>66230044</v>
      </c>
      <c r="B4342" t="s">
        <v>2944</v>
      </c>
      <c r="D4342" t="s">
        <v>57</v>
      </c>
      <c r="E4342">
        <v>98</v>
      </c>
      <c r="F4342" t="s">
        <v>58</v>
      </c>
      <c r="G4342" t="s">
        <v>59</v>
      </c>
      <c r="H4342" t="s">
        <v>60</v>
      </c>
      <c r="I4342" t="s">
        <v>188</v>
      </c>
      <c r="J4342">
        <v>7</v>
      </c>
      <c r="K4342" t="s">
        <v>61</v>
      </c>
      <c r="L4342" t="s">
        <v>190</v>
      </c>
      <c r="M4342" t="s">
        <v>63</v>
      </c>
      <c r="N4342" t="s">
        <v>64</v>
      </c>
      <c r="O4342">
        <v>2</v>
      </c>
      <c r="P4342" t="s">
        <v>65</v>
      </c>
      <c r="R4342">
        <v>2.0000000000000001E-4</v>
      </c>
      <c r="W4342" t="s">
        <v>66</v>
      </c>
      <c r="X4342" t="s">
        <v>67</v>
      </c>
      <c r="Y4342" t="s">
        <v>67</v>
      </c>
      <c r="Z4342" t="s">
        <v>68</v>
      </c>
      <c r="AB4342">
        <v>4</v>
      </c>
      <c r="AC4342" t="s">
        <v>61</v>
      </c>
      <c r="AJ4342" t="s">
        <v>69</v>
      </c>
      <c r="AY4342" t="s">
        <v>1424</v>
      </c>
      <c r="AZ4342">
        <v>68197</v>
      </c>
      <c r="BA4342" t="s">
        <v>1425</v>
      </c>
      <c r="BB4342" t="s">
        <v>1426</v>
      </c>
      <c r="BC4342">
        <v>2003</v>
      </c>
      <c r="BD4342" t="s">
        <v>73</v>
      </c>
    </row>
    <row r="4343" spans="1:56" x14ac:dyDescent="0.35">
      <c r="A4343">
        <v>66230044</v>
      </c>
      <c r="B4343" t="s">
        <v>2944</v>
      </c>
      <c r="D4343" t="s">
        <v>85</v>
      </c>
      <c r="E4343">
        <v>24</v>
      </c>
      <c r="F4343" t="s">
        <v>58</v>
      </c>
      <c r="G4343" t="s">
        <v>59</v>
      </c>
      <c r="H4343" t="s">
        <v>60</v>
      </c>
      <c r="I4343" t="s">
        <v>129</v>
      </c>
      <c r="J4343">
        <v>36</v>
      </c>
      <c r="K4343" t="s">
        <v>61</v>
      </c>
      <c r="L4343" t="s">
        <v>62</v>
      </c>
      <c r="M4343" t="s">
        <v>63</v>
      </c>
      <c r="N4343" t="s">
        <v>64</v>
      </c>
      <c r="O4343">
        <v>6</v>
      </c>
      <c r="P4343" t="s">
        <v>65</v>
      </c>
      <c r="R4343">
        <v>2.2000000000000001E-4</v>
      </c>
      <c r="W4343" t="s">
        <v>66</v>
      </c>
      <c r="X4343" t="s">
        <v>67</v>
      </c>
      <c r="Y4343" t="s">
        <v>67</v>
      </c>
      <c r="Z4343" t="s">
        <v>68</v>
      </c>
      <c r="AB4343">
        <v>4</v>
      </c>
      <c r="AC4343" t="s">
        <v>61</v>
      </c>
      <c r="AJ4343" t="s">
        <v>69</v>
      </c>
      <c r="AY4343" t="s">
        <v>2945</v>
      </c>
      <c r="AZ4343">
        <v>19341</v>
      </c>
      <c r="BA4343" t="s">
        <v>2946</v>
      </c>
      <c r="BB4343" t="s">
        <v>2947</v>
      </c>
      <c r="BC4343">
        <v>1989</v>
      </c>
      <c r="BD4343" t="s">
        <v>73</v>
      </c>
    </row>
    <row r="4344" spans="1:56" x14ac:dyDescent="0.35">
      <c r="A4344">
        <v>66230044</v>
      </c>
      <c r="B4344" t="s">
        <v>2944</v>
      </c>
      <c r="D4344" t="s">
        <v>85</v>
      </c>
      <c r="E4344">
        <v>24</v>
      </c>
      <c r="F4344" t="s">
        <v>58</v>
      </c>
      <c r="G4344" t="s">
        <v>59</v>
      </c>
      <c r="H4344" t="s">
        <v>60</v>
      </c>
      <c r="J4344">
        <v>1</v>
      </c>
      <c r="K4344" t="s">
        <v>61</v>
      </c>
      <c r="L4344" t="s">
        <v>62</v>
      </c>
      <c r="M4344" t="s">
        <v>63</v>
      </c>
      <c r="N4344" t="s">
        <v>64</v>
      </c>
      <c r="O4344">
        <v>6</v>
      </c>
      <c r="P4344" t="s">
        <v>65</v>
      </c>
      <c r="R4344">
        <v>3.2000000000000003E-4</v>
      </c>
      <c r="W4344" t="s">
        <v>66</v>
      </c>
      <c r="X4344" t="s">
        <v>67</v>
      </c>
      <c r="Y4344" t="s">
        <v>67</v>
      </c>
      <c r="Z4344" t="s">
        <v>68</v>
      </c>
      <c r="AB4344">
        <v>4</v>
      </c>
      <c r="AC4344" t="s">
        <v>61</v>
      </c>
      <c r="AJ4344" t="s">
        <v>69</v>
      </c>
      <c r="AY4344" t="s">
        <v>2945</v>
      </c>
      <c r="AZ4344">
        <v>19341</v>
      </c>
      <c r="BA4344" t="s">
        <v>2946</v>
      </c>
      <c r="BB4344" t="s">
        <v>2947</v>
      </c>
      <c r="BC4344">
        <v>1989</v>
      </c>
      <c r="BD4344" t="s">
        <v>73</v>
      </c>
    </row>
    <row r="4345" spans="1:56" x14ac:dyDescent="0.35">
      <c r="A4345">
        <v>66330889</v>
      </c>
      <c r="B4345" t="s">
        <v>2949</v>
      </c>
      <c r="D4345" t="s">
        <v>85</v>
      </c>
      <c r="E4345" t="s">
        <v>86</v>
      </c>
      <c r="F4345" t="s">
        <v>58</v>
      </c>
      <c r="G4345" t="s">
        <v>59</v>
      </c>
      <c r="H4345" t="s">
        <v>60</v>
      </c>
      <c r="I4345" t="s">
        <v>188</v>
      </c>
      <c r="J4345">
        <v>24</v>
      </c>
      <c r="K4345" t="s">
        <v>2950</v>
      </c>
      <c r="L4345" t="s">
        <v>190</v>
      </c>
      <c r="M4345" t="s">
        <v>63</v>
      </c>
      <c r="N4345" t="s">
        <v>64</v>
      </c>
      <c r="O4345">
        <v>6</v>
      </c>
      <c r="P4345" t="s">
        <v>65</v>
      </c>
      <c r="R4345">
        <v>0.39300000000000002</v>
      </c>
      <c r="W4345" t="s">
        <v>66</v>
      </c>
      <c r="X4345" t="s">
        <v>67</v>
      </c>
      <c r="Y4345" t="s">
        <v>67</v>
      </c>
      <c r="Z4345" t="s">
        <v>68</v>
      </c>
      <c r="AB4345">
        <v>4</v>
      </c>
      <c r="AC4345" t="s">
        <v>61</v>
      </c>
      <c r="AJ4345" t="s">
        <v>69</v>
      </c>
      <c r="AY4345" t="s">
        <v>2951</v>
      </c>
      <c r="AZ4345">
        <v>674</v>
      </c>
      <c r="BA4345" t="s">
        <v>2952</v>
      </c>
      <c r="BB4345" t="s">
        <v>2953</v>
      </c>
      <c r="BC4345">
        <v>1988</v>
      </c>
      <c r="BD4345" t="s">
        <v>2954</v>
      </c>
    </row>
    <row r="4346" spans="1:56" x14ac:dyDescent="0.35">
      <c r="A4346">
        <v>66330889</v>
      </c>
      <c r="B4346" t="s">
        <v>2949</v>
      </c>
      <c r="D4346" t="s">
        <v>85</v>
      </c>
      <c r="E4346" t="s">
        <v>86</v>
      </c>
      <c r="F4346" t="s">
        <v>58</v>
      </c>
      <c r="G4346" t="s">
        <v>59</v>
      </c>
      <c r="H4346" t="s">
        <v>60</v>
      </c>
      <c r="I4346" t="s">
        <v>188</v>
      </c>
      <c r="J4346">
        <v>24</v>
      </c>
      <c r="K4346" t="s">
        <v>2950</v>
      </c>
      <c r="L4346" t="s">
        <v>190</v>
      </c>
      <c r="M4346" t="s">
        <v>63</v>
      </c>
      <c r="N4346" t="s">
        <v>64</v>
      </c>
      <c r="O4346">
        <v>7</v>
      </c>
      <c r="P4346" t="s">
        <v>65</v>
      </c>
      <c r="R4346">
        <v>0.46800000000000003</v>
      </c>
      <c r="W4346" t="s">
        <v>66</v>
      </c>
      <c r="X4346" t="s">
        <v>67</v>
      </c>
      <c r="Y4346" t="s">
        <v>67</v>
      </c>
      <c r="Z4346" t="s">
        <v>68</v>
      </c>
      <c r="AB4346">
        <v>4</v>
      </c>
      <c r="AC4346" t="s">
        <v>61</v>
      </c>
      <c r="AJ4346" t="s">
        <v>69</v>
      </c>
      <c r="AY4346" t="s">
        <v>2951</v>
      </c>
      <c r="AZ4346">
        <v>674</v>
      </c>
      <c r="BA4346" t="s">
        <v>2952</v>
      </c>
      <c r="BB4346" t="s">
        <v>2953</v>
      </c>
      <c r="BC4346">
        <v>1988</v>
      </c>
      <c r="BD4346" t="s">
        <v>2954</v>
      </c>
    </row>
    <row r="4347" spans="1:56" x14ac:dyDescent="0.35">
      <c r="A4347">
        <v>66330889</v>
      </c>
      <c r="B4347" t="s">
        <v>2949</v>
      </c>
      <c r="E4347">
        <v>53</v>
      </c>
      <c r="F4347" t="s">
        <v>58</v>
      </c>
      <c r="G4347" t="s">
        <v>59</v>
      </c>
      <c r="H4347" t="s">
        <v>60</v>
      </c>
      <c r="J4347" t="s">
        <v>86</v>
      </c>
      <c r="L4347" t="s">
        <v>62</v>
      </c>
      <c r="M4347" t="s">
        <v>63</v>
      </c>
      <c r="N4347" t="s">
        <v>64</v>
      </c>
      <c r="P4347" t="s">
        <v>65</v>
      </c>
      <c r="R4347">
        <v>0.75</v>
      </c>
      <c r="W4347" t="s">
        <v>66</v>
      </c>
      <c r="X4347" t="s">
        <v>67</v>
      </c>
      <c r="Y4347" t="s">
        <v>67</v>
      </c>
      <c r="Z4347" t="s">
        <v>68</v>
      </c>
      <c r="AB4347">
        <v>4</v>
      </c>
      <c r="AC4347" t="s">
        <v>61</v>
      </c>
      <c r="AJ4347" t="s">
        <v>69</v>
      </c>
      <c r="AY4347" t="s">
        <v>96</v>
      </c>
      <c r="AZ4347">
        <v>6797</v>
      </c>
      <c r="BA4347" t="s">
        <v>97</v>
      </c>
      <c r="BB4347" t="s">
        <v>98</v>
      </c>
      <c r="BC4347">
        <v>1986</v>
      </c>
      <c r="BD4347" t="s">
        <v>90</v>
      </c>
    </row>
    <row r="4348" spans="1:56" x14ac:dyDescent="0.35">
      <c r="A4348">
        <v>66332965</v>
      </c>
      <c r="B4348" t="s">
        <v>2955</v>
      </c>
      <c r="E4348">
        <v>97.6</v>
      </c>
      <c r="F4348" t="s">
        <v>58</v>
      </c>
      <c r="G4348" t="s">
        <v>59</v>
      </c>
      <c r="H4348" t="s">
        <v>60</v>
      </c>
      <c r="J4348" t="s">
        <v>86</v>
      </c>
      <c r="L4348" t="s">
        <v>62</v>
      </c>
      <c r="M4348" t="s">
        <v>63</v>
      </c>
      <c r="N4348" t="s">
        <v>64</v>
      </c>
      <c r="P4348" t="s">
        <v>65</v>
      </c>
      <c r="R4348">
        <v>4.8</v>
      </c>
      <c r="T4348">
        <v>3.7</v>
      </c>
      <c r="V4348">
        <v>6.2</v>
      </c>
      <c r="W4348" t="s">
        <v>66</v>
      </c>
      <c r="X4348" t="s">
        <v>67</v>
      </c>
      <c r="Y4348" t="s">
        <v>67</v>
      </c>
      <c r="Z4348" t="s">
        <v>68</v>
      </c>
      <c r="AB4348">
        <v>4</v>
      </c>
      <c r="AC4348" t="s">
        <v>61</v>
      </c>
      <c r="AJ4348" t="s">
        <v>69</v>
      </c>
      <c r="AY4348" t="s">
        <v>116</v>
      </c>
      <c r="AZ4348">
        <v>344</v>
      </c>
      <c r="BA4348" t="s">
        <v>117</v>
      </c>
      <c r="BB4348" t="s">
        <v>118</v>
      </c>
      <c r="BC4348">
        <v>1992</v>
      </c>
      <c r="BD4348" t="s">
        <v>90</v>
      </c>
    </row>
    <row r="4349" spans="1:56" x14ac:dyDescent="0.35">
      <c r="A4349">
        <v>66441234</v>
      </c>
      <c r="B4349" t="s">
        <v>2956</v>
      </c>
      <c r="E4349">
        <v>12.5</v>
      </c>
      <c r="F4349" t="s">
        <v>58</v>
      </c>
      <c r="G4349" t="s">
        <v>59</v>
      </c>
      <c r="H4349" t="s">
        <v>60</v>
      </c>
      <c r="J4349" t="s">
        <v>86</v>
      </c>
      <c r="L4349" t="s">
        <v>62</v>
      </c>
      <c r="M4349" t="s">
        <v>63</v>
      </c>
      <c r="N4349" t="s">
        <v>64</v>
      </c>
      <c r="P4349" t="s">
        <v>100</v>
      </c>
      <c r="R4349">
        <v>7.12</v>
      </c>
      <c r="T4349">
        <v>6.51</v>
      </c>
      <c r="V4349">
        <v>7.82</v>
      </c>
      <c r="W4349" t="s">
        <v>66</v>
      </c>
      <c r="X4349" t="s">
        <v>67</v>
      </c>
      <c r="Y4349" t="s">
        <v>67</v>
      </c>
      <c r="Z4349" t="s">
        <v>68</v>
      </c>
      <c r="AB4349">
        <v>4</v>
      </c>
      <c r="AC4349" t="s">
        <v>61</v>
      </c>
      <c r="AJ4349" t="s">
        <v>69</v>
      </c>
      <c r="AY4349" t="s">
        <v>116</v>
      </c>
      <c r="AZ4349">
        <v>344</v>
      </c>
      <c r="BA4349" t="s">
        <v>117</v>
      </c>
      <c r="BB4349" t="s">
        <v>118</v>
      </c>
      <c r="BC4349">
        <v>1992</v>
      </c>
      <c r="BD4349" t="s">
        <v>90</v>
      </c>
    </row>
    <row r="4350" spans="1:56" x14ac:dyDescent="0.35">
      <c r="A4350">
        <v>66455149</v>
      </c>
      <c r="B4350" t="s">
        <v>2957</v>
      </c>
      <c r="C4350" t="s">
        <v>652</v>
      </c>
      <c r="D4350" t="s">
        <v>57</v>
      </c>
      <c r="E4350" t="s">
        <v>86</v>
      </c>
      <c r="F4350" t="s">
        <v>58</v>
      </c>
      <c r="G4350" t="s">
        <v>59</v>
      </c>
      <c r="H4350" t="s">
        <v>60</v>
      </c>
      <c r="J4350" t="s">
        <v>86</v>
      </c>
      <c r="L4350" t="s">
        <v>190</v>
      </c>
      <c r="M4350" t="s">
        <v>63</v>
      </c>
      <c r="N4350" t="s">
        <v>64</v>
      </c>
      <c r="P4350" t="s">
        <v>65</v>
      </c>
      <c r="R4350">
        <v>1</v>
      </c>
      <c r="T4350">
        <v>0.84</v>
      </c>
      <c r="V4350">
        <v>1.3</v>
      </c>
      <c r="W4350" t="s">
        <v>66</v>
      </c>
      <c r="X4350" t="s">
        <v>67</v>
      </c>
      <c r="Y4350" t="s">
        <v>67</v>
      </c>
      <c r="Z4350" t="s">
        <v>68</v>
      </c>
      <c r="AB4350">
        <v>4</v>
      </c>
      <c r="AC4350" t="s">
        <v>61</v>
      </c>
      <c r="AJ4350" t="s">
        <v>69</v>
      </c>
      <c r="AY4350" t="s">
        <v>2807</v>
      </c>
      <c r="AZ4350">
        <v>18155</v>
      </c>
      <c r="BA4350" t="s">
        <v>2808</v>
      </c>
      <c r="BB4350" t="s">
        <v>2809</v>
      </c>
      <c r="BC4350">
        <v>1997</v>
      </c>
      <c r="BD4350" t="s">
        <v>90</v>
      </c>
    </row>
    <row r="4351" spans="1:56" x14ac:dyDescent="0.35">
      <c r="A4351">
        <v>66455149</v>
      </c>
      <c r="B4351" t="s">
        <v>2957</v>
      </c>
      <c r="C4351" t="s">
        <v>652</v>
      </c>
      <c r="D4351" t="s">
        <v>57</v>
      </c>
      <c r="E4351" t="s">
        <v>86</v>
      </c>
      <c r="F4351" t="s">
        <v>58</v>
      </c>
      <c r="G4351" t="s">
        <v>59</v>
      </c>
      <c r="H4351" t="s">
        <v>60</v>
      </c>
      <c r="J4351" t="s">
        <v>86</v>
      </c>
      <c r="L4351" t="s">
        <v>190</v>
      </c>
      <c r="M4351" t="s">
        <v>63</v>
      </c>
      <c r="N4351" t="s">
        <v>64</v>
      </c>
      <c r="P4351" t="s">
        <v>65</v>
      </c>
      <c r="R4351">
        <v>0.96</v>
      </c>
      <c r="T4351">
        <v>0.73</v>
      </c>
      <c r="V4351">
        <v>1.6</v>
      </c>
      <c r="W4351" t="s">
        <v>66</v>
      </c>
      <c r="X4351" t="s">
        <v>67</v>
      </c>
      <c r="Y4351" t="s">
        <v>67</v>
      </c>
      <c r="Z4351" t="s">
        <v>68</v>
      </c>
      <c r="AB4351">
        <v>4</v>
      </c>
      <c r="AC4351" t="s">
        <v>61</v>
      </c>
      <c r="AJ4351" t="s">
        <v>69</v>
      </c>
      <c r="AY4351" t="s">
        <v>2807</v>
      </c>
      <c r="AZ4351">
        <v>18155</v>
      </c>
      <c r="BA4351" t="s">
        <v>2808</v>
      </c>
      <c r="BB4351" t="s">
        <v>2809</v>
      </c>
      <c r="BC4351">
        <v>1997</v>
      </c>
      <c r="BD4351" t="s">
        <v>90</v>
      </c>
    </row>
    <row r="4352" spans="1:56" x14ac:dyDescent="0.35">
      <c r="A4352">
        <v>66455149</v>
      </c>
      <c r="B4352" t="s">
        <v>2957</v>
      </c>
      <c r="C4352" t="s">
        <v>652</v>
      </c>
      <c r="D4352" t="s">
        <v>57</v>
      </c>
      <c r="E4352" t="s">
        <v>86</v>
      </c>
      <c r="F4352" t="s">
        <v>58</v>
      </c>
      <c r="G4352" t="s">
        <v>59</v>
      </c>
      <c r="H4352" t="s">
        <v>60</v>
      </c>
      <c r="J4352" t="s">
        <v>86</v>
      </c>
      <c r="L4352" t="s">
        <v>190</v>
      </c>
      <c r="M4352" t="s">
        <v>63</v>
      </c>
      <c r="N4352" t="s">
        <v>64</v>
      </c>
      <c r="P4352" t="s">
        <v>65</v>
      </c>
      <c r="R4352">
        <v>1.3</v>
      </c>
      <c r="T4352">
        <v>0.72</v>
      </c>
      <c r="V4352">
        <v>2.7</v>
      </c>
      <c r="W4352" t="s">
        <v>66</v>
      </c>
      <c r="X4352" t="s">
        <v>67</v>
      </c>
      <c r="Y4352" t="s">
        <v>67</v>
      </c>
      <c r="Z4352" t="s">
        <v>68</v>
      </c>
      <c r="AB4352">
        <v>4</v>
      </c>
      <c r="AC4352" t="s">
        <v>61</v>
      </c>
      <c r="AJ4352" t="s">
        <v>69</v>
      </c>
      <c r="AY4352" t="s">
        <v>2807</v>
      </c>
      <c r="AZ4352">
        <v>18155</v>
      </c>
      <c r="BA4352" t="s">
        <v>2808</v>
      </c>
      <c r="BB4352" t="s">
        <v>2809</v>
      </c>
      <c r="BC4352">
        <v>1997</v>
      </c>
      <c r="BD4352" t="s">
        <v>90</v>
      </c>
    </row>
    <row r="4353" spans="1:56" x14ac:dyDescent="0.35">
      <c r="A4353">
        <v>66594318</v>
      </c>
      <c r="B4353" t="s">
        <v>2958</v>
      </c>
      <c r="E4353">
        <v>100</v>
      </c>
      <c r="F4353" t="s">
        <v>58</v>
      </c>
      <c r="G4353" t="s">
        <v>59</v>
      </c>
      <c r="H4353" t="s">
        <v>60</v>
      </c>
      <c r="J4353" t="s">
        <v>86</v>
      </c>
      <c r="L4353" t="s">
        <v>62</v>
      </c>
      <c r="M4353" t="s">
        <v>63</v>
      </c>
      <c r="N4353" t="s">
        <v>64</v>
      </c>
      <c r="P4353" t="s">
        <v>65</v>
      </c>
      <c r="R4353">
        <v>1.3</v>
      </c>
      <c r="T4353">
        <v>0.5</v>
      </c>
      <c r="V4353">
        <v>3.2</v>
      </c>
      <c r="W4353" t="s">
        <v>66</v>
      </c>
      <c r="X4353" t="s">
        <v>67</v>
      </c>
      <c r="Y4353" t="s">
        <v>67</v>
      </c>
      <c r="Z4353" t="s">
        <v>68</v>
      </c>
      <c r="AB4353">
        <v>4</v>
      </c>
      <c r="AC4353" t="s">
        <v>61</v>
      </c>
      <c r="AJ4353" t="s">
        <v>69</v>
      </c>
      <c r="AY4353" t="s">
        <v>96</v>
      </c>
      <c r="AZ4353">
        <v>6797</v>
      </c>
      <c r="BA4353" t="s">
        <v>97</v>
      </c>
      <c r="BB4353" t="s">
        <v>98</v>
      </c>
      <c r="BC4353">
        <v>1986</v>
      </c>
      <c r="BD4353" t="s">
        <v>90</v>
      </c>
    </row>
    <row r="4354" spans="1:56" x14ac:dyDescent="0.35">
      <c r="A4354">
        <v>66594318</v>
      </c>
      <c r="B4354" t="s">
        <v>2958</v>
      </c>
      <c r="E4354">
        <v>100</v>
      </c>
      <c r="F4354" t="s">
        <v>58</v>
      </c>
      <c r="G4354" t="s">
        <v>59</v>
      </c>
      <c r="H4354" t="s">
        <v>60</v>
      </c>
      <c r="J4354" t="s">
        <v>86</v>
      </c>
      <c r="L4354" t="s">
        <v>74</v>
      </c>
      <c r="M4354" t="s">
        <v>63</v>
      </c>
      <c r="N4354" t="s">
        <v>64</v>
      </c>
      <c r="P4354" t="s">
        <v>65</v>
      </c>
      <c r="R4354">
        <v>2.1</v>
      </c>
      <c r="T4354">
        <v>1.8</v>
      </c>
      <c r="V4354">
        <v>2.2999999999999998</v>
      </c>
      <c r="W4354" t="s">
        <v>66</v>
      </c>
      <c r="X4354" t="s">
        <v>67</v>
      </c>
      <c r="Y4354" t="s">
        <v>67</v>
      </c>
      <c r="Z4354" t="s">
        <v>68</v>
      </c>
      <c r="AB4354">
        <v>4</v>
      </c>
      <c r="AC4354" t="s">
        <v>61</v>
      </c>
      <c r="AJ4354" t="s">
        <v>69</v>
      </c>
      <c r="AY4354" t="s">
        <v>96</v>
      </c>
      <c r="AZ4354">
        <v>6797</v>
      </c>
      <c r="BA4354" t="s">
        <v>97</v>
      </c>
      <c r="BB4354" t="s">
        <v>98</v>
      </c>
      <c r="BC4354">
        <v>1986</v>
      </c>
      <c r="BD4354" t="s">
        <v>90</v>
      </c>
    </row>
    <row r="4355" spans="1:56" x14ac:dyDescent="0.35">
      <c r="A4355">
        <v>66594318</v>
      </c>
      <c r="B4355" t="s">
        <v>2958</v>
      </c>
      <c r="D4355" t="s">
        <v>85</v>
      </c>
      <c r="E4355" t="s">
        <v>86</v>
      </c>
      <c r="F4355" t="s">
        <v>58</v>
      </c>
      <c r="G4355" t="s">
        <v>59</v>
      </c>
      <c r="H4355" t="s">
        <v>60</v>
      </c>
      <c r="J4355" t="s">
        <v>86</v>
      </c>
      <c r="L4355" t="s">
        <v>62</v>
      </c>
      <c r="M4355" t="s">
        <v>63</v>
      </c>
      <c r="N4355" t="s">
        <v>64</v>
      </c>
      <c r="P4355" t="s">
        <v>100</v>
      </c>
      <c r="R4355">
        <v>2</v>
      </c>
      <c r="T4355">
        <v>1.8</v>
      </c>
      <c r="V4355">
        <v>2.9</v>
      </c>
      <c r="W4355" t="s">
        <v>66</v>
      </c>
      <c r="X4355" t="s">
        <v>67</v>
      </c>
      <c r="Y4355" t="s">
        <v>67</v>
      </c>
      <c r="Z4355" t="s">
        <v>68</v>
      </c>
      <c r="AB4355">
        <v>4</v>
      </c>
      <c r="AC4355" t="s">
        <v>61</v>
      </c>
      <c r="AJ4355" t="s">
        <v>69</v>
      </c>
      <c r="AY4355" t="s">
        <v>2907</v>
      </c>
      <c r="AZ4355">
        <v>11702</v>
      </c>
      <c r="BA4355" t="s">
        <v>2908</v>
      </c>
      <c r="BB4355" t="s">
        <v>2909</v>
      </c>
      <c r="BC4355">
        <v>1986</v>
      </c>
      <c r="BD4355" t="s">
        <v>90</v>
      </c>
    </row>
    <row r="4356" spans="1:56" x14ac:dyDescent="0.35">
      <c r="A4356">
        <v>66594318</v>
      </c>
      <c r="B4356" t="s">
        <v>2958</v>
      </c>
      <c r="E4356">
        <v>100</v>
      </c>
      <c r="F4356" t="s">
        <v>58</v>
      </c>
      <c r="G4356" t="s">
        <v>59</v>
      </c>
      <c r="H4356" t="s">
        <v>60</v>
      </c>
      <c r="J4356" t="s">
        <v>86</v>
      </c>
      <c r="L4356" t="s">
        <v>62</v>
      </c>
      <c r="M4356" t="s">
        <v>63</v>
      </c>
      <c r="N4356" t="s">
        <v>64</v>
      </c>
      <c r="P4356" t="s">
        <v>65</v>
      </c>
      <c r="R4356">
        <v>2</v>
      </c>
      <c r="T4356">
        <v>1.4</v>
      </c>
      <c r="V4356">
        <v>2.9</v>
      </c>
      <c r="W4356" t="s">
        <v>66</v>
      </c>
      <c r="X4356" t="s">
        <v>67</v>
      </c>
      <c r="Y4356" t="s">
        <v>67</v>
      </c>
      <c r="Z4356" t="s">
        <v>68</v>
      </c>
      <c r="AB4356">
        <v>4</v>
      </c>
      <c r="AC4356" t="s">
        <v>61</v>
      </c>
      <c r="AJ4356" t="s">
        <v>69</v>
      </c>
      <c r="AY4356" t="s">
        <v>96</v>
      </c>
      <c r="AZ4356">
        <v>6797</v>
      </c>
      <c r="BA4356" t="s">
        <v>97</v>
      </c>
      <c r="BB4356" t="s">
        <v>98</v>
      </c>
      <c r="BC4356">
        <v>1986</v>
      </c>
      <c r="BD4356" t="s">
        <v>90</v>
      </c>
    </row>
    <row r="4357" spans="1:56" x14ac:dyDescent="0.35">
      <c r="A4357">
        <v>66594329</v>
      </c>
      <c r="B4357" t="s">
        <v>2959</v>
      </c>
      <c r="E4357">
        <v>100</v>
      </c>
      <c r="F4357" t="s">
        <v>58</v>
      </c>
      <c r="G4357" t="s">
        <v>59</v>
      </c>
      <c r="H4357" t="s">
        <v>60</v>
      </c>
      <c r="J4357" t="s">
        <v>86</v>
      </c>
      <c r="L4357" t="s">
        <v>62</v>
      </c>
      <c r="M4357" t="s">
        <v>63</v>
      </c>
      <c r="N4357" t="s">
        <v>64</v>
      </c>
      <c r="P4357" t="s">
        <v>65</v>
      </c>
      <c r="R4357">
        <v>46</v>
      </c>
      <c r="T4357">
        <v>25</v>
      </c>
      <c r="V4357">
        <v>85</v>
      </c>
      <c r="W4357" t="s">
        <v>66</v>
      </c>
      <c r="X4357" t="s">
        <v>67</v>
      </c>
      <c r="Y4357" t="s">
        <v>67</v>
      </c>
      <c r="Z4357" t="s">
        <v>68</v>
      </c>
      <c r="AB4357">
        <v>4</v>
      </c>
      <c r="AC4357" t="s">
        <v>61</v>
      </c>
      <c r="AJ4357" t="s">
        <v>69</v>
      </c>
      <c r="AY4357" t="s">
        <v>96</v>
      </c>
      <c r="AZ4357">
        <v>6797</v>
      </c>
      <c r="BA4357" t="s">
        <v>97</v>
      </c>
      <c r="BB4357" t="s">
        <v>98</v>
      </c>
      <c r="BC4357">
        <v>1986</v>
      </c>
      <c r="BD4357" t="s">
        <v>90</v>
      </c>
    </row>
    <row r="4358" spans="1:56" x14ac:dyDescent="0.35">
      <c r="A4358">
        <v>66797442</v>
      </c>
      <c r="B4358" t="s">
        <v>2960</v>
      </c>
      <c r="C4358" t="s">
        <v>2961</v>
      </c>
      <c r="D4358" t="s">
        <v>85</v>
      </c>
      <c r="E4358" t="s">
        <v>86</v>
      </c>
      <c r="F4358" t="s">
        <v>58</v>
      </c>
      <c r="G4358" t="s">
        <v>59</v>
      </c>
      <c r="H4358" t="s">
        <v>60</v>
      </c>
      <c r="J4358">
        <v>5</v>
      </c>
      <c r="K4358" t="s">
        <v>320</v>
      </c>
      <c r="L4358" t="s">
        <v>62</v>
      </c>
      <c r="M4358" t="s">
        <v>63</v>
      </c>
      <c r="N4358" t="s">
        <v>64</v>
      </c>
      <c r="O4358">
        <v>7</v>
      </c>
      <c r="P4358" t="s">
        <v>65</v>
      </c>
      <c r="R4358">
        <v>14.9</v>
      </c>
      <c r="T4358">
        <v>12.8</v>
      </c>
      <c r="V4358">
        <v>17.399999999999999</v>
      </c>
      <c r="W4358" t="s">
        <v>66</v>
      </c>
      <c r="X4358" t="s">
        <v>67</v>
      </c>
      <c r="Y4358" t="s">
        <v>67</v>
      </c>
      <c r="Z4358" t="s">
        <v>68</v>
      </c>
      <c r="AB4358">
        <v>4</v>
      </c>
      <c r="AC4358" t="s">
        <v>61</v>
      </c>
      <c r="AJ4358" t="s">
        <v>69</v>
      </c>
      <c r="AY4358" t="s">
        <v>1134</v>
      </c>
      <c r="AZ4358">
        <v>179719</v>
      </c>
      <c r="BA4358" t="s">
        <v>1135</v>
      </c>
      <c r="BB4358" t="s">
        <v>1136</v>
      </c>
      <c r="BC4358">
        <v>2000</v>
      </c>
      <c r="BD4358" t="s">
        <v>324</v>
      </c>
    </row>
    <row r="4359" spans="1:56" x14ac:dyDescent="0.35">
      <c r="A4359">
        <v>67426577</v>
      </c>
      <c r="B4359" t="s">
        <v>2962</v>
      </c>
      <c r="C4359" t="s">
        <v>2961</v>
      </c>
      <c r="D4359" t="s">
        <v>85</v>
      </c>
      <c r="E4359" t="s">
        <v>86</v>
      </c>
      <c r="F4359" t="s">
        <v>58</v>
      </c>
      <c r="G4359" t="s">
        <v>59</v>
      </c>
      <c r="H4359" t="s">
        <v>60</v>
      </c>
      <c r="J4359">
        <v>5</v>
      </c>
      <c r="K4359" t="s">
        <v>320</v>
      </c>
      <c r="L4359" t="s">
        <v>62</v>
      </c>
      <c r="M4359" t="s">
        <v>63</v>
      </c>
      <c r="N4359" t="s">
        <v>64</v>
      </c>
      <c r="O4359">
        <v>7</v>
      </c>
      <c r="P4359" t="s">
        <v>65</v>
      </c>
      <c r="R4359">
        <v>10.8</v>
      </c>
      <c r="T4359">
        <v>8</v>
      </c>
      <c r="V4359">
        <v>14.6</v>
      </c>
      <c r="W4359" t="s">
        <v>66</v>
      </c>
      <c r="X4359" t="s">
        <v>67</v>
      </c>
      <c r="Y4359" t="s">
        <v>67</v>
      </c>
      <c r="Z4359" t="s">
        <v>68</v>
      </c>
      <c r="AB4359">
        <v>4</v>
      </c>
      <c r="AC4359" t="s">
        <v>61</v>
      </c>
      <c r="AJ4359" t="s">
        <v>69</v>
      </c>
      <c r="AY4359" t="s">
        <v>1134</v>
      </c>
      <c r="AZ4359">
        <v>179719</v>
      </c>
      <c r="BA4359" t="s">
        <v>1135</v>
      </c>
      <c r="BB4359" t="s">
        <v>1136</v>
      </c>
      <c r="BC4359">
        <v>2000</v>
      </c>
      <c r="BD4359" t="s">
        <v>324</v>
      </c>
    </row>
    <row r="4360" spans="1:56" x14ac:dyDescent="0.35">
      <c r="A4360">
        <v>67485294</v>
      </c>
      <c r="B4360" t="s">
        <v>2963</v>
      </c>
      <c r="E4360">
        <v>97.7</v>
      </c>
      <c r="F4360" t="s">
        <v>58</v>
      </c>
      <c r="G4360" t="s">
        <v>59</v>
      </c>
      <c r="H4360" t="s">
        <v>60</v>
      </c>
      <c r="J4360" t="s">
        <v>86</v>
      </c>
      <c r="L4360" t="s">
        <v>62</v>
      </c>
      <c r="M4360" t="s">
        <v>63</v>
      </c>
      <c r="N4360" t="s">
        <v>64</v>
      </c>
      <c r="P4360" t="s">
        <v>65</v>
      </c>
      <c r="R4360">
        <v>7.4999999999999997E-2</v>
      </c>
      <c r="T4360">
        <v>5.8999999999999997E-2</v>
      </c>
      <c r="V4360">
        <v>9.6000000000000002E-2</v>
      </c>
      <c r="W4360" t="s">
        <v>66</v>
      </c>
      <c r="X4360" t="s">
        <v>67</v>
      </c>
      <c r="Y4360" t="s">
        <v>67</v>
      </c>
      <c r="Z4360" t="s">
        <v>68</v>
      </c>
      <c r="AB4360">
        <v>4</v>
      </c>
      <c r="AC4360" t="s">
        <v>61</v>
      </c>
      <c r="AJ4360" t="s">
        <v>69</v>
      </c>
      <c r="AY4360" t="s">
        <v>96</v>
      </c>
      <c r="AZ4360">
        <v>6797</v>
      </c>
      <c r="BA4360" t="s">
        <v>97</v>
      </c>
      <c r="BB4360" t="s">
        <v>98</v>
      </c>
      <c r="BC4360">
        <v>1986</v>
      </c>
      <c r="BD4360" t="s">
        <v>90</v>
      </c>
    </row>
    <row r="4361" spans="1:56" x14ac:dyDescent="0.35">
      <c r="A4361">
        <v>68131395</v>
      </c>
      <c r="B4361" t="s">
        <v>2964</v>
      </c>
      <c r="D4361" t="s">
        <v>57</v>
      </c>
      <c r="E4361" t="s">
        <v>86</v>
      </c>
      <c r="F4361" t="s">
        <v>58</v>
      </c>
      <c r="G4361" t="s">
        <v>59</v>
      </c>
      <c r="H4361" t="s">
        <v>60</v>
      </c>
      <c r="J4361" t="s">
        <v>86</v>
      </c>
      <c r="K4361" t="s">
        <v>61</v>
      </c>
      <c r="L4361" t="s">
        <v>190</v>
      </c>
      <c r="M4361" t="s">
        <v>63</v>
      </c>
      <c r="N4361" t="s">
        <v>64</v>
      </c>
      <c r="P4361" t="s">
        <v>65</v>
      </c>
      <c r="R4361">
        <v>1.6</v>
      </c>
      <c r="T4361">
        <v>1.3</v>
      </c>
      <c r="V4361">
        <v>1.8</v>
      </c>
      <c r="W4361" t="s">
        <v>66</v>
      </c>
      <c r="X4361" t="s">
        <v>67</v>
      </c>
      <c r="Y4361" t="s">
        <v>67</v>
      </c>
      <c r="Z4361" t="s">
        <v>68</v>
      </c>
      <c r="AB4361">
        <v>4</v>
      </c>
      <c r="AC4361" t="s">
        <v>61</v>
      </c>
      <c r="AJ4361" t="s">
        <v>69</v>
      </c>
      <c r="AY4361" t="s">
        <v>2009</v>
      </c>
      <c r="AZ4361">
        <v>20415</v>
      </c>
      <c r="BA4361" t="s">
        <v>2010</v>
      </c>
      <c r="BB4361" t="s">
        <v>2011</v>
      </c>
      <c r="BC4361">
        <v>1993</v>
      </c>
      <c r="BD4361" t="s">
        <v>2012</v>
      </c>
    </row>
    <row r="4362" spans="1:56" x14ac:dyDescent="0.35">
      <c r="A4362">
        <v>68131395</v>
      </c>
      <c r="B4362" t="s">
        <v>2964</v>
      </c>
      <c r="E4362">
        <v>99.9</v>
      </c>
      <c r="F4362" t="s">
        <v>58</v>
      </c>
      <c r="G4362" t="s">
        <v>59</v>
      </c>
      <c r="H4362" t="s">
        <v>60</v>
      </c>
      <c r="J4362" t="s">
        <v>86</v>
      </c>
      <c r="L4362" t="s">
        <v>62</v>
      </c>
      <c r="M4362" t="s">
        <v>63</v>
      </c>
      <c r="N4362" t="s">
        <v>64</v>
      </c>
      <c r="P4362" t="s">
        <v>65</v>
      </c>
      <c r="R4362">
        <v>3.62</v>
      </c>
      <c r="T4362">
        <v>2.4700000000000002</v>
      </c>
      <c r="V4362">
        <v>5.31</v>
      </c>
      <c r="W4362" t="s">
        <v>66</v>
      </c>
      <c r="X4362" t="s">
        <v>67</v>
      </c>
      <c r="Y4362" t="s">
        <v>67</v>
      </c>
      <c r="Z4362" t="s">
        <v>68</v>
      </c>
      <c r="AB4362">
        <v>4</v>
      </c>
      <c r="AC4362" t="s">
        <v>61</v>
      </c>
      <c r="AJ4362" t="s">
        <v>69</v>
      </c>
      <c r="AY4362" t="s">
        <v>96</v>
      </c>
      <c r="AZ4362">
        <v>6797</v>
      </c>
      <c r="BA4362" t="s">
        <v>97</v>
      </c>
      <c r="BB4362" t="s">
        <v>98</v>
      </c>
      <c r="BC4362">
        <v>1986</v>
      </c>
      <c r="BD4362" t="s">
        <v>90</v>
      </c>
    </row>
    <row r="4363" spans="1:56" x14ac:dyDescent="0.35">
      <c r="A4363">
        <v>68131395</v>
      </c>
      <c r="B4363" t="s">
        <v>2964</v>
      </c>
      <c r="C4363" t="s">
        <v>652</v>
      </c>
      <c r="D4363" t="s">
        <v>57</v>
      </c>
      <c r="E4363" t="s">
        <v>86</v>
      </c>
      <c r="F4363" t="s">
        <v>58</v>
      </c>
      <c r="G4363" t="s">
        <v>59</v>
      </c>
      <c r="H4363" t="s">
        <v>60</v>
      </c>
      <c r="J4363" t="s">
        <v>86</v>
      </c>
      <c r="L4363" t="s">
        <v>190</v>
      </c>
      <c r="M4363" t="s">
        <v>63</v>
      </c>
      <c r="N4363" t="s">
        <v>64</v>
      </c>
      <c r="P4363" t="s">
        <v>65</v>
      </c>
      <c r="R4363">
        <v>1.4</v>
      </c>
      <c r="T4363">
        <v>1.2</v>
      </c>
      <c r="V4363">
        <v>1.5</v>
      </c>
      <c r="W4363" t="s">
        <v>66</v>
      </c>
      <c r="X4363" t="s">
        <v>67</v>
      </c>
      <c r="Y4363" t="s">
        <v>67</v>
      </c>
      <c r="Z4363" t="s">
        <v>68</v>
      </c>
      <c r="AB4363">
        <v>4</v>
      </c>
      <c r="AC4363" t="s">
        <v>61</v>
      </c>
      <c r="AJ4363" t="s">
        <v>69</v>
      </c>
      <c r="AY4363" t="s">
        <v>2807</v>
      </c>
      <c r="AZ4363">
        <v>18155</v>
      </c>
      <c r="BA4363" t="s">
        <v>2808</v>
      </c>
      <c r="BB4363" t="s">
        <v>2809</v>
      </c>
      <c r="BC4363">
        <v>1997</v>
      </c>
      <c r="BD4363" t="s">
        <v>90</v>
      </c>
    </row>
    <row r="4364" spans="1:56" x14ac:dyDescent="0.35">
      <c r="A4364">
        <v>68131395</v>
      </c>
      <c r="B4364" t="s">
        <v>2964</v>
      </c>
      <c r="E4364">
        <v>100</v>
      </c>
      <c r="F4364" t="s">
        <v>58</v>
      </c>
      <c r="G4364" t="s">
        <v>59</v>
      </c>
      <c r="H4364" t="s">
        <v>60</v>
      </c>
      <c r="J4364" t="s">
        <v>86</v>
      </c>
      <c r="L4364" t="s">
        <v>62</v>
      </c>
      <c r="M4364" t="s">
        <v>63</v>
      </c>
      <c r="N4364" t="s">
        <v>64</v>
      </c>
      <c r="P4364" t="s">
        <v>65</v>
      </c>
      <c r="R4364">
        <v>1.58</v>
      </c>
      <c r="T4364">
        <v>1.1599999999999999</v>
      </c>
      <c r="V4364">
        <v>2.15</v>
      </c>
      <c r="W4364" t="s">
        <v>66</v>
      </c>
      <c r="X4364" t="s">
        <v>67</v>
      </c>
      <c r="Y4364" t="s">
        <v>67</v>
      </c>
      <c r="Z4364" t="s">
        <v>68</v>
      </c>
      <c r="AB4364">
        <v>4</v>
      </c>
      <c r="AC4364" t="s">
        <v>61</v>
      </c>
      <c r="AJ4364" t="s">
        <v>69</v>
      </c>
      <c r="AY4364" t="s">
        <v>96</v>
      </c>
      <c r="AZ4364">
        <v>6797</v>
      </c>
      <c r="BA4364" t="s">
        <v>97</v>
      </c>
      <c r="BB4364" t="s">
        <v>98</v>
      </c>
      <c r="BC4364">
        <v>1986</v>
      </c>
      <c r="BD4364" t="s">
        <v>90</v>
      </c>
    </row>
    <row r="4365" spans="1:56" x14ac:dyDescent="0.35">
      <c r="A4365">
        <v>68131395</v>
      </c>
      <c r="B4365" t="s">
        <v>2964</v>
      </c>
      <c r="E4365">
        <v>99.9</v>
      </c>
      <c r="F4365" t="s">
        <v>58</v>
      </c>
      <c r="G4365" t="s">
        <v>59</v>
      </c>
      <c r="H4365" t="s">
        <v>60</v>
      </c>
      <c r="J4365" t="s">
        <v>86</v>
      </c>
      <c r="L4365" t="s">
        <v>62</v>
      </c>
      <c r="M4365" t="s">
        <v>63</v>
      </c>
      <c r="N4365" t="s">
        <v>64</v>
      </c>
      <c r="P4365" t="s">
        <v>65</v>
      </c>
      <c r="R4365">
        <v>2.94</v>
      </c>
      <c r="T4365">
        <v>2.38</v>
      </c>
      <c r="V4365">
        <v>3.62</v>
      </c>
      <c r="W4365" t="s">
        <v>66</v>
      </c>
      <c r="X4365" t="s">
        <v>67</v>
      </c>
      <c r="Y4365" t="s">
        <v>67</v>
      </c>
      <c r="Z4365" t="s">
        <v>68</v>
      </c>
      <c r="AB4365">
        <v>4</v>
      </c>
      <c r="AC4365" t="s">
        <v>61</v>
      </c>
      <c r="AJ4365" t="s">
        <v>69</v>
      </c>
      <c r="AY4365" t="s">
        <v>96</v>
      </c>
      <c r="AZ4365">
        <v>6797</v>
      </c>
      <c r="BA4365" t="s">
        <v>97</v>
      </c>
      <c r="BB4365" t="s">
        <v>98</v>
      </c>
      <c r="BC4365">
        <v>1986</v>
      </c>
      <c r="BD4365" t="s">
        <v>90</v>
      </c>
    </row>
    <row r="4366" spans="1:56" x14ac:dyDescent="0.35">
      <c r="A4366">
        <v>68333799</v>
      </c>
      <c r="B4366" t="s">
        <v>2965</v>
      </c>
      <c r="D4366" t="s">
        <v>85</v>
      </c>
      <c r="E4366">
        <v>100</v>
      </c>
      <c r="F4366" t="s">
        <v>58</v>
      </c>
      <c r="G4366" t="s">
        <v>59</v>
      </c>
      <c r="H4366" t="s">
        <v>60</v>
      </c>
      <c r="I4366" t="s">
        <v>177</v>
      </c>
      <c r="J4366">
        <v>1</v>
      </c>
      <c r="K4366" t="s">
        <v>1027</v>
      </c>
      <c r="L4366" t="s">
        <v>62</v>
      </c>
      <c r="M4366" t="s">
        <v>63</v>
      </c>
      <c r="N4366" t="s">
        <v>64</v>
      </c>
      <c r="P4366" t="s">
        <v>100</v>
      </c>
      <c r="R4366">
        <v>1080</v>
      </c>
      <c r="T4366">
        <v>880</v>
      </c>
      <c r="V4366">
        <v>1353</v>
      </c>
      <c r="W4366" t="s">
        <v>66</v>
      </c>
      <c r="X4366" t="s">
        <v>67</v>
      </c>
      <c r="Y4366" t="s">
        <v>67</v>
      </c>
      <c r="Z4366" t="s">
        <v>68</v>
      </c>
      <c r="AB4366">
        <v>4</v>
      </c>
      <c r="AC4366" t="s">
        <v>61</v>
      </c>
      <c r="AJ4366" t="s">
        <v>69</v>
      </c>
      <c r="AY4366" t="s">
        <v>2793</v>
      </c>
      <c r="AZ4366">
        <v>17382</v>
      </c>
      <c r="BA4366" t="s">
        <v>2794</v>
      </c>
      <c r="BB4366" t="s">
        <v>2795</v>
      </c>
      <c r="BC4366">
        <v>1996</v>
      </c>
      <c r="BD4366" t="s">
        <v>1028</v>
      </c>
    </row>
    <row r="4367" spans="1:56" x14ac:dyDescent="0.35">
      <c r="A4367">
        <v>68333799</v>
      </c>
      <c r="B4367" t="s">
        <v>2965</v>
      </c>
      <c r="D4367" t="s">
        <v>85</v>
      </c>
      <c r="E4367">
        <v>100</v>
      </c>
      <c r="F4367" t="s">
        <v>58</v>
      </c>
      <c r="G4367" t="s">
        <v>59</v>
      </c>
      <c r="H4367" t="s">
        <v>60</v>
      </c>
      <c r="I4367" t="s">
        <v>177</v>
      </c>
      <c r="J4367">
        <v>1</v>
      </c>
      <c r="K4367" t="s">
        <v>1027</v>
      </c>
      <c r="L4367" t="s">
        <v>62</v>
      </c>
      <c r="M4367" t="s">
        <v>63</v>
      </c>
      <c r="N4367" t="s">
        <v>64</v>
      </c>
      <c r="P4367" t="s">
        <v>100</v>
      </c>
      <c r="R4367">
        <v>519</v>
      </c>
      <c r="T4367">
        <v>389</v>
      </c>
      <c r="V4367">
        <v>654</v>
      </c>
      <c r="W4367" t="s">
        <v>66</v>
      </c>
      <c r="X4367" t="s">
        <v>67</v>
      </c>
      <c r="Y4367" t="s">
        <v>67</v>
      </c>
      <c r="Z4367" t="s">
        <v>68</v>
      </c>
      <c r="AB4367">
        <v>4</v>
      </c>
      <c r="AC4367" t="s">
        <v>61</v>
      </c>
      <c r="AJ4367" t="s">
        <v>69</v>
      </c>
      <c r="AY4367" t="s">
        <v>2793</v>
      </c>
      <c r="AZ4367">
        <v>17382</v>
      </c>
      <c r="BA4367" t="s">
        <v>2794</v>
      </c>
      <c r="BB4367" t="s">
        <v>2795</v>
      </c>
      <c r="BC4367">
        <v>1996</v>
      </c>
      <c r="BD4367" t="s">
        <v>1028</v>
      </c>
    </row>
    <row r="4368" spans="1:56" x14ac:dyDescent="0.35">
      <c r="A4368">
        <v>68333799</v>
      </c>
      <c r="B4368" t="s">
        <v>2965</v>
      </c>
      <c r="D4368" t="s">
        <v>85</v>
      </c>
      <c r="E4368">
        <v>100</v>
      </c>
      <c r="F4368" t="s">
        <v>58</v>
      </c>
      <c r="G4368" t="s">
        <v>59</v>
      </c>
      <c r="H4368" t="s">
        <v>60</v>
      </c>
      <c r="I4368" t="s">
        <v>186</v>
      </c>
      <c r="J4368">
        <v>3</v>
      </c>
      <c r="K4368" t="s">
        <v>61</v>
      </c>
      <c r="L4368" t="s">
        <v>62</v>
      </c>
      <c r="M4368" t="s">
        <v>63</v>
      </c>
      <c r="N4368" t="s">
        <v>64</v>
      </c>
      <c r="P4368" t="s">
        <v>100</v>
      </c>
      <c r="R4368">
        <v>2317</v>
      </c>
      <c r="T4368">
        <v>1802</v>
      </c>
      <c r="V4368">
        <v>2830</v>
      </c>
      <c r="W4368" t="s">
        <v>66</v>
      </c>
      <c r="X4368" t="s">
        <v>67</v>
      </c>
      <c r="Y4368" t="s">
        <v>67</v>
      </c>
      <c r="Z4368" t="s">
        <v>68</v>
      </c>
      <c r="AB4368">
        <v>4</v>
      </c>
      <c r="AC4368" t="s">
        <v>61</v>
      </c>
      <c r="AJ4368" t="s">
        <v>69</v>
      </c>
      <c r="AY4368" t="s">
        <v>2793</v>
      </c>
      <c r="AZ4368">
        <v>17382</v>
      </c>
      <c r="BA4368" t="s">
        <v>2794</v>
      </c>
      <c r="BB4368" t="s">
        <v>2795</v>
      </c>
      <c r="BC4368">
        <v>1996</v>
      </c>
      <c r="BD4368" t="s">
        <v>73</v>
      </c>
    </row>
    <row r="4369" spans="1:56" x14ac:dyDescent="0.35">
      <c r="A4369">
        <v>68333799</v>
      </c>
      <c r="B4369" t="s">
        <v>2965</v>
      </c>
      <c r="D4369" t="s">
        <v>85</v>
      </c>
      <c r="E4369">
        <v>100</v>
      </c>
      <c r="F4369" t="s">
        <v>58</v>
      </c>
      <c r="G4369" t="s">
        <v>59</v>
      </c>
      <c r="H4369" t="s">
        <v>60</v>
      </c>
      <c r="I4369" t="s">
        <v>129</v>
      </c>
      <c r="J4369" t="s">
        <v>86</v>
      </c>
      <c r="K4369" t="s">
        <v>1027</v>
      </c>
      <c r="L4369" t="s">
        <v>62</v>
      </c>
      <c r="M4369" t="s">
        <v>63</v>
      </c>
      <c r="N4369" t="s">
        <v>64</v>
      </c>
      <c r="P4369" t="s">
        <v>100</v>
      </c>
      <c r="R4369">
        <v>1676</v>
      </c>
      <c r="T4369">
        <v>1300</v>
      </c>
      <c r="V4369">
        <v>2160</v>
      </c>
      <c r="W4369" t="s">
        <v>66</v>
      </c>
      <c r="X4369" t="s">
        <v>67</v>
      </c>
      <c r="Y4369" t="s">
        <v>67</v>
      </c>
      <c r="Z4369" t="s">
        <v>68</v>
      </c>
      <c r="AB4369">
        <v>4</v>
      </c>
      <c r="AC4369" t="s">
        <v>61</v>
      </c>
      <c r="AJ4369" t="s">
        <v>69</v>
      </c>
      <c r="AY4369" t="s">
        <v>2793</v>
      </c>
      <c r="AZ4369">
        <v>17382</v>
      </c>
      <c r="BA4369" t="s">
        <v>2794</v>
      </c>
      <c r="BB4369" t="s">
        <v>2795</v>
      </c>
      <c r="BC4369">
        <v>1996</v>
      </c>
      <c r="BD4369" t="s">
        <v>2796</v>
      </c>
    </row>
    <row r="4370" spans="1:56" x14ac:dyDescent="0.35">
      <c r="A4370">
        <v>68333799</v>
      </c>
      <c r="B4370" t="s">
        <v>2965</v>
      </c>
      <c r="D4370" t="s">
        <v>85</v>
      </c>
      <c r="E4370">
        <v>100</v>
      </c>
      <c r="F4370" t="s">
        <v>58</v>
      </c>
      <c r="G4370" t="s">
        <v>59</v>
      </c>
      <c r="H4370" t="s">
        <v>60</v>
      </c>
      <c r="I4370" t="s">
        <v>186</v>
      </c>
      <c r="J4370">
        <v>3</v>
      </c>
      <c r="K4370" t="s">
        <v>61</v>
      </c>
      <c r="L4370" t="s">
        <v>62</v>
      </c>
      <c r="M4370" t="s">
        <v>63</v>
      </c>
      <c r="N4370" t="s">
        <v>64</v>
      </c>
      <c r="P4370" t="s">
        <v>100</v>
      </c>
      <c r="R4370">
        <v>6705</v>
      </c>
      <c r="T4370">
        <v>5720</v>
      </c>
      <c r="V4370">
        <v>8281</v>
      </c>
      <c r="W4370" t="s">
        <v>66</v>
      </c>
      <c r="X4370" t="s">
        <v>67</v>
      </c>
      <c r="Y4370" t="s">
        <v>67</v>
      </c>
      <c r="Z4370" t="s">
        <v>68</v>
      </c>
      <c r="AB4370">
        <v>4</v>
      </c>
      <c r="AC4370" t="s">
        <v>61</v>
      </c>
      <c r="AJ4370" t="s">
        <v>69</v>
      </c>
      <c r="AY4370" t="s">
        <v>2793</v>
      </c>
      <c r="AZ4370">
        <v>17382</v>
      </c>
      <c r="BA4370" t="s">
        <v>2794</v>
      </c>
      <c r="BB4370" t="s">
        <v>2795</v>
      </c>
      <c r="BC4370">
        <v>1996</v>
      </c>
      <c r="BD4370" t="s">
        <v>73</v>
      </c>
    </row>
    <row r="4371" spans="1:56" x14ac:dyDescent="0.35">
      <c r="A4371">
        <v>68333799</v>
      </c>
      <c r="B4371" t="s">
        <v>2965</v>
      </c>
      <c r="D4371" t="s">
        <v>85</v>
      </c>
      <c r="E4371">
        <v>100</v>
      </c>
      <c r="F4371" t="s">
        <v>58</v>
      </c>
      <c r="G4371" t="s">
        <v>59</v>
      </c>
      <c r="H4371" t="s">
        <v>60</v>
      </c>
      <c r="I4371" t="s">
        <v>129</v>
      </c>
      <c r="J4371" t="s">
        <v>86</v>
      </c>
      <c r="K4371" t="s">
        <v>1027</v>
      </c>
      <c r="L4371" t="s">
        <v>62</v>
      </c>
      <c r="M4371" t="s">
        <v>63</v>
      </c>
      <c r="N4371" t="s">
        <v>64</v>
      </c>
      <c r="P4371" t="s">
        <v>100</v>
      </c>
      <c r="R4371">
        <v>1797</v>
      </c>
      <c r="T4371">
        <v>1466</v>
      </c>
      <c r="V4371">
        <v>2247</v>
      </c>
      <c r="W4371" t="s">
        <v>66</v>
      </c>
      <c r="X4371" t="s">
        <v>67</v>
      </c>
      <c r="Y4371" t="s">
        <v>67</v>
      </c>
      <c r="Z4371" t="s">
        <v>68</v>
      </c>
      <c r="AB4371">
        <v>4</v>
      </c>
      <c r="AC4371" t="s">
        <v>61</v>
      </c>
      <c r="AJ4371" t="s">
        <v>69</v>
      </c>
      <c r="AY4371" t="s">
        <v>2793</v>
      </c>
      <c r="AZ4371">
        <v>17382</v>
      </c>
      <c r="BA4371" t="s">
        <v>2794</v>
      </c>
      <c r="BB4371" t="s">
        <v>2795</v>
      </c>
      <c r="BC4371">
        <v>1996</v>
      </c>
      <c r="BD4371" t="s">
        <v>2797</v>
      </c>
    </row>
    <row r="4372" spans="1:56" x14ac:dyDescent="0.35">
      <c r="A4372">
        <v>68333799</v>
      </c>
      <c r="B4372" t="s">
        <v>2965</v>
      </c>
      <c r="D4372" t="s">
        <v>85</v>
      </c>
      <c r="E4372">
        <v>100</v>
      </c>
      <c r="F4372" t="s">
        <v>58</v>
      </c>
      <c r="G4372" t="s">
        <v>59</v>
      </c>
      <c r="H4372" t="s">
        <v>60</v>
      </c>
      <c r="I4372" t="s">
        <v>129</v>
      </c>
      <c r="J4372" t="s">
        <v>86</v>
      </c>
      <c r="K4372" t="s">
        <v>1027</v>
      </c>
      <c r="L4372" t="s">
        <v>62</v>
      </c>
      <c r="M4372" t="s">
        <v>63</v>
      </c>
      <c r="N4372" t="s">
        <v>64</v>
      </c>
      <c r="P4372" t="s">
        <v>100</v>
      </c>
      <c r="R4372">
        <v>1181</v>
      </c>
      <c r="T4372">
        <v>937</v>
      </c>
      <c r="V4372">
        <v>1584</v>
      </c>
      <c r="W4372" t="s">
        <v>66</v>
      </c>
      <c r="X4372" t="s">
        <v>67</v>
      </c>
      <c r="Y4372" t="s">
        <v>67</v>
      </c>
      <c r="Z4372" t="s">
        <v>68</v>
      </c>
      <c r="AB4372">
        <v>4</v>
      </c>
      <c r="AC4372" t="s">
        <v>61</v>
      </c>
      <c r="AJ4372" t="s">
        <v>69</v>
      </c>
      <c r="AY4372" t="s">
        <v>2793</v>
      </c>
      <c r="AZ4372">
        <v>17382</v>
      </c>
      <c r="BA4372" t="s">
        <v>2794</v>
      </c>
      <c r="BB4372" t="s">
        <v>2795</v>
      </c>
      <c r="BC4372">
        <v>1996</v>
      </c>
      <c r="BD4372" t="s">
        <v>2798</v>
      </c>
    </row>
    <row r="4373" spans="1:56" x14ac:dyDescent="0.35">
      <c r="A4373">
        <v>68333799</v>
      </c>
      <c r="B4373" t="s">
        <v>2965</v>
      </c>
      <c r="D4373" t="s">
        <v>85</v>
      </c>
      <c r="E4373">
        <v>100</v>
      </c>
      <c r="F4373" t="s">
        <v>58</v>
      </c>
      <c r="G4373" t="s">
        <v>59</v>
      </c>
      <c r="H4373" t="s">
        <v>60</v>
      </c>
      <c r="I4373" t="s">
        <v>129</v>
      </c>
      <c r="J4373" t="s">
        <v>86</v>
      </c>
      <c r="K4373" t="s">
        <v>1027</v>
      </c>
      <c r="L4373" t="s">
        <v>62</v>
      </c>
      <c r="M4373" t="s">
        <v>63</v>
      </c>
      <c r="N4373" t="s">
        <v>64</v>
      </c>
      <c r="P4373" t="s">
        <v>100</v>
      </c>
      <c r="R4373">
        <v>1676</v>
      </c>
      <c r="T4373">
        <v>1300</v>
      </c>
      <c r="V4373">
        <v>2160</v>
      </c>
      <c r="W4373" t="s">
        <v>66</v>
      </c>
      <c r="X4373" t="s">
        <v>67</v>
      </c>
      <c r="Y4373" t="s">
        <v>67</v>
      </c>
      <c r="Z4373" t="s">
        <v>68</v>
      </c>
      <c r="AB4373">
        <v>4</v>
      </c>
      <c r="AC4373" t="s">
        <v>61</v>
      </c>
      <c r="AJ4373" t="s">
        <v>69</v>
      </c>
      <c r="AY4373" t="s">
        <v>2793</v>
      </c>
      <c r="AZ4373">
        <v>17382</v>
      </c>
      <c r="BA4373" t="s">
        <v>2794</v>
      </c>
      <c r="BB4373" t="s">
        <v>2795</v>
      </c>
      <c r="BC4373">
        <v>1996</v>
      </c>
      <c r="BD4373" t="s">
        <v>2797</v>
      </c>
    </row>
    <row r="4374" spans="1:56" x14ac:dyDescent="0.35">
      <c r="A4374">
        <v>68359375</v>
      </c>
      <c r="B4374" t="s">
        <v>2966</v>
      </c>
      <c r="D4374" t="s">
        <v>57</v>
      </c>
      <c r="E4374" t="s">
        <v>86</v>
      </c>
      <c r="F4374" t="s">
        <v>58</v>
      </c>
      <c r="G4374" t="s">
        <v>59</v>
      </c>
      <c r="H4374" t="s">
        <v>60</v>
      </c>
      <c r="J4374" t="s">
        <v>2967</v>
      </c>
      <c r="K4374" t="s">
        <v>184</v>
      </c>
      <c r="L4374" t="s">
        <v>62</v>
      </c>
      <c r="M4374" t="s">
        <v>63</v>
      </c>
      <c r="N4374" t="s">
        <v>64</v>
      </c>
      <c r="P4374" t="s">
        <v>65</v>
      </c>
      <c r="R4374">
        <v>1.08E-3</v>
      </c>
      <c r="W4374" t="s">
        <v>66</v>
      </c>
      <c r="X4374" t="s">
        <v>67</v>
      </c>
      <c r="Y4374" t="s">
        <v>67</v>
      </c>
      <c r="Z4374" t="s">
        <v>68</v>
      </c>
      <c r="AB4374">
        <v>4</v>
      </c>
      <c r="AC4374" t="s">
        <v>61</v>
      </c>
      <c r="AJ4374" t="s">
        <v>69</v>
      </c>
      <c r="AY4374" t="s">
        <v>2968</v>
      </c>
      <c r="AZ4374">
        <v>81341</v>
      </c>
      <c r="BA4374" t="s">
        <v>2969</v>
      </c>
      <c r="BB4374" t="s">
        <v>2970</v>
      </c>
      <c r="BC4374">
        <v>1994</v>
      </c>
      <c r="BD4374" t="s">
        <v>185</v>
      </c>
    </row>
    <row r="4375" spans="1:56" x14ac:dyDescent="0.35">
      <c r="A4375">
        <v>68359375</v>
      </c>
      <c r="B4375" t="s">
        <v>2966</v>
      </c>
      <c r="D4375" t="s">
        <v>85</v>
      </c>
      <c r="E4375">
        <v>98</v>
      </c>
      <c r="F4375" t="s">
        <v>58</v>
      </c>
      <c r="G4375" t="s">
        <v>59</v>
      </c>
      <c r="H4375" t="s">
        <v>60</v>
      </c>
      <c r="J4375" t="s">
        <v>86</v>
      </c>
      <c r="L4375" t="s">
        <v>476</v>
      </c>
      <c r="M4375" t="s">
        <v>63</v>
      </c>
      <c r="N4375" t="s">
        <v>64</v>
      </c>
      <c r="P4375" t="s">
        <v>65</v>
      </c>
      <c r="R4375">
        <v>1.2099999999999999E-3</v>
      </c>
      <c r="T4375">
        <v>1.01E-3</v>
      </c>
      <c r="V4375">
        <v>1.8E-3</v>
      </c>
      <c r="W4375" t="s">
        <v>66</v>
      </c>
      <c r="X4375" t="s">
        <v>67</v>
      </c>
      <c r="Y4375" t="s">
        <v>67</v>
      </c>
      <c r="Z4375" t="s">
        <v>68</v>
      </c>
      <c r="AB4375">
        <v>4</v>
      </c>
      <c r="AC4375" t="s">
        <v>61</v>
      </c>
      <c r="AJ4375" t="s">
        <v>69</v>
      </c>
      <c r="AY4375" t="s">
        <v>2971</v>
      </c>
      <c r="AZ4375">
        <v>169751</v>
      </c>
      <c r="BA4375" t="s">
        <v>2972</v>
      </c>
      <c r="BB4375" t="s">
        <v>2973</v>
      </c>
      <c r="BC4375">
        <v>2015</v>
      </c>
      <c r="BD4375" t="s">
        <v>90</v>
      </c>
    </row>
    <row r="4376" spans="1:56" x14ac:dyDescent="0.35">
      <c r="A4376">
        <v>68424851</v>
      </c>
      <c r="B4376" t="s">
        <v>2974</v>
      </c>
      <c r="E4376">
        <v>50</v>
      </c>
      <c r="F4376" t="s">
        <v>58</v>
      </c>
      <c r="G4376" t="s">
        <v>59</v>
      </c>
      <c r="H4376" t="s">
        <v>60</v>
      </c>
      <c r="J4376" t="s">
        <v>86</v>
      </c>
      <c r="L4376" t="s">
        <v>62</v>
      </c>
      <c r="M4376" t="s">
        <v>63</v>
      </c>
      <c r="N4376" t="s">
        <v>64</v>
      </c>
      <c r="P4376" t="s">
        <v>100</v>
      </c>
      <c r="R4376">
        <v>0.98</v>
      </c>
      <c r="T4376">
        <v>0.89</v>
      </c>
      <c r="V4376">
        <v>1.08</v>
      </c>
      <c r="W4376" t="s">
        <v>66</v>
      </c>
      <c r="X4376" t="s">
        <v>67</v>
      </c>
      <c r="Y4376" t="s">
        <v>67</v>
      </c>
      <c r="Z4376" t="s">
        <v>68</v>
      </c>
      <c r="AB4376">
        <v>4</v>
      </c>
      <c r="AC4376" t="s">
        <v>61</v>
      </c>
      <c r="AJ4376" t="s">
        <v>69</v>
      </c>
      <c r="AY4376" t="s">
        <v>116</v>
      </c>
      <c r="AZ4376">
        <v>344</v>
      </c>
      <c r="BA4376" t="s">
        <v>117</v>
      </c>
      <c r="BB4376" t="s">
        <v>118</v>
      </c>
      <c r="BC4376">
        <v>1992</v>
      </c>
      <c r="BD4376" t="s">
        <v>90</v>
      </c>
    </row>
    <row r="4377" spans="1:56" x14ac:dyDescent="0.35">
      <c r="A4377">
        <v>68424851</v>
      </c>
      <c r="B4377" t="s">
        <v>2974</v>
      </c>
      <c r="E4377">
        <v>81.900000000000006</v>
      </c>
      <c r="F4377" t="s">
        <v>58</v>
      </c>
      <c r="G4377" t="s">
        <v>59</v>
      </c>
      <c r="H4377" t="s">
        <v>60</v>
      </c>
      <c r="J4377" t="s">
        <v>86</v>
      </c>
      <c r="L4377" t="s">
        <v>190</v>
      </c>
      <c r="M4377" t="s">
        <v>63</v>
      </c>
      <c r="N4377" t="s">
        <v>64</v>
      </c>
      <c r="P4377" t="s">
        <v>100</v>
      </c>
      <c r="R4377">
        <v>0.77</v>
      </c>
      <c r="T4377">
        <v>0.53</v>
      </c>
      <c r="V4377">
        <v>0.98</v>
      </c>
      <c r="W4377" t="s">
        <v>66</v>
      </c>
      <c r="X4377" t="s">
        <v>67</v>
      </c>
      <c r="Y4377" t="s">
        <v>67</v>
      </c>
      <c r="Z4377" t="s">
        <v>68</v>
      </c>
      <c r="AB4377">
        <v>4</v>
      </c>
      <c r="AC4377" t="s">
        <v>61</v>
      </c>
      <c r="AJ4377" t="s">
        <v>69</v>
      </c>
      <c r="AY4377" t="s">
        <v>116</v>
      </c>
      <c r="AZ4377">
        <v>344</v>
      </c>
      <c r="BA4377" t="s">
        <v>117</v>
      </c>
      <c r="BB4377" t="s">
        <v>118</v>
      </c>
      <c r="BC4377">
        <v>1992</v>
      </c>
      <c r="BD4377" t="s">
        <v>90</v>
      </c>
    </row>
    <row r="4378" spans="1:56" x14ac:dyDescent="0.35">
      <c r="A4378">
        <v>68424851</v>
      </c>
      <c r="B4378" t="s">
        <v>2974</v>
      </c>
      <c r="E4378">
        <v>81.900000000000006</v>
      </c>
      <c r="F4378" t="s">
        <v>58</v>
      </c>
      <c r="G4378" t="s">
        <v>59</v>
      </c>
      <c r="H4378" t="s">
        <v>60</v>
      </c>
      <c r="J4378" t="s">
        <v>86</v>
      </c>
      <c r="L4378" t="s">
        <v>190</v>
      </c>
      <c r="M4378" t="s">
        <v>63</v>
      </c>
      <c r="N4378" t="s">
        <v>64</v>
      </c>
      <c r="P4378" t="s">
        <v>100</v>
      </c>
      <c r="R4378">
        <v>0.28000000000000003</v>
      </c>
      <c r="T4378">
        <v>0.23</v>
      </c>
      <c r="V4378">
        <v>0.34</v>
      </c>
      <c r="W4378" t="s">
        <v>66</v>
      </c>
      <c r="X4378" t="s">
        <v>67</v>
      </c>
      <c r="Y4378" t="s">
        <v>67</v>
      </c>
      <c r="Z4378" t="s">
        <v>68</v>
      </c>
      <c r="AB4378">
        <v>4</v>
      </c>
      <c r="AC4378" t="s">
        <v>61</v>
      </c>
      <c r="AJ4378" t="s">
        <v>69</v>
      </c>
      <c r="AY4378" t="s">
        <v>116</v>
      </c>
      <c r="AZ4378">
        <v>344</v>
      </c>
      <c r="BA4378" t="s">
        <v>117</v>
      </c>
      <c r="BB4378" t="s">
        <v>118</v>
      </c>
      <c r="BC4378">
        <v>1992</v>
      </c>
      <c r="BD4378" t="s">
        <v>90</v>
      </c>
    </row>
    <row r="4379" spans="1:56" x14ac:dyDescent="0.35">
      <c r="A4379">
        <v>68424851</v>
      </c>
      <c r="B4379" t="s">
        <v>2974</v>
      </c>
      <c r="E4379">
        <v>81.900000000000006</v>
      </c>
      <c r="F4379" t="s">
        <v>58</v>
      </c>
      <c r="G4379" t="s">
        <v>59</v>
      </c>
      <c r="H4379" t="s">
        <v>60</v>
      </c>
      <c r="J4379" t="s">
        <v>86</v>
      </c>
      <c r="L4379" t="s">
        <v>190</v>
      </c>
      <c r="M4379" t="s">
        <v>63</v>
      </c>
      <c r="N4379" t="s">
        <v>64</v>
      </c>
      <c r="P4379" t="s">
        <v>100</v>
      </c>
      <c r="R4379">
        <v>1.4</v>
      </c>
      <c r="T4379">
        <v>0.99</v>
      </c>
      <c r="V4379">
        <v>1.8</v>
      </c>
      <c r="W4379" t="s">
        <v>66</v>
      </c>
      <c r="X4379" t="s">
        <v>67</v>
      </c>
      <c r="Y4379" t="s">
        <v>67</v>
      </c>
      <c r="Z4379" t="s">
        <v>68</v>
      </c>
      <c r="AB4379">
        <v>4</v>
      </c>
      <c r="AC4379" t="s">
        <v>61</v>
      </c>
      <c r="AJ4379" t="s">
        <v>69</v>
      </c>
      <c r="AY4379" t="s">
        <v>116</v>
      </c>
      <c r="AZ4379">
        <v>344</v>
      </c>
      <c r="BA4379" t="s">
        <v>117</v>
      </c>
      <c r="BB4379" t="s">
        <v>118</v>
      </c>
      <c r="BC4379">
        <v>1992</v>
      </c>
      <c r="BD4379" t="s">
        <v>90</v>
      </c>
    </row>
    <row r="4380" spans="1:56" x14ac:dyDescent="0.35">
      <c r="A4380">
        <v>68439463</v>
      </c>
      <c r="B4380" t="s">
        <v>2975</v>
      </c>
      <c r="C4380" t="s">
        <v>652</v>
      </c>
      <c r="D4380" t="s">
        <v>57</v>
      </c>
      <c r="E4380" t="s">
        <v>86</v>
      </c>
      <c r="F4380" t="s">
        <v>58</v>
      </c>
      <c r="G4380" t="s">
        <v>59</v>
      </c>
      <c r="H4380" t="s">
        <v>60</v>
      </c>
      <c r="J4380" t="s">
        <v>86</v>
      </c>
      <c r="L4380" t="s">
        <v>190</v>
      </c>
      <c r="M4380" t="s">
        <v>63</v>
      </c>
      <c r="N4380" t="s">
        <v>64</v>
      </c>
      <c r="P4380" t="s">
        <v>65</v>
      </c>
      <c r="R4380">
        <v>8.5</v>
      </c>
      <c r="T4380">
        <v>6</v>
      </c>
      <c r="V4380">
        <v>12</v>
      </c>
      <c r="W4380" t="s">
        <v>66</v>
      </c>
      <c r="X4380" t="s">
        <v>67</v>
      </c>
      <c r="Y4380" t="s">
        <v>67</v>
      </c>
      <c r="Z4380" t="s">
        <v>68</v>
      </c>
      <c r="AB4380">
        <v>4</v>
      </c>
      <c r="AC4380" t="s">
        <v>61</v>
      </c>
      <c r="AJ4380" t="s">
        <v>69</v>
      </c>
      <c r="AY4380" t="s">
        <v>2807</v>
      </c>
      <c r="AZ4380">
        <v>18155</v>
      </c>
      <c r="BA4380" t="s">
        <v>2808</v>
      </c>
      <c r="BB4380" t="s">
        <v>2809</v>
      </c>
      <c r="BC4380">
        <v>1997</v>
      </c>
      <c r="BD4380" t="s">
        <v>90</v>
      </c>
    </row>
    <row r="4381" spans="1:56" x14ac:dyDescent="0.35">
      <c r="A4381">
        <v>68439463</v>
      </c>
      <c r="B4381" t="s">
        <v>2975</v>
      </c>
      <c r="C4381" t="s">
        <v>652</v>
      </c>
      <c r="D4381" t="s">
        <v>57</v>
      </c>
      <c r="E4381" t="s">
        <v>86</v>
      </c>
      <c r="F4381" t="s">
        <v>58</v>
      </c>
      <c r="G4381" t="s">
        <v>59</v>
      </c>
      <c r="H4381" t="s">
        <v>60</v>
      </c>
      <c r="J4381" t="s">
        <v>86</v>
      </c>
      <c r="L4381" t="s">
        <v>190</v>
      </c>
      <c r="M4381" t="s">
        <v>63</v>
      </c>
      <c r="N4381" t="s">
        <v>64</v>
      </c>
      <c r="P4381" t="s">
        <v>65</v>
      </c>
      <c r="R4381">
        <v>11</v>
      </c>
      <c r="T4381">
        <v>8.5</v>
      </c>
      <c r="V4381">
        <v>17</v>
      </c>
      <c r="W4381" t="s">
        <v>66</v>
      </c>
      <c r="X4381" t="s">
        <v>67</v>
      </c>
      <c r="Y4381" t="s">
        <v>67</v>
      </c>
      <c r="Z4381" t="s">
        <v>68</v>
      </c>
      <c r="AB4381">
        <v>4</v>
      </c>
      <c r="AC4381" t="s">
        <v>61</v>
      </c>
      <c r="AJ4381" t="s">
        <v>69</v>
      </c>
      <c r="AY4381" t="s">
        <v>2807</v>
      </c>
      <c r="AZ4381">
        <v>18155</v>
      </c>
      <c r="BA4381" t="s">
        <v>2808</v>
      </c>
      <c r="BB4381" t="s">
        <v>2809</v>
      </c>
      <c r="BC4381">
        <v>1997</v>
      </c>
      <c r="BD4381" t="s">
        <v>90</v>
      </c>
    </row>
    <row r="4382" spans="1:56" x14ac:dyDescent="0.35">
      <c r="A4382">
        <v>68951677</v>
      </c>
      <c r="B4382" t="s">
        <v>2976</v>
      </c>
      <c r="D4382" t="s">
        <v>57</v>
      </c>
      <c r="E4382">
        <v>98.6</v>
      </c>
      <c r="F4382" t="s">
        <v>58</v>
      </c>
      <c r="G4382" t="s">
        <v>59</v>
      </c>
      <c r="H4382" t="s">
        <v>60</v>
      </c>
      <c r="I4382" t="s">
        <v>129</v>
      </c>
      <c r="J4382">
        <v>12</v>
      </c>
      <c r="K4382" t="s">
        <v>196</v>
      </c>
      <c r="L4382" t="s">
        <v>74</v>
      </c>
      <c r="M4382" t="s">
        <v>63</v>
      </c>
      <c r="N4382" t="s">
        <v>64</v>
      </c>
      <c r="P4382" t="s">
        <v>65</v>
      </c>
      <c r="R4382">
        <v>0.9</v>
      </c>
      <c r="T4382">
        <v>0.7</v>
      </c>
      <c r="V4382">
        <v>1.1000000000000001</v>
      </c>
      <c r="W4382" t="s">
        <v>66</v>
      </c>
      <c r="X4382" t="s">
        <v>67</v>
      </c>
      <c r="Y4382" t="s">
        <v>67</v>
      </c>
      <c r="Z4382" t="s">
        <v>68</v>
      </c>
      <c r="AB4382">
        <v>4</v>
      </c>
      <c r="AC4382" t="s">
        <v>61</v>
      </c>
      <c r="AJ4382" t="s">
        <v>69</v>
      </c>
      <c r="AY4382" t="s">
        <v>1339</v>
      </c>
      <c r="AZ4382">
        <v>17931</v>
      </c>
      <c r="BA4382" t="s">
        <v>1340</v>
      </c>
      <c r="BB4382" t="s">
        <v>1341</v>
      </c>
      <c r="BC4382">
        <v>1982</v>
      </c>
      <c r="BD4382" t="s">
        <v>200</v>
      </c>
    </row>
    <row r="4383" spans="1:56" x14ac:dyDescent="0.35">
      <c r="A4383">
        <v>68951677</v>
      </c>
      <c r="B4383" t="s">
        <v>2976</v>
      </c>
      <c r="C4383" t="s">
        <v>652</v>
      </c>
      <c r="D4383" t="s">
        <v>57</v>
      </c>
      <c r="E4383" t="s">
        <v>86</v>
      </c>
      <c r="F4383" t="s">
        <v>58</v>
      </c>
      <c r="G4383" t="s">
        <v>59</v>
      </c>
      <c r="H4383" t="s">
        <v>60</v>
      </c>
      <c r="J4383" t="s">
        <v>86</v>
      </c>
      <c r="L4383" t="s">
        <v>190</v>
      </c>
      <c r="M4383" t="s">
        <v>63</v>
      </c>
      <c r="N4383" t="s">
        <v>64</v>
      </c>
      <c r="P4383" t="s">
        <v>65</v>
      </c>
      <c r="R4383">
        <v>1</v>
      </c>
      <c r="T4383">
        <v>0.62</v>
      </c>
      <c r="V4383">
        <v>1.9</v>
      </c>
      <c r="W4383" t="s">
        <v>66</v>
      </c>
      <c r="X4383" t="s">
        <v>67</v>
      </c>
      <c r="Y4383" t="s">
        <v>67</v>
      </c>
      <c r="Z4383" t="s">
        <v>68</v>
      </c>
      <c r="AB4383">
        <v>4</v>
      </c>
      <c r="AC4383" t="s">
        <v>61</v>
      </c>
      <c r="AJ4383" t="s">
        <v>69</v>
      </c>
      <c r="AY4383" t="s">
        <v>2807</v>
      </c>
      <c r="AZ4383">
        <v>18155</v>
      </c>
      <c r="BA4383" t="s">
        <v>2808</v>
      </c>
      <c r="BB4383" t="s">
        <v>2809</v>
      </c>
      <c r="BC4383">
        <v>1997</v>
      </c>
      <c r="BD4383" t="s">
        <v>90</v>
      </c>
    </row>
    <row r="4384" spans="1:56" x14ac:dyDescent="0.35">
      <c r="A4384">
        <v>68951677</v>
      </c>
      <c r="B4384" t="s">
        <v>2976</v>
      </c>
      <c r="D4384" t="s">
        <v>85</v>
      </c>
      <c r="E4384" t="s">
        <v>86</v>
      </c>
      <c r="F4384" t="s">
        <v>58</v>
      </c>
      <c r="G4384" t="s">
        <v>59</v>
      </c>
      <c r="H4384" t="s">
        <v>60</v>
      </c>
      <c r="J4384" t="s">
        <v>86</v>
      </c>
      <c r="L4384" t="s">
        <v>62</v>
      </c>
      <c r="M4384" t="s">
        <v>63</v>
      </c>
      <c r="N4384" t="s">
        <v>64</v>
      </c>
      <c r="P4384" t="s">
        <v>100</v>
      </c>
      <c r="R4384">
        <v>1.2</v>
      </c>
      <c r="T4384">
        <v>1.1299999999999999</v>
      </c>
      <c r="V4384">
        <v>1.26</v>
      </c>
      <c r="W4384" t="s">
        <v>66</v>
      </c>
      <c r="X4384" t="s">
        <v>67</v>
      </c>
      <c r="Y4384" t="s">
        <v>67</v>
      </c>
      <c r="Z4384" t="s">
        <v>68</v>
      </c>
      <c r="AB4384">
        <v>4</v>
      </c>
      <c r="AC4384" t="s">
        <v>61</v>
      </c>
      <c r="AJ4384" t="s">
        <v>69</v>
      </c>
      <c r="AY4384" t="s">
        <v>2977</v>
      </c>
      <c r="AZ4384">
        <v>5933</v>
      </c>
      <c r="BA4384" t="s">
        <v>2978</v>
      </c>
      <c r="BB4384" t="s">
        <v>2979</v>
      </c>
      <c r="BC4384">
        <v>1979</v>
      </c>
      <c r="BD4384" t="s">
        <v>90</v>
      </c>
    </row>
    <row r="4385" spans="1:56" x14ac:dyDescent="0.35">
      <c r="A4385">
        <v>68951677</v>
      </c>
      <c r="B4385" t="s">
        <v>2976</v>
      </c>
      <c r="D4385" t="s">
        <v>57</v>
      </c>
      <c r="E4385">
        <v>98.6</v>
      </c>
      <c r="F4385" t="s">
        <v>58</v>
      </c>
      <c r="G4385" t="s">
        <v>59</v>
      </c>
      <c r="H4385" t="s">
        <v>60</v>
      </c>
      <c r="I4385" t="s">
        <v>211</v>
      </c>
      <c r="J4385">
        <v>20</v>
      </c>
      <c r="K4385" t="s">
        <v>196</v>
      </c>
      <c r="L4385" t="s">
        <v>74</v>
      </c>
      <c r="M4385" t="s">
        <v>63</v>
      </c>
      <c r="N4385" t="s">
        <v>64</v>
      </c>
      <c r="P4385" t="s">
        <v>65</v>
      </c>
      <c r="R4385">
        <v>0.9</v>
      </c>
      <c r="T4385">
        <v>0.7</v>
      </c>
      <c r="V4385">
        <v>1</v>
      </c>
      <c r="W4385" t="s">
        <v>66</v>
      </c>
      <c r="X4385" t="s">
        <v>67</v>
      </c>
      <c r="Y4385" t="s">
        <v>67</v>
      </c>
      <c r="Z4385" t="s">
        <v>68</v>
      </c>
      <c r="AB4385">
        <v>4</v>
      </c>
      <c r="AC4385" t="s">
        <v>61</v>
      </c>
      <c r="AJ4385" t="s">
        <v>69</v>
      </c>
      <c r="AY4385" t="s">
        <v>1339</v>
      </c>
      <c r="AZ4385">
        <v>17931</v>
      </c>
      <c r="BA4385" t="s">
        <v>1340</v>
      </c>
      <c r="BB4385" t="s">
        <v>1341</v>
      </c>
      <c r="BC4385">
        <v>1982</v>
      </c>
      <c r="BD4385" t="s">
        <v>200</v>
      </c>
    </row>
    <row r="4386" spans="1:56" x14ac:dyDescent="0.35">
      <c r="A4386">
        <v>68951677</v>
      </c>
      <c r="B4386" t="s">
        <v>2976</v>
      </c>
      <c r="D4386" t="s">
        <v>85</v>
      </c>
      <c r="E4386" t="s">
        <v>86</v>
      </c>
      <c r="F4386" t="s">
        <v>58</v>
      </c>
      <c r="G4386" t="s">
        <v>59</v>
      </c>
      <c r="H4386" t="s">
        <v>60</v>
      </c>
      <c r="J4386" t="s">
        <v>2874</v>
      </c>
      <c r="K4386" t="s">
        <v>320</v>
      </c>
      <c r="L4386" t="s">
        <v>62</v>
      </c>
      <c r="M4386" t="s">
        <v>63</v>
      </c>
      <c r="N4386" t="s">
        <v>64</v>
      </c>
      <c r="P4386" t="s">
        <v>65</v>
      </c>
      <c r="T4386">
        <v>0.63</v>
      </c>
      <c r="V4386">
        <v>1.65</v>
      </c>
      <c r="W4386" t="s">
        <v>66</v>
      </c>
      <c r="X4386" t="s">
        <v>67</v>
      </c>
      <c r="Y4386" t="s">
        <v>67</v>
      </c>
      <c r="Z4386" t="s">
        <v>68</v>
      </c>
      <c r="AB4386">
        <v>4</v>
      </c>
      <c r="AC4386" t="s">
        <v>61</v>
      </c>
      <c r="AJ4386" t="s">
        <v>69</v>
      </c>
      <c r="AY4386" t="s">
        <v>2875</v>
      </c>
      <c r="AZ4386">
        <v>2530</v>
      </c>
      <c r="BA4386" t="s">
        <v>2876</v>
      </c>
      <c r="BB4386" t="s">
        <v>2877</v>
      </c>
      <c r="BC4386">
        <v>1983</v>
      </c>
      <c r="BD4386" t="s">
        <v>324</v>
      </c>
    </row>
    <row r="4387" spans="1:56" x14ac:dyDescent="0.35">
      <c r="A4387">
        <v>68951677</v>
      </c>
      <c r="B4387" t="s">
        <v>2976</v>
      </c>
      <c r="D4387" t="s">
        <v>57</v>
      </c>
      <c r="E4387">
        <v>98.6</v>
      </c>
      <c r="F4387" t="s">
        <v>58</v>
      </c>
      <c r="G4387" t="s">
        <v>59</v>
      </c>
      <c r="H4387" t="s">
        <v>60</v>
      </c>
      <c r="I4387" t="s">
        <v>177</v>
      </c>
      <c r="J4387">
        <v>3</v>
      </c>
      <c r="K4387" t="s">
        <v>196</v>
      </c>
      <c r="L4387" t="s">
        <v>74</v>
      </c>
      <c r="M4387" t="s">
        <v>63</v>
      </c>
      <c r="N4387" t="s">
        <v>64</v>
      </c>
      <c r="P4387" t="s">
        <v>65</v>
      </c>
      <c r="R4387">
        <v>0.7</v>
      </c>
      <c r="T4387">
        <v>0.5</v>
      </c>
      <c r="V4387">
        <v>0.9</v>
      </c>
      <c r="W4387" t="s">
        <v>66</v>
      </c>
      <c r="X4387" t="s">
        <v>67</v>
      </c>
      <c r="Y4387" t="s">
        <v>67</v>
      </c>
      <c r="Z4387" t="s">
        <v>68</v>
      </c>
      <c r="AB4387">
        <v>4</v>
      </c>
      <c r="AC4387" t="s">
        <v>61</v>
      </c>
      <c r="AJ4387" t="s">
        <v>69</v>
      </c>
      <c r="AY4387" t="s">
        <v>1339</v>
      </c>
      <c r="AZ4387">
        <v>17931</v>
      </c>
      <c r="BA4387" t="s">
        <v>1340</v>
      </c>
      <c r="BB4387" t="s">
        <v>1341</v>
      </c>
      <c r="BC4387">
        <v>1982</v>
      </c>
      <c r="BD4387" t="s">
        <v>200</v>
      </c>
    </row>
    <row r="4388" spans="1:56" x14ac:dyDescent="0.35">
      <c r="A4388">
        <v>68951677</v>
      </c>
      <c r="B4388" t="s">
        <v>2976</v>
      </c>
      <c r="D4388" t="s">
        <v>85</v>
      </c>
      <c r="E4388" t="s">
        <v>86</v>
      </c>
      <c r="F4388" t="s">
        <v>58</v>
      </c>
      <c r="G4388" t="s">
        <v>59</v>
      </c>
      <c r="H4388" t="s">
        <v>60</v>
      </c>
      <c r="J4388" t="s">
        <v>86</v>
      </c>
      <c r="L4388" t="s">
        <v>62</v>
      </c>
      <c r="M4388" t="s">
        <v>63</v>
      </c>
      <c r="N4388" t="s">
        <v>64</v>
      </c>
      <c r="P4388" t="s">
        <v>100</v>
      </c>
      <c r="R4388">
        <v>1.38</v>
      </c>
      <c r="T4388">
        <v>1.29</v>
      </c>
      <c r="V4388">
        <v>1.5</v>
      </c>
      <c r="W4388" t="s">
        <v>66</v>
      </c>
      <c r="X4388" t="s">
        <v>67</v>
      </c>
      <c r="Y4388" t="s">
        <v>67</v>
      </c>
      <c r="Z4388" t="s">
        <v>68</v>
      </c>
      <c r="AB4388">
        <v>4</v>
      </c>
      <c r="AC4388" t="s">
        <v>61</v>
      </c>
      <c r="AJ4388" t="s">
        <v>69</v>
      </c>
      <c r="AY4388" t="s">
        <v>2977</v>
      </c>
      <c r="AZ4388">
        <v>5933</v>
      </c>
      <c r="BA4388" t="s">
        <v>2978</v>
      </c>
      <c r="BB4388" t="s">
        <v>2979</v>
      </c>
      <c r="BC4388">
        <v>1979</v>
      </c>
      <c r="BD4388" t="s">
        <v>90</v>
      </c>
    </row>
    <row r="4389" spans="1:56" x14ac:dyDescent="0.35">
      <c r="A4389">
        <v>68951677</v>
      </c>
      <c r="B4389" t="s">
        <v>2976</v>
      </c>
      <c r="D4389" t="s">
        <v>57</v>
      </c>
      <c r="E4389" t="s">
        <v>86</v>
      </c>
      <c r="F4389" t="s">
        <v>58</v>
      </c>
      <c r="G4389" t="s">
        <v>59</v>
      </c>
      <c r="H4389" t="s">
        <v>60</v>
      </c>
      <c r="I4389" t="s">
        <v>211</v>
      </c>
      <c r="J4389" t="s">
        <v>86</v>
      </c>
      <c r="L4389" t="s">
        <v>74</v>
      </c>
      <c r="M4389" t="s">
        <v>63</v>
      </c>
      <c r="N4389" t="s">
        <v>64</v>
      </c>
      <c r="P4389" t="s">
        <v>65</v>
      </c>
      <c r="R4389">
        <v>0.77</v>
      </c>
      <c r="T4389">
        <v>0.67</v>
      </c>
      <c r="V4389">
        <v>0.88</v>
      </c>
      <c r="W4389" t="s">
        <v>66</v>
      </c>
      <c r="X4389" t="s">
        <v>67</v>
      </c>
      <c r="Y4389" t="s">
        <v>67</v>
      </c>
      <c r="Z4389" t="s">
        <v>68</v>
      </c>
      <c r="AB4389">
        <v>4</v>
      </c>
      <c r="AC4389" t="s">
        <v>61</v>
      </c>
      <c r="AJ4389" t="s">
        <v>69</v>
      </c>
      <c r="AY4389" t="s">
        <v>2980</v>
      </c>
      <c r="AZ4389">
        <v>16780</v>
      </c>
      <c r="BA4389" t="s">
        <v>2981</v>
      </c>
      <c r="BB4389" t="s">
        <v>2982</v>
      </c>
      <c r="BC4389">
        <v>1996</v>
      </c>
      <c r="BD4389" t="s">
        <v>90</v>
      </c>
    </row>
    <row r="4390" spans="1:56" x14ac:dyDescent="0.35">
      <c r="A4390">
        <v>69500294</v>
      </c>
      <c r="B4390" t="s">
        <v>2983</v>
      </c>
      <c r="D4390" t="s">
        <v>85</v>
      </c>
      <c r="E4390" t="s">
        <v>86</v>
      </c>
      <c r="F4390" t="s">
        <v>58</v>
      </c>
      <c r="G4390" t="s">
        <v>59</v>
      </c>
      <c r="H4390" t="s">
        <v>60</v>
      </c>
      <c r="J4390">
        <v>5</v>
      </c>
      <c r="K4390" t="s">
        <v>320</v>
      </c>
      <c r="L4390" t="s">
        <v>62</v>
      </c>
      <c r="M4390" t="s">
        <v>63</v>
      </c>
      <c r="N4390" t="s">
        <v>64</v>
      </c>
      <c r="P4390" t="s">
        <v>100</v>
      </c>
      <c r="Q4390" t="s">
        <v>153</v>
      </c>
      <c r="R4390">
        <v>100</v>
      </c>
      <c r="W4390" t="s">
        <v>66</v>
      </c>
      <c r="X4390" t="s">
        <v>67</v>
      </c>
      <c r="Y4390" t="s">
        <v>67</v>
      </c>
      <c r="Z4390" t="s">
        <v>68</v>
      </c>
      <c r="AB4390">
        <v>4</v>
      </c>
      <c r="AC4390" t="s">
        <v>61</v>
      </c>
      <c r="AJ4390" t="s">
        <v>69</v>
      </c>
      <c r="AY4390" t="s">
        <v>1134</v>
      </c>
      <c r="AZ4390">
        <v>179719</v>
      </c>
      <c r="BA4390" t="s">
        <v>1135</v>
      </c>
      <c r="BB4390" t="s">
        <v>1136</v>
      </c>
      <c r="BC4390">
        <v>2000</v>
      </c>
      <c r="BD4390" t="s">
        <v>324</v>
      </c>
    </row>
    <row r="4391" spans="1:56" x14ac:dyDescent="0.35">
      <c r="A4391">
        <v>69723940</v>
      </c>
      <c r="B4391" t="s">
        <v>2984</v>
      </c>
      <c r="D4391" t="s">
        <v>57</v>
      </c>
      <c r="E4391">
        <v>95</v>
      </c>
      <c r="F4391" t="s">
        <v>58</v>
      </c>
      <c r="G4391" t="s">
        <v>59</v>
      </c>
      <c r="H4391" t="s">
        <v>60</v>
      </c>
      <c r="J4391" t="s">
        <v>86</v>
      </c>
      <c r="K4391" t="s">
        <v>61</v>
      </c>
      <c r="L4391" t="s">
        <v>74</v>
      </c>
      <c r="M4391" t="s">
        <v>63</v>
      </c>
      <c r="N4391" t="s">
        <v>64</v>
      </c>
      <c r="P4391" t="s">
        <v>65</v>
      </c>
      <c r="R4391">
        <v>2410</v>
      </c>
      <c r="T4391">
        <v>2180</v>
      </c>
      <c r="V4391">
        <v>2680</v>
      </c>
      <c r="W4391" t="s">
        <v>66</v>
      </c>
      <c r="X4391" t="s">
        <v>67</v>
      </c>
      <c r="Y4391" t="s">
        <v>67</v>
      </c>
      <c r="Z4391" t="s">
        <v>68</v>
      </c>
      <c r="AB4391">
        <v>4</v>
      </c>
      <c r="AC4391" t="s">
        <v>61</v>
      </c>
      <c r="AJ4391" t="s">
        <v>69</v>
      </c>
      <c r="AY4391" t="s">
        <v>263</v>
      </c>
      <c r="AZ4391">
        <v>12858</v>
      </c>
      <c r="BA4391" t="s">
        <v>264</v>
      </c>
      <c r="BB4391" t="s">
        <v>265</v>
      </c>
      <c r="BC4391">
        <v>1986</v>
      </c>
      <c r="BD4391" t="s">
        <v>1035</v>
      </c>
    </row>
    <row r="4392" spans="1:56" x14ac:dyDescent="0.35">
      <c r="A4392">
        <v>69770236</v>
      </c>
      <c r="B4392" t="s">
        <v>2985</v>
      </c>
      <c r="D4392" t="s">
        <v>57</v>
      </c>
      <c r="E4392">
        <v>99</v>
      </c>
      <c r="F4392" t="s">
        <v>58</v>
      </c>
      <c r="G4392" t="s">
        <v>59</v>
      </c>
      <c r="H4392" t="s">
        <v>60</v>
      </c>
      <c r="J4392">
        <v>29</v>
      </c>
      <c r="K4392" t="s">
        <v>61</v>
      </c>
      <c r="L4392" t="s">
        <v>74</v>
      </c>
      <c r="M4392" t="s">
        <v>63</v>
      </c>
      <c r="N4392" t="s">
        <v>64</v>
      </c>
      <c r="P4392" t="s">
        <v>65</v>
      </c>
      <c r="R4392">
        <v>0.36599999999999999</v>
      </c>
      <c r="W4392" t="s">
        <v>66</v>
      </c>
      <c r="X4392" t="s">
        <v>67</v>
      </c>
      <c r="Y4392" t="s">
        <v>67</v>
      </c>
      <c r="Z4392" t="s">
        <v>68</v>
      </c>
      <c r="AB4392">
        <v>4</v>
      </c>
      <c r="AC4392" t="s">
        <v>61</v>
      </c>
      <c r="AJ4392" t="s">
        <v>69</v>
      </c>
      <c r="AY4392" t="s">
        <v>141</v>
      </c>
      <c r="AZ4392">
        <v>12447</v>
      </c>
      <c r="BA4392" t="s">
        <v>142</v>
      </c>
      <c r="BB4392" t="s">
        <v>143</v>
      </c>
      <c r="BC4392">
        <v>1985</v>
      </c>
      <c r="BD4392" t="s">
        <v>73</v>
      </c>
    </row>
    <row r="4393" spans="1:56" x14ac:dyDescent="0.35">
      <c r="A4393">
        <v>69806344</v>
      </c>
      <c r="B4393" t="s">
        <v>2986</v>
      </c>
      <c r="E4393">
        <v>99.6</v>
      </c>
      <c r="F4393" t="s">
        <v>58</v>
      </c>
      <c r="G4393" t="s">
        <v>59</v>
      </c>
      <c r="H4393" t="s">
        <v>60</v>
      </c>
      <c r="J4393" t="s">
        <v>86</v>
      </c>
      <c r="L4393" t="s">
        <v>62</v>
      </c>
      <c r="M4393" t="s">
        <v>63</v>
      </c>
      <c r="N4393" t="s">
        <v>64</v>
      </c>
      <c r="P4393" t="s">
        <v>65</v>
      </c>
      <c r="Q4393" t="s">
        <v>153</v>
      </c>
      <c r="R4393">
        <v>1000</v>
      </c>
      <c r="W4393" t="s">
        <v>66</v>
      </c>
      <c r="X4393" t="s">
        <v>67</v>
      </c>
      <c r="Y4393" t="s">
        <v>67</v>
      </c>
      <c r="Z4393" t="s">
        <v>68</v>
      </c>
      <c r="AB4393">
        <v>4</v>
      </c>
      <c r="AC4393" t="s">
        <v>61</v>
      </c>
      <c r="AJ4393" t="s">
        <v>69</v>
      </c>
      <c r="AY4393" t="s">
        <v>116</v>
      </c>
      <c r="AZ4393">
        <v>344</v>
      </c>
      <c r="BA4393" t="s">
        <v>117</v>
      </c>
      <c r="BB4393" t="s">
        <v>118</v>
      </c>
      <c r="BC4393">
        <v>1992</v>
      </c>
      <c r="BD4393" t="s">
        <v>90</v>
      </c>
    </row>
    <row r="4394" spans="1:56" x14ac:dyDescent="0.35">
      <c r="A4394">
        <v>69806504</v>
      </c>
      <c r="B4394" t="s">
        <v>2987</v>
      </c>
      <c r="E4394">
        <v>90.2</v>
      </c>
      <c r="F4394" t="s">
        <v>58</v>
      </c>
      <c r="G4394" t="s">
        <v>59</v>
      </c>
      <c r="H4394" t="s">
        <v>60</v>
      </c>
      <c r="J4394" t="s">
        <v>289</v>
      </c>
      <c r="K4394" t="s">
        <v>184</v>
      </c>
      <c r="L4394" t="s">
        <v>62</v>
      </c>
      <c r="M4394" t="s">
        <v>63</v>
      </c>
      <c r="N4394" t="s">
        <v>64</v>
      </c>
      <c r="P4394" t="s">
        <v>65</v>
      </c>
      <c r="R4394">
        <v>0.37</v>
      </c>
      <c r="T4394">
        <v>0.32</v>
      </c>
      <c r="V4394">
        <v>0.44</v>
      </c>
      <c r="W4394" t="s">
        <v>66</v>
      </c>
      <c r="X4394" t="s">
        <v>67</v>
      </c>
      <c r="Y4394" t="s">
        <v>67</v>
      </c>
      <c r="Z4394" t="s">
        <v>68</v>
      </c>
      <c r="AB4394">
        <v>4</v>
      </c>
      <c r="AC4394" t="s">
        <v>61</v>
      </c>
      <c r="AJ4394" t="s">
        <v>69</v>
      </c>
      <c r="AY4394" t="s">
        <v>116</v>
      </c>
      <c r="AZ4394">
        <v>344</v>
      </c>
      <c r="BA4394" t="s">
        <v>117</v>
      </c>
      <c r="BB4394" t="s">
        <v>118</v>
      </c>
      <c r="BC4394">
        <v>1992</v>
      </c>
      <c r="BD4394" t="s">
        <v>185</v>
      </c>
    </row>
    <row r="4395" spans="1:56" x14ac:dyDescent="0.35">
      <c r="A4395">
        <v>70124775</v>
      </c>
      <c r="B4395" t="s">
        <v>2988</v>
      </c>
      <c r="E4395">
        <v>80</v>
      </c>
      <c r="F4395" t="s">
        <v>58</v>
      </c>
      <c r="G4395" t="s">
        <v>59</v>
      </c>
      <c r="H4395" t="s">
        <v>60</v>
      </c>
      <c r="J4395" t="s">
        <v>86</v>
      </c>
      <c r="L4395" t="s">
        <v>62</v>
      </c>
      <c r="M4395" t="s">
        <v>63</v>
      </c>
      <c r="N4395" t="s">
        <v>64</v>
      </c>
      <c r="P4395" t="s">
        <v>100</v>
      </c>
      <c r="R4395">
        <v>1.1999999999999999E-3</v>
      </c>
      <c r="T4395">
        <v>1E-3</v>
      </c>
      <c r="V4395">
        <v>2E-3</v>
      </c>
      <c r="W4395" t="s">
        <v>66</v>
      </c>
      <c r="X4395" t="s">
        <v>67</v>
      </c>
      <c r="Y4395" t="s">
        <v>67</v>
      </c>
      <c r="Z4395" t="s">
        <v>68</v>
      </c>
      <c r="AB4395">
        <v>4</v>
      </c>
      <c r="AC4395" t="s">
        <v>61</v>
      </c>
      <c r="AJ4395" t="s">
        <v>69</v>
      </c>
      <c r="AY4395" t="s">
        <v>116</v>
      </c>
      <c r="AZ4395">
        <v>344</v>
      </c>
      <c r="BA4395" t="s">
        <v>117</v>
      </c>
      <c r="BB4395" t="s">
        <v>118</v>
      </c>
      <c r="BC4395">
        <v>1992</v>
      </c>
      <c r="BD4395" t="s">
        <v>90</v>
      </c>
    </row>
    <row r="4396" spans="1:56" x14ac:dyDescent="0.35">
      <c r="A4396">
        <v>70124775</v>
      </c>
      <c r="B4396" t="s">
        <v>2988</v>
      </c>
      <c r="D4396" t="s">
        <v>57</v>
      </c>
      <c r="E4396">
        <v>80.599999999999994</v>
      </c>
      <c r="F4396" t="s">
        <v>58</v>
      </c>
      <c r="G4396" t="s">
        <v>59</v>
      </c>
      <c r="H4396" t="s">
        <v>60</v>
      </c>
      <c r="J4396">
        <v>53</v>
      </c>
      <c r="K4396" t="s">
        <v>61</v>
      </c>
      <c r="L4396" t="s">
        <v>74</v>
      </c>
      <c r="M4396" t="s">
        <v>63</v>
      </c>
      <c r="N4396" t="s">
        <v>64</v>
      </c>
      <c r="P4396" t="s">
        <v>65</v>
      </c>
      <c r="R4396">
        <v>1.9000000000000001E-4</v>
      </c>
      <c r="T4396">
        <v>1.7000000000000001E-4</v>
      </c>
      <c r="V4396">
        <v>2.2000000000000001E-4</v>
      </c>
      <c r="W4396" t="s">
        <v>66</v>
      </c>
      <c r="X4396" t="s">
        <v>67</v>
      </c>
      <c r="Y4396" t="s">
        <v>67</v>
      </c>
      <c r="Z4396" t="s">
        <v>68</v>
      </c>
      <c r="AB4396">
        <v>4</v>
      </c>
      <c r="AC4396" t="s">
        <v>61</v>
      </c>
      <c r="AJ4396" t="s">
        <v>69</v>
      </c>
      <c r="AY4396" t="s">
        <v>75</v>
      </c>
      <c r="AZ4396">
        <v>3217</v>
      </c>
      <c r="BA4396" t="s">
        <v>76</v>
      </c>
      <c r="BB4396" t="s">
        <v>77</v>
      </c>
      <c r="BC4396">
        <v>1990</v>
      </c>
      <c r="BD4396" t="s">
        <v>73</v>
      </c>
    </row>
    <row r="4397" spans="1:56" x14ac:dyDescent="0.35">
      <c r="A4397">
        <v>70343065</v>
      </c>
      <c r="B4397" t="s">
        <v>2989</v>
      </c>
      <c r="D4397" t="s">
        <v>85</v>
      </c>
      <c r="E4397" t="s">
        <v>86</v>
      </c>
      <c r="F4397" t="s">
        <v>58</v>
      </c>
      <c r="G4397" t="s">
        <v>59</v>
      </c>
      <c r="H4397" t="s">
        <v>60</v>
      </c>
      <c r="I4397" t="s">
        <v>129</v>
      </c>
      <c r="J4397" t="s">
        <v>86</v>
      </c>
      <c r="L4397" t="s">
        <v>62</v>
      </c>
      <c r="M4397" t="s">
        <v>63</v>
      </c>
      <c r="N4397" t="s">
        <v>64</v>
      </c>
      <c r="P4397" t="s">
        <v>100</v>
      </c>
      <c r="R4397">
        <v>12.2</v>
      </c>
      <c r="W4397" t="s">
        <v>66</v>
      </c>
      <c r="X4397" t="s">
        <v>67</v>
      </c>
      <c r="Y4397" t="s">
        <v>67</v>
      </c>
      <c r="Z4397" t="s">
        <v>68</v>
      </c>
      <c r="AB4397">
        <v>4</v>
      </c>
      <c r="AC4397" t="s">
        <v>61</v>
      </c>
      <c r="AJ4397" t="s">
        <v>69</v>
      </c>
      <c r="AY4397" t="s">
        <v>722</v>
      </c>
      <c r="AZ4397">
        <v>5087</v>
      </c>
      <c r="BA4397" t="s">
        <v>723</v>
      </c>
      <c r="BB4397" t="s">
        <v>724</v>
      </c>
      <c r="BC4397">
        <v>1979</v>
      </c>
      <c r="BD4397" t="s">
        <v>90</v>
      </c>
    </row>
    <row r="4398" spans="1:56" x14ac:dyDescent="0.35">
      <c r="A4398">
        <v>70343065</v>
      </c>
      <c r="B4398" t="s">
        <v>2989</v>
      </c>
      <c r="D4398" t="s">
        <v>85</v>
      </c>
      <c r="E4398" t="s">
        <v>86</v>
      </c>
      <c r="F4398" t="s">
        <v>58</v>
      </c>
      <c r="G4398" t="s">
        <v>59</v>
      </c>
      <c r="H4398" t="s">
        <v>60</v>
      </c>
      <c r="I4398" t="s">
        <v>129</v>
      </c>
      <c r="J4398" t="s">
        <v>86</v>
      </c>
      <c r="L4398" t="s">
        <v>62</v>
      </c>
      <c r="M4398" t="s">
        <v>63</v>
      </c>
      <c r="N4398" t="s">
        <v>64</v>
      </c>
      <c r="P4398" t="s">
        <v>65</v>
      </c>
      <c r="R4398">
        <v>12.2</v>
      </c>
      <c r="T4398">
        <v>10.8</v>
      </c>
      <c r="V4398">
        <v>13.4</v>
      </c>
      <c r="W4398" t="s">
        <v>66</v>
      </c>
      <c r="X4398" t="s">
        <v>67</v>
      </c>
      <c r="Y4398" t="s">
        <v>67</v>
      </c>
      <c r="Z4398" t="s">
        <v>68</v>
      </c>
      <c r="AB4398">
        <v>4</v>
      </c>
      <c r="AC4398" t="s">
        <v>61</v>
      </c>
      <c r="AJ4398" t="s">
        <v>69</v>
      </c>
      <c r="AY4398" t="s">
        <v>718</v>
      </c>
      <c r="AZ4398">
        <v>10141</v>
      </c>
      <c r="BA4398" t="s">
        <v>719</v>
      </c>
      <c r="BB4398" t="s">
        <v>720</v>
      </c>
      <c r="BC4398">
        <v>1983</v>
      </c>
      <c r="BD4398" t="s">
        <v>721</v>
      </c>
    </row>
    <row r="4399" spans="1:56" x14ac:dyDescent="0.35">
      <c r="A4399">
        <v>70592802</v>
      </c>
      <c r="B4399" t="s">
        <v>2990</v>
      </c>
      <c r="E4399" t="s">
        <v>86</v>
      </c>
      <c r="F4399" t="s">
        <v>58</v>
      </c>
      <c r="G4399" t="s">
        <v>59</v>
      </c>
      <c r="H4399" t="s">
        <v>60</v>
      </c>
      <c r="J4399" t="s">
        <v>86</v>
      </c>
      <c r="L4399" t="s">
        <v>62</v>
      </c>
      <c r="M4399" t="s">
        <v>63</v>
      </c>
      <c r="N4399" t="s">
        <v>64</v>
      </c>
      <c r="R4399">
        <v>1.01</v>
      </c>
      <c r="T4399">
        <v>0.85</v>
      </c>
      <c r="V4399">
        <v>1.21</v>
      </c>
      <c r="W4399" t="s">
        <v>66</v>
      </c>
      <c r="X4399" t="s">
        <v>67</v>
      </c>
      <c r="Y4399" t="s">
        <v>67</v>
      </c>
      <c r="Z4399" t="s">
        <v>68</v>
      </c>
      <c r="AB4399">
        <v>4</v>
      </c>
      <c r="AC4399" t="s">
        <v>61</v>
      </c>
      <c r="AJ4399" t="s">
        <v>69</v>
      </c>
      <c r="AY4399" t="s">
        <v>116</v>
      </c>
      <c r="AZ4399">
        <v>344</v>
      </c>
      <c r="BA4399" t="s">
        <v>117</v>
      </c>
      <c r="BB4399" t="s">
        <v>118</v>
      </c>
      <c r="BC4399">
        <v>1992</v>
      </c>
      <c r="BD4399" t="s">
        <v>90</v>
      </c>
    </row>
    <row r="4400" spans="1:56" x14ac:dyDescent="0.35">
      <c r="A4400">
        <v>71862027</v>
      </c>
      <c r="B4400" t="s">
        <v>2991</v>
      </c>
      <c r="D4400" t="s">
        <v>57</v>
      </c>
      <c r="E4400" t="s">
        <v>79</v>
      </c>
      <c r="F4400" t="s">
        <v>58</v>
      </c>
      <c r="G4400" t="s">
        <v>59</v>
      </c>
      <c r="H4400" t="s">
        <v>60</v>
      </c>
      <c r="J4400" t="s">
        <v>86</v>
      </c>
      <c r="K4400" t="s">
        <v>61</v>
      </c>
      <c r="L4400" t="s">
        <v>74</v>
      </c>
      <c r="M4400" t="s">
        <v>63</v>
      </c>
      <c r="N4400" t="s">
        <v>64</v>
      </c>
      <c r="P4400" t="s">
        <v>65</v>
      </c>
      <c r="R4400">
        <v>46.6</v>
      </c>
      <c r="T4400">
        <v>44.1</v>
      </c>
      <c r="V4400">
        <v>49.3</v>
      </c>
      <c r="W4400" t="s">
        <v>66</v>
      </c>
      <c r="X4400" t="s">
        <v>67</v>
      </c>
      <c r="Y4400" t="s">
        <v>67</v>
      </c>
      <c r="Z4400" t="s">
        <v>68</v>
      </c>
      <c r="AB4400">
        <v>4</v>
      </c>
      <c r="AC4400" t="s">
        <v>61</v>
      </c>
      <c r="AJ4400" t="s">
        <v>69</v>
      </c>
      <c r="AY4400" t="s">
        <v>286</v>
      </c>
      <c r="AZ4400">
        <v>12448</v>
      </c>
      <c r="BA4400" t="s">
        <v>287</v>
      </c>
      <c r="BB4400" t="s">
        <v>288</v>
      </c>
      <c r="BC4400">
        <v>1984</v>
      </c>
      <c r="BD4400" t="s">
        <v>940</v>
      </c>
    </row>
    <row r="4401" spans="1:56" x14ac:dyDescent="0.35">
      <c r="A4401">
        <v>74222972</v>
      </c>
      <c r="B4401" t="s">
        <v>2992</v>
      </c>
      <c r="D4401" t="s">
        <v>85</v>
      </c>
      <c r="E4401" t="s">
        <v>86</v>
      </c>
      <c r="F4401" t="s">
        <v>58</v>
      </c>
      <c r="G4401" t="s">
        <v>59</v>
      </c>
      <c r="H4401" t="s">
        <v>60</v>
      </c>
      <c r="I4401" t="s">
        <v>188</v>
      </c>
      <c r="J4401" t="s">
        <v>86</v>
      </c>
      <c r="K4401" t="s">
        <v>61</v>
      </c>
      <c r="L4401" t="s">
        <v>62</v>
      </c>
      <c r="M4401" t="s">
        <v>63</v>
      </c>
      <c r="N4401" t="s">
        <v>64</v>
      </c>
      <c r="P4401" t="s">
        <v>65</v>
      </c>
      <c r="Q4401" t="s">
        <v>153</v>
      </c>
      <c r="R4401">
        <v>0.2</v>
      </c>
      <c r="W4401" t="s">
        <v>2833</v>
      </c>
      <c r="X4401" t="s">
        <v>67</v>
      </c>
      <c r="Y4401" t="s">
        <v>67</v>
      </c>
      <c r="Z4401" t="s">
        <v>68</v>
      </c>
      <c r="AB4401">
        <v>4</v>
      </c>
      <c r="AC4401" t="s">
        <v>61</v>
      </c>
      <c r="AJ4401" t="s">
        <v>69</v>
      </c>
      <c r="AY4401" t="s">
        <v>2834</v>
      </c>
      <c r="AZ4401">
        <v>160505</v>
      </c>
      <c r="BA4401" t="s">
        <v>2835</v>
      </c>
      <c r="BB4401" t="s">
        <v>2836</v>
      </c>
      <c r="BC4401">
        <v>2012</v>
      </c>
      <c r="BD4401" t="s">
        <v>2837</v>
      </c>
    </row>
    <row r="4402" spans="1:56" x14ac:dyDescent="0.35">
      <c r="A4402">
        <v>74223646</v>
      </c>
      <c r="B4402" t="s">
        <v>2993</v>
      </c>
      <c r="D4402" t="s">
        <v>85</v>
      </c>
      <c r="E4402" t="s">
        <v>86</v>
      </c>
      <c r="F4402" t="s">
        <v>58</v>
      </c>
      <c r="G4402" t="s">
        <v>59</v>
      </c>
      <c r="H4402" t="s">
        <v>60</v>
      </c>
      <c r="I4402" t="s">
        <v>188</v>
      </c>
      <c r="J4402" t="s">
        <v>86</v>
      </c>
      <c r="K4402" t="s">
        <v>61</v>
      </c>
      <c r="L4402" t="s">
        <v>62</v>
      </c>
      <c r="M4402" t="s">
        <v>63</v>
      </c>
      <c r="N4402" t="s">
        <v>64</v>
      </c>
      <c r="P4402" t="s">
        <v>65</v>
      </c>
      <c r="Q4402" t="s">
        <v>153</v>
      </c>
      <c r="R4402">
        <v>0.2</v>
      </c>
      <c r="W4402" t="s">
        <v>66</v>
      </c>
      <c r="X4402" t="s">
        <v>67</v>
      </c>
      <c r="Y4402" t="s">
        <v>67</v>
      </c>
      <c r="Z4402" t="s">
        <v>68</v>
      </c>
      <c r="AB4402">
        <v>4</v>
      </c>
      <c r="AC4402" t="s">
        <v>61</v>
      </c>
      <c r="AJ4402" t="s">
        <v>69</v>
      </c>
      <c r="AY4402" t="s">
        <v>2834</v>
      </c>
      <c r="AZ4402">
        <v>160505</v>
      </c>
      <c r="BA4402" t="s">
        <v>2835</v>
      </c>
      <c r="BB4402" t="s">
        <v>2836</v>
      </c>
      <c r="BC4402">
        <v>2012</v>
      </c>
      <c r="BD4402" t="s">
        <v>2837</v>
      </c>
    </row>
    <row r="4403" spans="1:56" x14ac:dyDescent="0.35">
      <c r="A4403">
        <v>74665842</v>
      </c>
      <c r="B4403" t="s">
        <v>2994</v>
      </c>
      <c r="E4403">
        <v>62</v>
      </c>
      <c r="F4403" t="s">
        <v>58</v>
      </c>
      <c r="G4403" t="s">
        <v>59</v>
      </c>
      <c r="H4403" t="s">
        <v>60</v>
      </c>
      <c r="J4403" t="s">
        <v>86</v>
      </c>
      <c r="L4403" t="s">
        <v>62</v>
      </c>
      <c r="M4403" t="s">
        <v>63</v>
      </c>
      <c r="N4403" t="s">
        <v>64</v>
      </c>
      <c r="P4403" t="s">
        <v>65</v>
      </c>
      <c r="Q4403" t="s">
        <v>153</v>
      </c>
      <c r="R4403">
        <v>1500</v>
      </c>
      <c r="W4403" t="s">
        <v>66</v>
      </c>
      <c r="X4403" t="s">
        <v>67</v>
      </c>
      <c r="Y4403" t="s">
        <v>67</v>
      </c>
      <c r="Z4403" t="s">
        <v>68</v>
      </c>
      <c r="AB4403">
        <v>4</v>
      </c>
      <c r="AC4403" t="s">
        <v>61</v>
      </c>
      <c r="AJ4403" t="s">
        <v>69</v>
      </c>
      <c r="AY4403" t="s">
        <v>96</v>
      </c>
      <c r="AZ4403">
        <v>6797</v>
      </c>
      <c r="BA4403" t="s">
        <v>97</v>
      </c>
      <c r="BB4403" t="s">
        <v>98</v>
      </c>
      <c r="BC4403">
        <v>1986</v>
      </c>
      <c r="BD4403" t="s">
        <v>90</v>
      </c>
    </row>
    <row r="4404" spans="1:56" x14ac:dyDescent="0.35">
      <c r="A4404">
        <v>74665864</v>
      </c>
      <c r="B4404" t="s">
        <v>2995</v>
      </c>
      <c r="E4404">
        <v>93</v>
      </c>
      <c r="F4404" t="s">
        <v>58</v>
      </c>
      <c r="G4404" t="s">
        <v>59</v>
      </c>
      <c r="H4404" t="s">
        <v>60</v>
      </c>
      <c r="J4404" t="s">
        <v>86</v>
      </c>
      <c r="L4404" t="s">
        <v>62</v>
      </c>
      <c r="M4404" t="s">
        <v>63</v>
      </c>
      <c r="N4404" t="s">
        <v>64</v>
      </c>
      <c r="P4404" t="s">
        <v>65</v>
      </c>
      <c r="Q4404" t="s">
        <v>153</v>
      </c>
      <c r="R4404">
        <v>1500</v>
      </c>
      <c r="W4404" t="s">
        <v>66</v>
      </c>
      <c r="X4404" t="s">
        <v>67</v>
      </c>
      <c r="Y4404" t="s">
        <v>67</v>
      </c>
      <c r="Z4404" t="s">
        <v>68</v>
      </c>
      <c r="AB4404">
        <v>4</v>
      </c>
      <c r="AC4404" t="s">
        <v>61</v>
      </c>
      <c r="AJ4404" t="s">
        <v>69</v>
      </c>
      <c r="AY4404" t="s">
        <v>96</v>
      </c>
      <c r="AZ4404">
        <v>6797</v>
      </c>
      <c r="BA4404" t="s">
        <v>97</v>
      </c>
      <c r="BB4404" t="s">
        <v>98</v>
      </c>
      <c r="BC4404">
        <v>1986</v>
      </c>
      <c r="BD4404" t="s">
        <v>90</v>
      </c>
    </row>
    <row r="4405" spans="1:56" x14ac:dyDescent="0.35">
      <c r="A4405">
        <v>76775003</v>
      </c>
      <c r="B4405" t="s">
        <v>2996</v>
      </c>
      <c r="D4405" t="s">
        <v>85</v>
      </c>
      <c r="E4405" t="s">
        <v>86</v>
      </c>
      <c r="F4405" t="s">
        <v>58</v>
      </c>
      <c r="G4405" t="s">
        <v>59</v>
      </c>
      <c r="H4405" t="s">
        <v>60</v>
      </c>
      <c r="J4405">
        <v>5</v>
      </c>
      <c r="K4405" t="s">
        <v>320</v>
      </c>
      <c r="L4405" t="s">
        <v>62</v>
      </c>
      <c r="M4405" t="s">
        <v>63</v>
      </c>
      <c r="N4405" t="s">
        <v>64</v>
      </c>
      <c r="O4405">
        <v>7</v>
      </c>
      <c r="P4405" t="s">
        <v>100</v>
      </c>
      <c r="Q4405" t="s">
        <v>153</v>
      </c>
      <c r="R4405">
        <v>100</v>
      </c>
      <c r="W4405" t="s">
        <v>66</v>
      </c>
      <c r="X4405" t="s">
        <v>67</v>
      </c>
      <c r="Y4405" t="s">
        <v>67</v>
      </c>
      <c r="Z4405" t="s">
        <v>68</v>
      </c>
      <c r="AB4405">
        <v>4</v>
      </c>
      <c r="AC4405" t="s">
        <v>61</v>
      </c>
      <c r="AJ4405" t="s">
        <v>69</v>
      </c>
      <c r="AY4405" t="s">
        <v>1134</v>
      </c>
      <c r="AZ4405">
        <v>179719</v>
      </c>
      <c r="BA4405" t="s">
        <v>1135</v>
      </c>
      <c r="BB4405" t="s">
        <v>1136</v>
      </c>
      <c r="BC4405">
        <v>2000</v>
      </c>
      <c r="BD4405" t="s">
        <v>324</v>
      </c>
    </row>
    <row r="4406" spans="1:56" x14ac:dyDescent="0.35">
      <c r="A4406">
        <v>76930580</v>
      </c>
      <c r="B4406" t="s">
        <v>2997</v>
      </c>
      <c r="D4406" t="s">
        <v>85</v>
      </c>
      <c r="E4406">
        <v>100</v>
      </c>
      <c r="F4406" t="s">
        <v>58</v>
      </c>
      <c r="G4406" t="s">
        <v>59</v>
      </c>
      <c r="H4406" t="s">
        <v>60</v>
      </c>
      <c r="I4406" t="s">
        <v>177</v>
      </c>
      <c r="J4406">
        <v>1</v>
      </c>
      <c r="K4406" t="s">
        <v>1027</v>
      </c>
      <c r="L4406" t="s">
        <v>62</v>
      </c>
      <c r="M4406" t="s">
        <v>63</v>
      </c>
      <c r="N4406" t="s">
        <v>64</v>
      </c>
      <c r="P4406" t="s">
        <v>65</v>
      </c>
      <c r="R4406">
        <v>168</v>
      </c>
      <c r="T4406">
        <v>136</v>
      </c>
      <c r="V4406">
        <v>207</v>
      </c>
      <c r="W4406" t="s">
        <v>66</v>
      </c>
      <c r="X4406" t="s">
        <v>67</v>
      </c>
      <c r="Y4406" t="s">
        <v>67</v>
      </c>
      <c r="Z4406" t="s">
        <v>68</v>
      </c>
      <c r="AB4406">
        <v>4</v>
      </c>
      <c r="AC4406" t="s">
        <v>61</v>
      </c>
      <c r="AJ4406" t="s">
        <v>69</v>
      </c>
      <c r="AY4406" t="s">
        <v>2793</v>
      </c>
      <c r="AZ4406">
        <v>17382</v>
      </c>
      <c r="BA4406" t="s">
        <v>2794</v>
      </c>
      <c r="BB4406" t="s">
        <v>2795</v>
      </c>
      <c r="BC4406">
        <v>1996</v>
      </c>
      <c r="BD4406" t="s">
        <v>1028</v>
      </c>
    </row>
    <row r="4407" spans="1:56" x14ac:dyDescent="0.35">
      <c r="A4407">
        <v>76930580</v>
      </c>
      <c r="B4407" t="s">
        <v>2997</v>
      </c>
      <c r="D4407" t="s">
        <v>85</v>
      </c>
      <c r="E4407">
        <v>100</v>
      </c>
      <c r="F4407" t="s">
        <v>58</v>
      </c>
      <c r="G4407" t="s">
        <v>59</v>
      </c>
      <c r="H4407" t="s">
        <v>60</v>
      </c>
      <c r="I4407" t="s">
        <v>129</v>
      </c>
      <c r="J4407" t="s">
        <v>86</v>
      </c>
      <c r="K4407" t="s">
        <v>1027</v>
      </c>
      <c r="L4407" t="s">
        <v>62</v>
      </c>
      <c r="M4407" t="s">
        <v>63</v>
      </c>
      <c r="N4407" t="s">
        <v>64</v>
      </c>
      <c r="P4407" t="s">
        <v>65</v>
      </c>
      <c r="R4407">
        <v>572</v>
      </c>
      <c r="T4407">
        <v>455</v>
      </c>
      <c r="V4407">
        <v>780</v>
      </c>
      <c r="W4407" t="s">
        <v>66</v>
      </c>
      <c r="X4407" t="s">
        <v>67</v>
      </c>
      <c r="Y4407" t="s">
        <v>67</v>
      </c>
      <c r="Z4407" t="s">
        <v>68</v>
      </c>
      <c r="AB4407">
        <v>4</v>
      </c>
      <c r="AC4407" t="s">
        <v>61</v>
      </c>
      <c r="AJ4407" t="s">
        <v>69</v>
      </c>
      <c r="AY4407" t="s">
        <v>2793</v>
      </c>
      <c r="AZ4407">
        <v>17382</v>
      </c>
      <c r="BA4407" t="s">
        <v>2794</v>
      </c>
      <c r="BB4407" t="s">
        <v>2795</v>
      </c>
      <c r="BC4407">
        <v>1996</v>
      </c>
      <c r="BD4407" t="s">
        <v>2796</v>
      </c>
    </row>
    <row r="4408" spans="1:56" x14ac:dyDescent="0.35">
      <c r="A4408">
        <v>76930580</v>
      </c>
      <c r="B4408" t="s">
        <v>2997</v>
      </c>
      <c r="D4408" t="s">
        <v>85</v>
      </c>
      <c r="E4408">
        <v>100</v>
      </c>
      <c r="F4408" t="s">
        <v>58</v>
      </c>
      <c r="G4408" t="s">
        <v>59</v>
      </c>
      <c r="H4408" t="s">
        <v>60</v>
      </c>
      <c r="I4408" t="s">
        <v>129</v>
      </c>
      <c r="J4408" t="s">
        <v>86</v>
      </c>
      <c r="K4408" t="s">
        <v>1027</v>
      </c>
      <c r="L4408" t="s">
        <v>62</v>
      </c>
      <c r="M4408" t="s">
        <v>63</v>
      </c>
      <c r="N4408" t="s">
        <v>64</v>
      </c>
      <c r="P4408" t="s">
        <v>65</v>
      </c>
      <c r="R4408">
        <v>237</v>
      </c>
      <c r="T4408">
        <v>194</v>
      </c>
      <c r="V4408">
        <v>296</v>
      </c>
      <c r="W4408" t="s">
        <v>66</v>
      </c>
      <c r="X4408" t="s">
        <v>67</v>
      </c>
      <c r="Y4408" t="s">
        <v>67</v>
      </c>
      <c r="Z4408" t="s">
        <v>68</v>
      </c>
      <c r="AB4408">
        <v>4</v>
      </c>
      <c r="AC4408" t="s">
        <v>61</v>
      </c>
      <c r="AJ4408" t="s">
        <v>69</v>
      </c>
      <c r="AY4408" t="s">
        <v>2793</v>
      </c>
      <c r="AZ4408">
        <v>17382</v>
      </c>
      <c r="BA4408" t="s">
        <v>2794</v>
      </c>
      <c r="BB4408" t="s">
        <v>2795</v>
      </c>
      <c r="BC4408">
        <v>1996</v>
      </c>
      <c r="BD4408" t="s">
        <v>2798</v>
      </c>
    </row>
    <row r="4409" spans="1:56" x14ac:dyDescent="0.35">
      <c r="A4409">
        <v>76930580</v>
      </c>
      <c r="B4409" t="s">
        <v>2997</v>
      </c>
      <c r="D4409" t="s">
        <v>85</v>
      </c>
      <c r="E4409">
        <v>100</v>
      </c>
      <c r="F4409" t="s">
        <v>58</v>
      </c>
      <c r="G4409" t="s">
        <v>59</v>
      </c>
      <c r="H4409" t="s">
        <v>60</v>
      </c>
      <c r="I4409" t="s">
        <v>186</v>
      </c>
      <c r="J4409">
        <v>3</v>
      </c>
      <c r="K4409" t="s">
        <v>61</v>
      </c>
      <c r="L4409" t="s">
        <v>62</v>
      </c>
      <c r="M4409" t="s">
        <v>63</v>
      </c>
      <c r="N4409" t="s">
        <v>64</v>
      </c>
      <c r="P4409" t="s">
        <v>65</v>
      </c>
      <c r="R4409">
        <v>787</v>
      </c>
      <c r="T4409">
        <v>529</v>
      </c>
      <c r="V4409">
        <v>1025</v>
      </c>
      <c r="W4409" t="s">
        <v>66</v>
      </c>
      <c r="X4409" t="s">
        <v>67</v>
      </c>
      <c r="Y4409" t="s">
        <v>67</v>
      </c>
      <c r="Z4409" t="s">
        <v>68</v>
      </c>
      <c r="AB4409">
        <v>4</v>
      </c>
      <c r="AC4409" t="s">
        <v>61</v>
      </c>
      <c r="AJ4409" t="s">
        <v>69</v>
      </c>
      <c r="AY4409" t="s">
        <v>2793</v>
      </c>
      <c r="AZ4409">
        <v>17382</v>
      </c>
      <c r="BA4409" t="s">
        <v>2794</v>
      </c>
      <c r="BB4409" t="s">
        <v>2795</v>
      </c>
      <c r="BC4409">
        <v>1996</v>
      </c>
      <c r="BD4409" t="s">
        <v>73</v>
      </c>
    </row>
    <row r="4410" spans="1:56" x14ac:dyDescent="0.35">
      <c r="A4410">
        <v>76930580</v>
      </c>
      <c r="B4410" t="s">
        <v>2997</v>
      </c>
      <c r="D4410" t="s">
        <v>85</v>
      </c>
      <c r="E4410">
        <v>100</v>
      </c>
      <c r="F4410" t="s">
        <v>58</v>
      </c>
      <c r="G4410" t="s">
        <v>59</v>
      </c>
      <c r="H4410" t="s">
        <v>60</v>
      </c>
      <c r="I4410" t="s">
        <v>129</v>
      </c>
      <c r="J4410" t="s">
        <v>86</v>
      </c>
      <c r="K4410" t="s">
        <v>1027</v>
      </c>
      <c r="L4410" t="s">
        <v>62</v>
      </c>
      <c r="M4410" t="s">
        <v>63</v>
      </c>
      <c r="N4410" t="s">
        <v>64</v>
      </c>
      <c r="P4410" t="s">
        <v>65</v>
      </c>
      <c r="R4410">
        <v>605</v>
      </c>
      <c r="T4410">
        <v>470</v>
      </c>
      <c r="V4410">
        <v>780</v>
      </c>
      <c r="W4410" t="s">
        <v>66</v>
      </c>
      <c r="X4410" t="s">
        <v>67</v>
      </c>
      <c r="Y4410" t="s">
        <v>67</v>
      </c>
      <c r="Z4410" t="s">
        <v>68</v>
      </c>
      <c r="AB4410">
        <v>4</v>
      </c>
      <c r="AC4410" t="s">
        <v>61</v>
      </c>
      <c r="AJ4410" t="s">
        <v>69</v>
      </c>
      <c r="AY4410" t="s">
        <v>2793</v>
      </c>
      <c r="AZ4410">
        <v>17382</v>
      </c>
      <c r="BA4410" t="s">
        <v>2794</v>
      </c>
      <c r="BB4410" t="s">
        <v>2795</v>
      </c>
      <c r="BC4410">
        <v>1996</v>
      </c>
      <c r="BD4410" t="s">
        <v>2797</v>
      </c>
    </row>
    <row r="4411" spans="1:56" x14ac:dyDescent="0.35">
      <c r="A4411">
        <v>76930580</v>
      </c>
      <c r="B4411" t="s">
        <v>2997</v>
      </c>
      <c r="D4411" t="s">
        <v>85</v>
      </c>
      <c r="E4411">
        <v>100</v>
      </c>
      <c r="F4411" t="s">
        <v>58</v>
      </c>
      <c r="G4411" t="s">
        <v>59</v>
      </c>
      <c r="H4411" t="s">
        <v>60</v>
      </c>
      <c r="I4411" t="s">
        <v>129</v>
      </c>
      <c r="J4411" t="s">
        <v>86</v>
      </c>
      <c r="K4411" t="s">
        <v>1027</v>
      </c>
      <c r="L4411" t="s">
        <v>62</v>
      </c>
      <c r="M4411" t="s">
        <v>63</v>
      </c>
      <c r="N4411" t="s">
        <v>64</v>
      </c>
      <c r="P4411" t="s">
        <v>65</v>
      </c>
      <c r="R4411">
        <v>612</v>
      </c>
      <c r="T4411">
        <v>444</v>
      </c>
      <c r="V4411">
        <v>770</v>
      </c>
      <c r="W4411" t="s">
        <v>66</v>
      </c>
      <c r="X4411" t="s">
        <v>67</v>
      </c>
      <c r="Y4411" t="s">
        <v>67</v>
      </c>
      <c r="Z4411" t="s">
        <v>68</v>
      </c>
      <c r="AB4411">
        <v>4</v>
      </c>
      <c r="AC4411" t="s">
        <v>61</v>
      </c>
      <c r="AJ4411" t="s">
        <v>69</v>
      </c>
      <c r="AY4411" t="s">
        <v>2793</v>
      </c>
      <c r="AZ4411">
        <v>17382</v>
      </c>
      <c r="BA4411" t="s">
        <v>2794</v>
      </c>
      <c r="BB4411" t="s">
        <v>2795</v>
      </c>
      <c r="BC4411">
        <v>1996</v>
      </c>
      <c r="BD4411" t="s">
        <v>2797</v>
      </c>
    </row>
    <row r="4412" spans="1:56" x14ac:dyDescent="0.35">
      <c r="A4412">
        <v>76930580</v>
      </c>
      <c r="B4412" t="s">
        <v>2997</v>
      </c>
      <c r="D4412" t="s">
        <v>85</v>
      </c>
      <c r="E4412">
        <v>100</v>
      </c>
      <c r="F4412" t="s">
        <v>58</v>
      </c>
      <c r="G4412" t="s">
        <v>59</v>
      </c>
      <c r="H4412" t="s">
        <v>60</v>
      </c>
      <c r="I4412" t="s">
        <v>177</v>
      </c>
      <c r="J4412">
        <v>1</v>
      </c>
      <c r="K4412" t="s">
        <v>1027</v>
      </c>
      <c r="L4412" t="s">
        <v>62</v>
      </c>
      <c r="M4412" t="s">
        <v>63</v>
      </c>
      <c r="N4412" t="s">
        <v>64</v>
      </c>
      <c r="P4412" t="s">
        <v>65</v>
      </c>
      <c r="R4412">
        <v>420</v>
      </c>
      <c r="T4412">
        <v>320</v>
      </c>
      <c r="V4412">
        <v>532</v>
      </c>
      <c r="W4412" t="s">
        <v>66</v>
      </c>
      <c r="X4412" t="s">
        <v>67</v>
      </c>
      <c r="Y4412" t="s">
        <v>67</v>
      </c>
      <c r="Z4412" t="s">
        <v>68</v>
      </c>
      <c r="AB4412">
        <v>4</v>
      </c>
      <c r="AC4412" t="s">
        <v>61</v>
      </c>
      <c r="AJ4412" t="s">
        <v>69</v>
      </c>
      <c r="AY4412" t="s">
        <v>2793</v>
      </c>
      <c r="AZ4412">
        <v>17382</v>
      </c>
      <c r="BA4412" t="s">
        <v>2794</v>
      </c>
      <c r="BB4412" t="s">
        <v>2795</v>
      </c>
      <c r="BC4412">
        <v>1996</v>
      </c>
      <c r="BD4412" t="s">
        <v>1028</v>
      </c>
    </row>
    <row r="4413" spans="1:56" x14ac:dyDescent="0.35">
      <c r="A4413">
        <v>76930580</v>
      </c>
      <c r="B4413" t="s">
        <v>2997</v>
      </c>
      <c r="D4413" t="s">
        <v>85</v>
      </c>
      <c r="E4413">
        <v>100</v>
      </c>
      <c r="F4413" t="s">
        <v>58</v>
      </c>
      <c r="G4413" t="s">
        <v>59</v>
      </c>
      <c r="H4413" t="s">
        <v>60</v>
      </c>
      <c r="I4413" t="s">
        <v>129</v>
      </c>
      <c r="J4413" t="s">
        <v>86</v>
      </c>
      <c r="K4413" t="s">
        <v>1027</v>
      </c>
      <c r="L4413" t="s">
        <v>62</v>
      </c>
      <c r="M4413" t="s">
        <v>63</v>
      </c>
      <c r="N4413" t="s">
        <v>64</v>
      </c>
      <c r="P4413" t="s">
        <v>65</v>
      </c>
      <c r="R4413">
        <v>494</v>
      </c>
      <c r="T4413">
        <v>432</v>
      </c>
      <c r="V4413">
        <v>573</v>
      </c>
      <c r="W4413" t="s">
        <v>66</v>
      </c>
      <c r="X4413" t="s">
        <v>67</v>
      </c>
      <c r="Y4413" t="s">
        <v>67</v>
      </c>
      <c r="Z4413" t="s">
        <v>68</v>
      </c>
      <c r="AB4413">
        <v>4</v>
      </c>
      <c r="AC4413" t="s">
        <v>61</v>
      </c>
      <c r="AJ4413" t="s">
        <v>69</v>
      </c>
      <c r="AY4413" t="s">
        <v>2793</v>
      </c>
      <c r="AZ4413">
        <v>17382</v>
      </c>
      <c r="BA4413" t="s">
        <v>2794</v>
      </c>
      <c r="BB4413" t="s">
        <v>2795</v>
      </c>
      <c r="BC4413">
        <v>1996</v>
      </c>
      <c r="BD4413" t="s">
        <v>2796</v>
      </c>
    </row>
    <row r="4414" spans="1:56" x14ac:dyDescent="0.35">
      <c r="A4414">
        <v>76930580</v>
      </c>
      <c r="B4414" t="s">
        <v>2997</v>
      </c>
      <c r="D4414" t="s">
        <v>85</v>
      </c>
      <c r="E4414">
        <v>100</v>
      </c>
      <c r="F4414" t="s">
        <v>58</v>
      </c>
      <c r="G4414" t="s">
        <v>59</v>
      </c>
      <c r="H4414" t="s">
        <v>60</v>
      </c>
      <c r="I4414" t="s">
        <v>177</v>
      </c>
      <c r="J4414">
        <v>1</v>
      </c>
      <c r="K4414" t="s">
        <v>1027</v>
      </c>
      <c r="L4414" t="s">
        <v>62</v>
      </c>
      <c r="M4414" t="s">
        <v>63</v>
      </c>
      <c r="N4414" t="s">
        <v>64</v>
      </c>
      <c r="P4414" t="s">
        <v>65</v>
      </c>
      <c r="R4414">
        <v>135</v>
      </c>
      <c r="T4414">
        <v>105</v>
      </c>
      <c r="V4414">
        <v>165</v>
      </c>
      <c r="W4414" t="s">
        <v>66</v>
      </c>
      <c r="X4414" t="s">
        <v>67</v>
      </c>
      <c r="Y4414" t="s">
        <v>67</v>
      </c>
      <c r="Z4414" t="s">
        <v>68</v>
      </c>
      <c r="AB4414">
        <v>4</v>
      </c>
      <c r="AC4414" t="s">
        <v>61</v>
      </c>
      <c r="AJ4414" t="s">
        <v>69</v>
      </c>
      <c r="AY4414" t="s">
        <v>2793</v>
      </c>
      <c r="AZ4414">
        <v>17382</v>
      </c>
      <c r="BA4414" t="s">
        <v>2794</v>
      </c>
      <c r="BB4414" t="s">
        <v>2795</v>
      </c>
      <c r="BC4414">
        <v>1996</v>
      </c>
      <c r="BD4414" t="s">
        <v>1028</v>
      </c>
    </row>
    <row r="4415" spans="1:56" x14ac:dyDescent="0.35">
      <c r="A4415">
        <v>76930580</v>
      </c>
      <c r="B4415" t="s">
        <v>2997</v>
      </c>
      <c r="D4415" t="s">
        <v>85</v>
      </c>
      <c r="E4415">
        <v>100</v>
      </c>
      <c r="F4415" t="s">
        <v>58</v>
      </c>
      <c r="G4415" t="s">
        <v>59</v>
      </c>
      <c r="H4415" t="s">
        <v>60</v>
      </c>
      <c r="I4415" t="s">
        <v>129</v>
      </c>
      <c r="J4415" t="s">
        <v>86</v>
      </c>
      <c r="K4415" t="s">
        <v>1027</v>
      </c>
      <c r="L4415" t="s">
        <v>62</v>
      </c>
      <c r="M4415" t="s">
        <v>63</v>
      </c>
      <c r="N4415" t="s">
        <v>64</v>
      </c>
      <c r="P4415" t="s">
        <v>65</v>
      </c>
      <c r="R4415">
        <v>490</v>
      </c>
      <c r="T4415">
        <v>378</v>
      </c>
      <c r="V4415">
        <v>597</v>
      </c>
      <c r="W4415" t="s">
        <v>66</v>
      </c>
      <c r="X4415" t="s">
        <v>67</v>
      </c>
      <c r="Y4415" t="s">
        <v>67</v>
      </c>
      <c r="Z4415" t="s">
        <v>68</v>
      </c>
      <c r="AB4415">
        <v>4</v>
      </c>
      <c r="AC4415" t="s">
        <v>61</v>
      </c>
      <c r="AJ4415" t="s">
        <v>69</v>
      </c>
      <c r="AY4415" t="s">
        <v>2793</v>
      </c>
      <c r="AZ4415">
        <v>17382</v>
      </c>
      <c r="BA4415" t="s">
        <v>2794</v>
      </c>
      <c r="BB4415" t="s">
        <v>2795</v>
      </c>
      <c r="BC4415">
        <v>1996</v>
      </c>
      <c r="BD4415" t="s">
        <v>2797</v>
      </c>
    </row>
    <row r="4416" spans="1:56" x14ac:dyDescent="0.35">
      <c r="A4416">
        <v>76930580</v>
      </c>
      <c r="B4416" t="s">
        <v>2997</v>
      </c>
      <c r="D4416" t="s">
        <v>85</v>
      </c>
      <c r="E4416">
        <v>100</v>
      </c>
      <c r="F4416" t="s">
        <v>58</v>
      </c>
      <c r="G4416" t="s">
        <v>59</v>
      </c>
      <c r="H4416" t="s">
        <v>60</v>
      </c>
      <c r="I4416" t="s">
        <v>186</v>
      </c>
      <c r="J4416">
        <v>3</v>
      </c>
      <c r="K4416" t="s">
        <v>61</v>
      </c>
      <c r="L4416" t="s">
        <v>62</v>
      </c>
      <c r="M4416" t="s">
        <v>63</v>
      </c>
      <c r="N4416" t="s">
        <v>64</v>
      </c>
      <c r="P4416" t="s">
        <v>65</v>
      </c>
      <c r="R4416">
        <v>363</v>
      </c>
      <c r="T4416">
        <v>280</v>
      </c>
      <c r="V4416">
        <v>470</v>
      </c>
      <c r="W4416" t="s">
        <v>66</v>
      </c>
      <c r="X4416" t="s">
        <v>67</v>
      </c>
      <c r="Y4416" t="s">
        <v>67</v>
      </c>
      <c r="Z4416" t="s">
        <v>68</v>
      </c>
      <c r="AB4416">
        <v>4</v>
      </c>
      <c r="AC4416" t="s">
        <v>61</v>
      </c>
      <c r="AJ4416" t="s">
        <v>69</v>
      </c>
      <c r="AY4416" t="s">
        <v>2793</v>
      </c>
      <c r="AZ4416">
        <v>17382</v>
      </c>
      <c r="BA4416" t="s">
        <v>2794</v>
      </c>
      <c r="BB4416" t="s">
        <v>2795</v>
      </c>
      <c r="BC4416">
        <v>1996</v>
      </c>
      <c r="BD4416" t="s">
        <v>73</v>
      </c>
    </row>
    <row r="4417" spans="1:56" x14ac:dyDescent="0.35">
      <c r="A4417">
        <v>76930580</v>
      </c>
      <c r="B4417" t="s">
        <v>2997</v>
      </c>
      <c r="D4417" t="s">
        <v>85</v>
      </c>
      <c r="E4417">
        <v>100</v>
      </c>
      <c r="F4417" t="s">
        <v>58</v>
      </c>
      <c r="G4417" t="s">
        <v>59</v>
      </c>
      <c r="H4417" t="s">
        <v>60</v>
      </c>
      <c r="I4417" t="s">
        <v>129</v>
      </c>
      <c r="J4417" t="s">
        <v>86</v>
      </c>
      <c r="K4417" t="s">
        <v>1027</v>
      </c>
      <c r="L4417" t="s">
        <v>62</v>
      </c>
      <c r="M4417" t="s">
        <v>63</v>
      </c>
      <c r="N4417" t="s">
        <v>64</v>
      </c>
      <c r="P4417" t="s">
        <v>65</v>
      </c>
      <c r="R4417">
        <v>193</v>
      </c>
      <c r="T4417">
        <v>153</v>
      </c>
      <c r="V4417">
        <v>235</v>
      </c>
      <c r="W4417" t="s">
        <v>66</v>
      </c>
      <c r="X4417" t="s">
        <v>67</v>
      </c>
      <c r="Y4417" t="s">
        <v>67</v>
      </c>
      <c r="Z4417" t="s">
        <v>68</v>
      </c>
      <c r="AB4417">
        <v>4</v>
      </c>
      <c r="AC4417" t="s">
        <v>61</v>
      </c>
      <c r="AJ4417" t="s">
        <v>69</v>
      </c>
      <c r="AY4417" t="s">
        <v>2793</v>
      </c>
      <c r="AZ4417">
        <v>17382</v>
      </c>
      <c r="BA4417" t="s">
        <v>2794</v>
      </c>
      <c r="BB4417" t="s">
        <v>2795</v>
      </c>
      <c r="BC4417">
        <v>1996</v>
      </c>
      <c r="BD4417" t="s">
        <v>2798</v>
      </c>
    </row>
    <row r="4418" spans="1:56" x14ac:dyDescent="0.35">
      <c r="A4418">
        <v>76930580</v>
      </c>
      <c r="B4418" t="s">
        <v>2997</v>
      </c>
      <c r="D4418" t="s">
        <v>85</v>
      </c>
      <c r="E4418">
        <v>100</v>
      </c>
      <c r="F4418" t="s">
        <v>58</v>
      </c>
      <c r="G4418" t="s">
        <v>59</v>
      </c>
      <c r="H4418" t="s">
        <v>60</v>
      </c>
      <c r="I4418" t="s">
        <v>177</v>
      </c>
      <c r="J4418">
        <v>1</v>
      </c>
      <c r="K4418" t="s">
        <v>1027</v>
      </c>
      <c r="L4418" t="s">
        <v>62</v>
      </c>
      <c r="M4418" t="s">
        <v>63</v>
      </c>
      <c r="N4418" t="s">
        <v>64</v>
      </c>
      <c r="P4418" t="s">
        <v>65</v>
      </c>
      <c r="R4418">
        <v>233</v>
      </c>
      <c r="T4418">
        <v>184</v>
      </c>
      <c r="V4418">
        <v>301</v>
      </c>
      <c r="W4418" t="s">
        <v>66</v>
      </c>
      <c r="X4418" t="s">
        <v>67</v>
      </c>
      <c r="Y4418" t="s">
        <v>67</v>
      </c>
      <c r="Z4418" t="s">
        <v>68</v>
      </c>
      <c r="AB4418">
        <v>4</v>
      </c>
      <c r="AC4418" t="s">
        <v>61</v>
      </c>
      <c r="AJ4418" t="s">
        <v>69</v>
      </c>
      <c r="AY4418" t="s">
        <v>2793</v>
      </c>
      <c r="AZ4418">
        <v>17382</v>
      </c>
      <c r="BA4418" t="s">
        <v>2794</v>
      </c>
      <c r="BB4418" t="s">
        <v>2795</v>
      </c>
      <c r="BC4418">
        <v>1996</v>
      </c>
      <c r="BD4418" t="s">
        <v>1028</v>
      </c>
    </row>
    <row r="4419" spans="1:56" x14ac:dyDescent="0.35">
      <c r="A4419">
        <v>76930580</v>
      </c>
      <c r="B4419" t="s">
        <v>2997</v>
      </c>
      <c r="D4419" t="s">
        <v>85</v>
      </c>
      <c r="E4419">
        <v>100</v>
      </c>
      <c r="F4419" t="s">
        <v>58</v>
      </c>
      <c r="G4419" t="s">
        <v>59</v>
      </c>
      <c r="H4419" t="s">
        <v>60</v>
      </c>
      <c r="I4419" t="s">
        <v>186</v>
      </c>
      <c r="J4419">
        <v>3</v>
      </c>
      <c r="K4419" t="s">
        <v>61</v>
      </c>
      <c r="L4419" t="s">
        <v>62</v>
      </c>
      <c r="M4419" t="s">
        <v>63</v>
      </c>
      <c r="N4419" t="s">
        <v>64</v>
      </c>
      <c r="P4419" t="s">
        <v>65</v>
      </c>
      <c r="R4419">
        <v>1569</v>
      </c>
      <c r="T4419">
        <v>1255</v>
      </c>
      <c r="V4419">
        <v>1924</v>
      </c>
      <c r="W4419" t="s">
        <v>66</v>
      </c>
      <c r="X4419" t="s">
        <v>67</v>
      </c>
      <c r="Y4419" t="s">
        <v>67</v>
      </c>
      <c r="Z4419" t="s">
        <v>68</v>
      </c>
      <c r="AB4419">
        <v>4</v>
      </c>
      <c r="AC4419" t="s">
        <v>61</v>
      </c>
      <c r="AJ4419" t="s">
        <v>69</v>
      </c>
      <c r="AY4419" t="s">
        <v>2793</v>
      </c>
      <c r="AZ4419">
        <v>17382</v>
      </c>
      <c r="BA4419" t="s">
        <v>2794</v>
      </c>
      <c r="BB4419" t="s">
        <v>2795</v>
      </c>
      <c r="BC4419">
        <v>1996</v>
      </c>
      <c r="BD4419" t="s">
        <v>73</v>
      </c>
    </row>
    <row r="4420" spans="1:56" x14ac:dyDescent="0.35">
      <c r="A4420">
        <v>76930580</v>
      </c>
      <c r="B4420" t="s">
        <v>2997</v>
      </c>
      <c r="D4420" t="s">
        <v>85</v>
      </c>
      <c r="E4420">
        <v>100</v>
      </c>
      <c r="F4420" t="s">
        <v>58</v>
      </c>
      <c r="G4420" t="s">
        <v>59</v>
      </c>
      <c r="H4420" t="s">
        <v>60</v>
      </c>
      <c r="I4420" t="s">
        <v>129</v>
      </c>
      <c r="J4420" t="s">
        <v>86</v>
      </c>
      <c r="K4420" t="s">
        <v>1027</v>
      </c>
      <c r="L4420" t="s">
        <v>62</v>
      </c>
      <c r="M4420" t="s">
        <v>63</v>
      </c>
      <c r="N4420" t="s">
        <v>64</v>
      </c>
      <c r="P4420" t="s">
        <v>65</v>
      </c>
      <c r="R4420">
        <v>320</v>
      </c>
      <c r="T4420">
        <v>252</v>
      </c>
      <c r="V4420">
        <v>392</v>
      </c>
      <c r="W4420" t="s">
        <v>66</v>
      </c>
      <c r="X4420" t="s">
        <v>67</v>
      </c>
      <c r="Y4420" t="s">
        <v>67</v>
      </c>
      <c r="Z4420" t="s">
        <v>68</v>
      </c>
      <c r="AB4420">
        <v>4</v>
      </c>
      <c r="AC4420" t="s">
        <v>61</v>
      </c>
      <c r="AJ4420" t="s">
        <v>69</v>
      </c>
      <c r="AY4420" t="s">
        <v>2793</v>
      </c>
      <c r="AZ4420">
        <v>17382</v>
      </c>
      <c r="BA4420" t="s">
        <v>2794</v>
      </c>
      <c r="BB4420" t="s">
        <v>2795</v>
      </c>
      <c r="BC4420">
        <v>1996</v>
      </c>
      <c r="BD4420" t="s">
        <v>2797</v>
      </c>
    </row>
    <row r="4421" spans="1:56" x14ac:dyDescent="0.35">
      <c r="A4421">
        <v>76930580</v>
      </c>
      <c r="B4421" t="s">
        <v>2997</v>
      </c>
      <c r="D4421" t="s">
        <v>85</v>
      </c>
      <c r="E4421">
        <v>100</v>
      </c>
      <c r="F4421" t="s">
        <v>58</v>
      </c>
      <c r="G4421" t="s">
        <v>59</v>
      </c>
      <c r="H4421" t="s">
        <v>60</v>
      </c>
      <c r="I4421" t="s">
        <v>186</v>
      </c>
      <c r="J4421">
        <v>3</v>
      </c>
      <c r="K4421" t="s">
        <v>61</v>
      </c>
      <c r="L4421" t="s">
        <v>62</v>
      </c>
      <c r="M4421" t="s">
        <v>63</v>
      </c>
      <c r="N4421" t="s">
        <v>64</v>
      </c>
      <c r="P4421" t="s">
        <v>65</v>
      </c>
      <c r="R4421">
        <v>2250</v>
      </c>
      <c r="T4421">
        <v>1736</v>
      </c>
      <c r="V4421">
        <v>2748</v>
      </c>
      <c r="W4421" t="s">
        <v>66</v>
      </c>
      <c r="X4421" t="s">
        <v>67</v>
      </c>
      <c r="Y4421" t="s">
        <v>67</v>
      </c>
      <c r="Z4421" t="s">
        <v>68</v>
      </c>
      <c r="AB4421">
        <v>4</v>
      </c>
      <c r="AC4421" t="s">
        <v>61</v>
      </c>
      <c r="AJ4421" t="s">
        <v>69</v>
      </c>
      <c r="AY4421" t="s">
        <v>2793</v>
      </c>
      <c r="AZ4421">
        <v>17382</v>
      </c>
      <c r="BA4421" t="s">
        <v>2794</v>
      </c>
      <c r="BB4421" t="s">
        <v>2795</v>
      </c>
      <c r="BC4421">
        <v>1996</v>
      </c>
      <c r="BD4421" t="s">
        <v>73</v>
      </c>
    </row>
    <row r="4422" spans="1:56" x14ac:dyDescent="0.35">
      <c r="A4422">
        <v>79124768</v>
      </c>
      <c r="B4422" t="s">
        <v>2998</v>
      </c>
      <c r="D4422" t="s">
        <v>57</v>
      </c>
      <c r="E4422">
        <v>94</v>
      </c>
      <c r="F4422" t="s">
        <v>58</v>
      </c>
      <c r="G4422" t="s">
        <v>59</v>
      </c>
      <c r="H4422" t="s">
        <v>60</v>
      </c>
      <c r="J4422">
        <v>32</v>
      </c>
      <c r="K4422" t="s">
        <v>61</v>
      </c>
      <c r="L4422" t="s">
        <v>74</v>
      </c>
      <c r="M4422" t="s">
        <v>63</v>
      </c>
      <c r="N4422" t="s">
        <v>64</v>
      </c>
      <c r="P4422" t="s">
        <v>65</v>
      </c>
      <c r="R4422">
        <v>0.3</v>
      </c>
      <c r="T4422">
        <v>0.26</v>
      </c>
      <c r="V4422">
        <v>0.34</v>
      </c>
      <c r="W4422" t="s">
        <v>66</v>
      </c>
      <c r="X4422" t="s">
        <v>67</v>
      </c>
      <c r="Y4422" t="s">
        <v>67</v>
      </c>
      <c r="Z4422" t="s">
        <v>68</v>
      </c>
      <c r="AB4422">
        <v>4</v>
      </c>
      <c r="AC4422" t="s">
        <v>61</v>
      </c>
      <c r="AJ4422" t="s">
        <v>69</v>
      </c>
      <c r="AY4422" t="s">
        <v>141</v>
      </c>
      <c r="AZ4422">
        <v>12447</v>
      </c>
      <c r="BA4422" t="s">
        <v>142</v>
      </c>
      <c r="BB4422" t="s">
        <v>143</v>
      </c>
      <c r="BC4422">
        <v>1985</v>
      </c>
      <c r="BD4422" t="s">
        <v>73</v>
      </c>
    </row>
    <row r="4423" spans="1:56" x14ac:dyDescent="0.35">
      <c r="A4423">
        <v>79617962</v>
      </c>
      <c r="B4423" t="s">
        <v>2999</v>
      </c>
      <c r="D4423" t="s">
        <v>85</v>
      </c>
      <c r="E4423">
        <v>100.1</v>
      </c>
      <c r="F4423" t="s">
        <v>58</v>
      </c>
      <c r="G4423" t="s">
        <v>59</v>
      </c>
      <c r="H4423" t="s">
        <v>60</v>
      </c>
      <c r="I4423" t="s">
        <v>188</v>
      </c>
      <c r="J4423" t="s">
        <v>289</v>
      </c>
      <c r="K4423" t="s">
        <v>184</v>
      </c>
      <c r="L4423" t="s">
        <v>190</v>
      </c>
      <c r="M4423" t="s">
        <v>63</v>
      </c>
      <c r="N4423" t="s">
        <v>64</v>
      </c>
      <c r="P4423" t="s">
        <v>65</v>
      </c>
      <c r="R4423">
        <v>0.14299999999999999</v>
      </c>
      <c r="W4423" t="s">
        <v>66</v>
      </c>
      <c r="X4423" t="s">
        <v>67</v>
      </c>
      <c r="Y4423" t="s">
        <v>67</v>
      </c>
      <c r="Z4423" t="s">
        <v>68</v>
      </c>
      <c r="AB4423">
        <v>4</v>
      </c>
      <c r="AC4423" t="s">
        <v>61</v>
      </c>
      <c r="AJ4423" t="s">
        <v>69</v>
      </c>
      <c r="AY4423" t="s">
        <v>2900</v>
      </c>
      <c r="AZ4423">
        <v>155180</v>
      </c>
      <c r="BA4423" t="s">
        <v>2901</v>
      </c>
      <c r="BB4423" t="s">
        <v>2902</v>
      </c>
      <c r="BC4423">
        <v>2004</v>
      </c>
      <c r="BD4423" t="s">
        <v>185</v>
      </c>
    </row>
    <row r="4424" spans="1:56" x14ac:dyDescent="0.35">
      <c r="A4424">
        <v>81334341</v>
      </c>
      <c r="B4424" t="s">
        <v>3000</v>
      </c>
      <c r="D4424" t="s">
        <v>85</v>
      </c>
      <c r="E4424" t="s">
        <v>86</v>
      </c>
      <c r="F4424" t="s">
        <v>58</v>
      </c>
      <c r="G4424" t="s">
        <v>59</v>
      </c>
      <c r="H4424" t="s">
        <v>60</v>
      </c>
      <c r="I4424" t="s">
        <v>188</v>
      </c>
      <c r="J4424" t="s">
        <v>86</v>
      </c>
      <c r="K4424" t="s">
        <v>61</v>
      </c>
      <c r="L4424" t="s">
        <v>62</v>
      </c>
      <c r="M4424" t="s">
        <v>63</v>
      </c>
      <c r="N4424" t="s">
        <v>64</v>
      </c>
      <c r="P4424" t="s">
        <v>65</v>
      </c>
      <c r="Q4424" t="s">
        <v>153</v>
      </c>
      <c r="R4424">
        <v>0.91</v>
      </c>
      <c r="W4424" t="s">
        <v>2833</v>
      </c>
      <c r="X4424" t="s">
        <v>67</v>
      </c>
      <c r="Y4424" t="s">
        <v>67</v>
      </c>
      <c r="Z4424" t="s">
        <v>68</v>
      </c>
      <c r="AB4424">
        <v>4</v>
      </c>
      <c r="AC4424" t="s">
        <v>61</v>
      </c>
      <c r="AJ4424" t="s">
        <v>69</v>
      </c>
      <c r="AY4424" t="s">
        <v>2834</v>
      </c>
      <c r="AZ4424">
        <v>160505</v>
      </c>
      <c r="BA4424" t="s">
        <v>2835</v>
      </c>
      <c r="BB4424" t="s">
        <v>2836</v>
      </c>
      <c r="BC4424">
        <v>2012</v>
      </c>
      <c r="BD4424" t="s">
        <v>2837</v>
      </c>
    </row>
    <row r="4425" spans="1:56" x14ac:dyDescent="0.35">
      <c r="A4425">
        <v>81334341</v>
      </c>
      <c r="B4425" t="s">
        <v>3000</v>
      </c>
      <c r="D4425" t="s">
        <v>85</v>
      </c>
      <c r="E4425" t="s">
        <v>86</v>
      </c>
      <c r="F4425" t="s">
        <v>58</v>
      </c>
      <c r="G4425" t="s">
        <v>59</v>
      </c>
      <c r="H4425" t="s">
        <v>60</v>
      </c>
      <c r="I4425" t="s">
        <v>188</v>
      </c>
      <c r="J4425" t="s">
        <v>86</v>
      </c>
      <c r="K4425" t="s">
        <v>61</v>
      </c>
      <c r="L4425" t="s">
        <v>62</v>
      </c>
      <c r="M4425" t="s">
        <v>63</v>
      </c>
      <c r="N4425" t="s">
        <v>64</v>
      </c>
      <c r="P4425" t="s">
        <v>65</v>
      </c>
      <c r="Q4425" t="s">
        <v>153</v>
      </c>
      <c r="R4425">
        <v>0.92</v>
      </c>
      <c r="W4425" t="s">
        <v>2833</v>
      </c>
      <c r="X4425" t="s">
        <v>67</v>
      </c>
      <c r="Y4425" t="s">
        <v>67</v>
      </c>
      <c r="Z4425" t="s">
        <v>68</v>
      </c>
      <c r="AB4425">
        <v>4</v>
      </c>
      <c r="AC4425" t="s">
        <v>61</v>
      </c>
      <c r="AJ4425" t="s">
        <v>69</v>
      </c>
      <c r="AY4425" t="s">
        <v>2834</v>
      </c>
      <c r="AZ4425">
        <v>160505</v>
      </c>
      <c r="BA4425" t="s">
        <v>2835</v>
      </c>
      <c r="BB4425" t="s">
        <v>2836</v>
      </c>
      <c r="BC4425">
        <v>2012</v>
      </c>
      <c r="BD4425" t="s">
        <v>2837</v>
      </c>
    </row>
    <row r="4426" spans="1:56" x14ac:dyDescent="0.35">
      <c r="A4426">
        <v>81510830</v>
      </c>
      <c r="B4426" t="s">
        <v>3001</v>
      </c>
      <c r="D4426" t="s">
        <v>85</v>
      </c>
      <c r="E4426" t="s">
        <v>86</v>
      </c>
      <c r="F4426" t="s">
        <v>58</v>
      </c>
      <c r="G4426" t="s">
        <v>59</v>
      </c>
      <c r="H4426" t="s">
        <v>60</v>
      </c>
      <c r="I4426" t="s">
        <v>188</v>
      </c>
      <c r="J4426" t="s">
        <v>86</v>
      </c>
      <c r="K4426" t="s">
        <v>61</v>
      </c>
      <c r="L4426" t="s">
        <v>62</v>
      </c>
      <c r="M4426" t="s">
        <v>63</v>
      </c>
      <c r="N4426" t="s">
        <v>64</v>
      </c>
      <c r="P4426" t="s">
        <v>65</v>
      </c>
      <c r="Q4426" t="s">
        <v>153</v>
      </c>
      <c r="R4426">
        <v>0.91</v>
      </c>
      <c r="W4426" t="s">
        <v>2833</v>
      </c>
      <c r="X4426" t="s">
        <v>67</v>
      </c>
      <c r="Y4426" t="s">
        <v>67</v>
      </c>
      <c r="Z4426" t="s">
        <v>68</v>
      </c>
      <c r="AB4426">
        <v>4</v>
      </c>
      <c r="AC4426" t="s">
        <v>61</v>
      </c>
      <c r="AJ4426" t="s">
        <v>69</v>
      </c>
      <c r="AY4426" t="s">
        <v>2834</v>
      </c>
      <c r="AZ4426">
        <v>160505</v>
      </c>
      <c r="BA4426" t="s">
        <v>2835</v>
      </c>
      <c r="BB4426" t="s">
        <v>2836</v>
      </c>
      <c r="BC4426">
        <v>2012</v>
      </c>
      <c r="BD4426" t="s">
        <v>2837</v>
      </c>
    </row>
    <row r="4427" spans="1:56" x14ac:dyDescent="0.35">
      <c r="A4427">
        <v>81510830</v>
      </c>
      <c r="B4427" t="s">
        <v>3001</v>
      </c>
      <c r="D4427" t="s">
        <v>85</v>
      </c>
      <c r="E4427" t="s">
        <v>86</v>
      </c>
      <c r="F4427" t="s">
        <v>58</v>
      </c>
      <c r="G4427" t="s">
        <v>59</v>
      </c>
      <c r="H4427" t="s">
        <v>60</v>
      </c>
      <c r="I4427" t="s">
        <v>188</v>
      </c>
      <c r="J4427" t="s">
        <v>86</v>
      </c>
      <c r="K4427" t="s">
        <v>61</v>
      </c>
      <c r="L4427" t="s">
        <v>62</v>
      </c>
      <c r="M4427" t="s">
        <v>63</v>
      </c>
      <c r="N4427" t="s">
        <v>64</v>
      </c>
      <c r="P4427" t="s">
        <v>65</v>
      </c>
      <c r="Q4427" t="s">
        <v>153</v>
      </c>
      <c r="R4427">
        <v>0.92</v>
      </c>
      <c r="W4427" t="s">
        <v>2833</v>
      </c>
      <c r="X4427" t="s">
        <v>67</v>
      </c>
      <c r="Y4427" t="s">
        <v>67</v>
      </c>
      <c r="Z4427" t="s">
        <v>68</v>
      </c>
      <c r="AB4427">
        <v>4</v>
      </c>
      <c r="AC4427" t="s">
        <v>61</v>
      </c>
      <c r="AJ4427" t="s">
        <v>69</v>
      </c>
      <c r="AY4427" t="s">
        <v>2834</v>
      </c>
      <c r="AZ4427">
        <v>160505</v>
      </c>
      <c r="BA4427" t="s">
        <v>2835</v>
      </c>
      <c r="BB4427" t="s">
        <v>2836</v>
      </c>
      <c r="BC4427">
        <v>2012</v>
      </c>
      <c r="BD4427" t="s">
        <v>2837</v>
      </c>
    </row>
    <row r="4428" spans="1:56" x14ac:dyDescent="0.35">
      <c r="A4428">
        <v>84852153</v>
      </c>
      <c r="B4428" t="s">
        <v>3002</v>
      </c>
      <c r="C4428" t="s">
        <v>91</v>
      </c>
      <c r="D4428" t="s">
        <v>57</v>
      </c>
      <c r="E4428">
        <v>99</v>
      </c>
      <c r="F4428" t="s">
        <v>58</v>
      </c>
      <c r="G4428" t="s">
        <v>59</v>
      </c>
      <c r="H4428" t="s">
        <v>60</v>
      </c>
      <c r="I4428" t="s">
        <v>129</v>
      </c>
      <c r="J4428">
        <v>4</v>
      </c>
      <c r="K4428" t="s">
        <v>196</v>
      </c>
      <c r="L4428" t="s">
        <v>74</v>
      </c>
      <c r="M4428" t="s">
        <v>63</v>
      </c>
      <c r="N4428" t="s">
        <v>64</v>
      </c>
      <c r="P4428" t="s">
        <v>65</v>
      </c>
      <c r="R4428">
        <v>0.13825000000000001</v>
      </c>
      <c r="W4428" t="s">
        <v>66</v>
      </c>
      <c r="X4428" t="s">
        <v>67</v>
      </c>
      <c r="Y4428" t="s">
        <v>67</v>
      </c>
      <c r="Z4428" t="s">
        <v>68</v>
      </c>
      <c r="AB4428">
        <v>4</v>
      </c>
      <c r="AC4428" t="s">
        <v>61</v>
      </c>
      <c r="AJ4428" t="s">
        <v>69</v>
      </c>
      <c r="AY4428" t="s">
        <v>309</v>
      </c>
      <c r="AZ4428">
        <v>20505</v>
      </c>
      <c r="BA4428" t="s">
        <v>3003</v>
      </c>
      <c r="BB4428" t="s">
        <v>3004</v>
      </c>
      <c r="BC4428">
        <v>1993</v>
      </c>
      <c r="BD4428" t="s">
        <v>200</v>
      </c>
    </row>
    <row r="4429" spans="1:56" x14ac:dyDescent="0.35">
      <c r="A4429">
        <v>87820880</v>
      </c>
      <c r="B4429" t="s">
        <v>3005</v>
      </c>
      <c r="E4429">
        <v>99</v>
      </c>
      <c r="F4429" t="s">
        <v>58</v>
      </c>
      <c r="G4429" t="s">
        <v>59</v>
      </c>
      <c r="H4429" t="s">
        <v>60</v>
      </c>
      <c r="J4429" t="s">
        <v>86</v>
      </c>
      <c r="L4429" t="s">
        <v>62</v>
      </c>
      <c r="M4429" t="s">
        <v>63</v>
      </c>
      <c r="N4429" t="s">
        <v>64</v>
      </c>
      <c r="P4429" t="s">
        <v>65</v>
      </c>
      <c r="R4429">
        <v>44</v>
      </c>
      <c r="T4429">
        <v>41</v>
      </c>
      <c r="V4429">
        <v>48</v>
      </c>
      <c r="W4429" t="s">
        <v>66</v>
      </c>
      <c r="X4429" t="s">
        <v>67</v>
      </c>
      <c r="Y4429" t="s">
        <v>67</v>
      </c>
      <c r="Z4429" t="s">
        <v>68</v>
      </c>
      <c r="AB4429">
        <v>4</v>
      </c>
      <c r="AC4429" t="s">
        <v>61</v>
      </c>
      <c r="AJ4429" t="s">
        <v>69</v>
      </c>
      <c r="AY4429" t="s">
        <v>116</v>
      </c>
      <c r="AZ4429">
        <v>344</v>
      </c>
      <c r="BA4429" t="s">
        <v>117</v>
      </c>
      <c r="BB4429" t="s">
        <v>118</v>
      </c>
      <c r="BC4429">
        <v>1992</v>
      </c>
      <c r="BD4429" t="s">
        <v>90</v>
      </c>
    </row>
    <row r="4430" spans="1:56" x14ac:dyDescent="0.35">
      <c r="A4430">
        <v>95751976</v>
      </c>
      <c r="B4430" t="s">
        <v>3006</v>
      </c>
      <c r="D4430" t="s">
        <v>57</v>
      </c>
      <c r="E4430" t="s">
        <v>86</v>
      </c>
      <c r="F4430" t="s">
        <v>58</v>
      </c>
      <c r="G4430" t="s">
        <v>59</v>
      </c>
      <c r="H4430" t="s">
        <v>60</v>
      </c>
      <c r="J4430" t="s">
        <v>86</v>
      </c>
      <c r="L4430" t="s">
        <v>62</v>
      </c>
      <c r="M4430" t="s">
        <v>63</v>
      </c>
      <c r="N4430" t="s">
        <v>64</v>
      </c>
      <c r="O4430">
        <v>2</v>
      </c>
      <c r="P4430" t="s">
        <v>65</v>
      </c>
      <c r="Q4430" t="s">
        <v>153</v>
      </c>
      <c r="R4430">
        <v>0.23</v>
      </c>
      <c r="W4430" t="s">
        <v>66</v>
      </c>
      <c r="X4430" t="s">
        <v>67</v>
      </c>
      <c r="Y4430" t="s">
        <v>67</v>
      </c>
      <c r="Z4430" t="s">
        <v>68</v>
      </c>
      <c r="AB4430">
        <v>4</v>
      </c>
      <c r="AC4430" t="s">
        <v>61</v>
      </c>
      <c r="AJ4430" t="s">
        <v>69</v>
      </c>
      <c r="AY4430" t="s">
        <v>633</v>
      </c>
      <c r="AZ4430">
        <v>180491</v>
      </c>
      <c r="BA4430" t="s">
        <v>634</v>
      </c>
      <c r="BB4430" t="s">
        <v>635</v>
      </c>
      <c r="BC4430">
        <v>2000</v>
      </c>
      <c r="BD4430" t="s">
        <v>90</v>
      </c>
    </row>
    <row r="4431" spans="1:56" x14ac:dyDescent="0.35">
      <c r="A4431">
        <v>95751976</v>
      </c>
      <c r="B4431" t="s">
        <v>3006</v>
      </c>
      <c r="D4431" t="s">
        <v>85</v>
      </c>
      <c r="E4431" t="s">
        <v>128</v>
      </c>
      <c r="F4431" t="s">
        <v>58</v>
      </c>
      <c r="G4431" t="s">
        <v>59</v>
      </c>
      <c r="H4431" t="s">
        <v>60</v>
      </c>
      <c r="I4431" t="s">
        <v>129</v>
      </c>
      <c r="J4431" t="s">
        <v>86</v>
      </c>
      <c r="L4431" t="s">
        <v>74</v>
      </c>
      <c r="M4431" t="s">
        <v>63</v>
      </c>
      <c r="N4431" t="s">
        <v>64</v>
      </c>
      <c r="P4431" t="s">
        <v>100</v>
      </c>
      <c r="Q4431" t="s">
        <v>153</v>
      </c>
      <c r="R4431">
        <v>0.23</v>
      </c>
      <c r="W4431" t="s">
        <v>66</v>
      </c>
      <c r="X4431" t="s">
        <v>67</v>
      </c>
      <c r="Y4431" t="s">
        <v>67</v>
      </c>
      <c r="Z4431" t="s">
        <v>68</v>
      </c>
      <c r="AB4431">
        <v>4</v>
      </c>
      <c r="AC4431" t="s">
        <v>61</v>
      </c>
      <c r="AJ4431" t="s">
        <v>69</v>
      </c>
      <c r="AY4431" t="s">
        <v>630</v>
      </c>
      <c r="AZ4431">
        <v>15040</v>
      </c>
      <c r="BA4431" t="s">
        <v>631</v>
      </c>
      <c r="BB4431" t="s">
        <v>632</v>
      </c>
      <c r="BC4431">
        <v>1995</v>
      </c>
      <c r="BD4431" t="s">
        <v>90</v>
      </c>
    </row>
    <row r="4432" spans="1:56" x14ac:dyDescent="0.35">
      <c r="A4432">
        <v>95751976</v>
      </c>
      <c r="B4432" t="s">
        <v>3006</v>
      </c>
      <c r="D4432" t="s">
        <v>85</v>
      </c>
      <c r="E4432" t="s">
        <v>128</v>
      </c>
      <c r="F4432" t="s">
        <v>58</v>
      </c>
      <c r="G4432" t="s">
        <v>59</v>
      </c>
      <c r="H4432" t="s">
        <v>60</v>
      </c>
      <c r="I4432" t="s">
        <v>129</v>
      </c>
      <c r="J4432" t="s">
        <v>86</v>
      </c>
      <c r="L4432" t="s">
        <v>62</v>
      </c>
      <c r="M4432" t="s">
        <v>63</v>
      </c>
      <c r="N4432" t="s">
        <v>64</v>
      </c>
      <c r="P4432" t="s">
        <v>100</v>
      </c>
      <c r="Q4432" t="s">
        <v>153</v>
      </c>
      <c r="R4432">
        <v>0.17</v>
      </c>
      <c r="W4432" t="s">
        <v>66</v>
      </c>
      <c r="X4432" t="s">
        <v>67</v>
      </c>
      <c r="Y4432" t="s">
        <v>67</v>
      </c>
      <c r="Z4432" t="s">
        <v>68</v>
      </c>
      <c r="AB4432">
        <v>4</v>
      </c>
      <c r="AC4432" t="s">
        <v>61</v>
      </c>
      <c r="AJ4432" t="s">
        <v>69</v>
      </c>
      <c r="AY4432" t="s">
        <v>630</v>
      </c>
      <c r="AZ4432">
        <v>15040</v>
      </c>
      <c r="BA4432" t="s">
        <v>631</v>
      </c>
      <c r="BB4432" t="s">
        <v>632</v>
      </c>
      <c r="BC4432">
        <v>1995</v>
      </c>
      <c r="BD4432" t="s">
        <v>90</v>
      </c>
    </row>
    <row r="4433" spans="1:56" x14ac:dyDescent="0.35">
      <c r="A4433">
        <v>96182535</v>
      </c>
      <c r="B4433" t="s">
        <v>3007</v>
      </c>
      <c r="D4433" t="s">
        <v>85</v>
      </c>
      <c r="E4433">
        <v>97.2</v>
      </c>
      <c r="F4433" t="s">
        <v>58</v>
      </c>
      <c r="G4433" t="s">
        <v>59</v>
      </c>
      <c r="H4433" t="s">
        <v>60</v>
      </c>
      <c r="J4433" t="s">
        <v>86</v>
      </c>
      <c r="L4433" t="s">
        <v>476</v>
      </c>
      <c r="M4433" t="s">
        <v>63</v>
      </c>
      <c r="N4433" t="s">
        <v>64</v>
      </c>
      <c r="P4433" t="s">
        <v>65</v>
      </c>
      <c r="R4433">
        <v>0.80800000000000005</v>
      </c>
      <c r="T4433">
        <v>0.56200000000000006</v>
      </c>
      <c r="V4433">
        <v>1.375</v>
      </c>
      <c r="W4433" t="s">
        <v>66</v>
      </c>
      <c r="X4433" t="s">
        <v>67</v>
      </c>
      <c r="Y4433" t="s">
        <v>67</v>
      </c>
      <c r="Z4433" t="s">
        <v>68</v>
      </c>
      <c r="AB4433">
        <v>4</v>
      </c>
      <c r="AC4433" t="s">
        <v>61</v>
      </c>
      <c r="AJ4433" t="s">
        <v>69</v>
      </c>
      <c r="AY4433" t="s">
        <v>2971</v>
      </c>
      <c r="AZ4433">
        <v>169751</v>
      </c>
      <c r="BA4433" t="s">
        <v>2972</v>
      </c>
      <c r="BB4433" t="s">
        <v>2973</v>
      </c>
      <c r="BC4433">
        <v>2015</v>
      </c>
      <c r="BD4433" t="s">
        <v>90</v>
      </c>
    </row>
    <row r="4434" spans="1:56" x14ac:dyDescent="0.35">
      <c r="A4434">
        <v>96300979</v>
      </c>
      <c r="B4434" t="s">
        <v>3008</v>
      </c>
      <c r="E4434">
        <v>100</v>
      </c>
      <c r="F4434" t="s">
        <v>58</v>
      </c>
      <c r="G4434" t="s">
        <v>59</v>
      </c>
      <c r="H4434" t="s">
        <v>60</v>
      </c>
      <c r="J4434" t="s">
        <v>86</v>
      </c>
      <c r="L4434" t="s">
        <v>62</v>
      </c>
      <c r="M4434" t="s">
        <v>63</v>
      </c>
      <c r="N4434" t="s">
        <v>64</v>
      </c>
      <c r="P4434" t="s">
        <v>65</v>
      </c>
      <c r="R4434">
        <v>1.7</v>
      </c>
      <c r="T4434">
        <v>1.2</v>
      </c>
      <c r="V4434">
        <v>2.2999999999999998</v>
      </c>
      <c r="W4434" t="s">
        <v>66</v>
      </c>
      <c r="X4434" t="s">
        <v>67</v>
      </c>
      <c r="Y4434" t="s">
        <v>67</v>
      </c>
      <c r="Z4434" t="s">
        <v>68</v>
      </c>
      <c r="AB4434">
        <v>4</v>
      </c>
      <c r="AC4434" t="s">
        <v>61</v>
      </c>
      <c r="AJ4434" t="s">
        <v>69</v>
      </c>
      <c r="AY4434" t="s">
        <v>96</v>
      </c>
      <c r="AZ4434">
        <v>6797</v>
      </c>
      <c r="BA4434" t="s">
        <v>97</v>
      </c>
      <c r="BB4434" t="s">
        <v>98</v>
      </c>
      <c r="BC4434">
        <v>1986</v>
      </c>
      <c r="BD4434" t="s">
        <v>90</v>
      </c>
    </row>
    <row r="4435" spans="1:56" x14ac:dyDescent="0.35">
      <c r="A4435">
        <v>96300979</v>
      </c>
      <c r="B4435" t="s">
        <v>3008</v>
      </c>
      <c r="C4435" t="s">
        <v>2961</v>
      </c>
      <c r="D4435" t="s">
        <v>85</v>
      </c>
      <c r="E4435" t="s">
        <v>86</v>
      </c>
      <c r="F4435" t="s">
        <v>58</v>
      </c>
      <c r="G4435" t="s">
        <v>59</v>
      </c>
      <c r="H4435" t="s">
        <v>60</v>
      </c>
      <c r="J4435">
        <v>5</v>
      </c>
      <c r="K4435" t="s">
        <v>320</v>
      </c>
      <c r="L4435" t="s">
        <v>62</v>
      </c>
      <c r="M4435" t="s">
        <v>63</v>
      </c>
      <c r="N4435" t="s">
        <v>64</v>
      </c>
      <c r="O4435">
        <v>7</v>
      </c>
      <c r="P4435" t="s">
        <v>65</v>
      </c>
      <c r="R4435">
        <v>50.1</v>
      </c>
      <c r="T4435">
        <v>42</v>
      </c>
      <c r="V4435">
        <v>59.7</v>
      </c>
      <c r="W4435" t="s">
        <v>66</v>
      </c>
      <c r="X4435" t="s">
        <v>67</v>
      </c>
      <c r="Y4435" t="s">
        <v>67</v>
      </c>
      <c r="Z4435" t="s">
        <v>68</v>
      </c>
      <c r="AB4435">
        <v>4</v>
      </c>
      <c r="AC4435" t="s">
        <v>61</v>
      </c>
      <c r="AJ4435" t="s">
        <v>69</v>
      </c>
      <c r="AY4435" t="s">
        <v>1134</v>
      </c>
      <c r="AZ4435">
        <v>179719</v>
      </c>
      <c r="BA4435" t="s">
        <v>1135</v>
      </c>
      <c r="BB4435" t="s">
        <v>1136</v>
      </c>
      <c r="BC4435">
        <v>2000</v>
      </c>
      <c r="BD4435" t="s">
        <v>324</v>
      </c>
    </row>
    <row r="4436" spans="1:56" x14ac:dyDescent="0.35">
      <c r="A4436">
        <v>96300979</v>
      </c>
      <c r="B4436" t="s">
        <v>3008</v>
      </c>
      <c r="D4436" t="s">
        <v>85</v>
      </c>
      <c r="E4436" t="s">
        <v>86</v>
      </c>
      <c r="F4436" t="s">
        <v>58</v>
      </c>
      <c r="G4436" t="s">
        <v>59</v>
      </c>
      <c r="H4436" t="s">
        <v>60</v>
      </c>
      <c r="J4436" t="s">
        <v>86</v>
      </c>
      <c r="L4436" t="s">
        <v>62</v>
      </c>
      <c r="M4436" t="s">
        <v>63</v>
      </c>
      <c r="N4436" t="s">
        <v>64</v>
      </c>
      <c r="P4436" t="s">
        <v>100</v>
      </c>
      <c r="R4436">
        <v>1.7</v>
      </c>
      <c r="T4436">
        <v>1.2</v>
      </c>
      <c r="V4436">
        <v>2.2999999999999998</v>
      </c>
      <c r="W4436" t="s">
        <v>66</v>
      </c>
      <c r="X4436" t="s">
        <v>67</v>
      </c>
      <c r="Y4436" t="s">
        <v>67</v>
      </c>
      <c r="Z4436" t="s">
        <v>68</v>
      </c>
      <c r="AB4436">
        <v>4</v>
      </c>
      <c r="AC4436" t="s">
        <v>61</v>
      </c>
      <c r="AJ4436" t="s">
        <v>69</v>
      </c>
      <c r="AY4436" t="s">
        <v>2907</v>
      </c>
      <c r="AZ4436">
        <v>11702</v>
      </c>
      <c r="BA4436" t="s">
        <v>2908</v>
      </c>
      <c r="BB4436" t="s">
        <v>2909</v>
      </c>
      <c r="BC4436">
        <v>1986</v>
      </c>
      <c r="BD4436" t="s">
        <v>90</v>
      </c>
    </row>
    <row r="4437" spans="1:56" x14ac:dyDescent="0.35">
      <c r="A4437">
        <v>96352691</v>
      </c>
      <c r="B4437" t="s">
        <v>3009</v>
      </c>
      <c r="E4437">
        <v>100</v>
      </c>
      <c r="F4437" t="s">
        <v>58</v>
      </c>
      <c r="G4437" t="s">
        <v>59</v>
      </c>
      <c r="H4437" t="s">
        <v>60</v>
      </c>
      <c r="J4437" t="s">
        <v>86</v>
      </c>
      <c r="L4437" t="s">
        <v>62</v>
      </c>
      <c r="M4437" t="s">
        <v>63</v>
      </c>
      <c r="N4437" t="s">
        <v>64</v>
      </c>
      <c r="P4437" t="s">
        <v>65</v>
      </c>
      <c r="Q4437" t="s">
        <v>153</v>
      </c>
      <c r="R4437">
        <v>100</v>
      </c>
      <c r="W4437" t="s">
        <v>66</v>
      </c>
      <c r="X4437" t="s">
        <v>67</v>
      </c>
      <c r="Y4437" t="s">
        <v>67</v>
      </c>
      <c r="Z4437" t="s">
        <v>68</v>
      </c>
      <c r="AB4437">
        <v>4</v>
      </c>
      <c r="AC4437" t="s">
        <v>61</v>
      </c>
      <c r="AJ4437" t="s">
        <v>69</v>
      </c>
      <c r="AY4437" t="s">
        <v>96</v>
      </c>
      <c r="AZ4437">
        <v>6797</v>
      </c>
      <c r="BA4437" t="s">
        <v>97</v>
      </c>
      <c r="BB4437" t="s">
        <v>98</v>
      </c>
      <c r="BC4437">
        <v>1986</v>
      </c>
      <c r="BD4437" t="s">
        <v>90</v>
      </c>
    </row>
    <row r="4438" spans="1:56" x14ac:dyDescent="0.35">
      <c r="A4438">
        <v>96489713</v>
      </c>
      <c r="B4438" t="s">
        <v>3010</v>
      </c>
      <c r="C4438" t="s">
        <v>91</v>
      </c>
      <c r="D4438" t="s">
        <v>57</v>
      </c>
      <c r="E4438">
        <v>99</v>
      </c>
      <c r="F4438" t="s">
        <v>58</v>
      </c>
      <c r="G4438" t="s">
        <v>59</v>
      </c>
      <c r="H4438" t="s">
        <v>60</v>
      </c>
      <c r="J4438" t="s">
        <v>86</v>
      </c>
      <c r="L4438" t="s">
        <v>74</v>
      </c>
      <c r="M4438" t="s">
        <v>63</v>
      </c>
      <c r="N4438" t="s">
        <v>64</v>
      </c>
      <c r="O4438">
        <v>7</v>
      </c>
      <c r="P4438" t="s">
        <v>65</v>
      </c>
      <c r="R4438">
        <v>2.3E-3</v>
      </c>
      <c r="T4438">
        <v>1.58E-3</v>
      </c>
      <c r="V4438">
        <v>3.3400000000000001E-3</v>
      </c>
      <c r="W4438" t="s">
        <v>66</v>
      </c>
      <c r="X4438" t="s">
        <v>67</v>
      </c>
      <c r="Y4438" t="s">
        <v>67</v>
      </c>
      <c r="Z4438" t="s">
        <v>68</v>
      </c>
      <c r="AB4438">
        <v>4</v>
      </c>
      <c r="AC4438" t="s">
        <v>61</v>
      </c>
      <c r="AJ4438" t="s">
        <v>69</v>
      </c>
      <c r="AY4438" t="s">
        <v>3011</v>
      </c>
      <c r="AZ4438">
        <v>117771</v>
      </c>
      <c r="BA4438" t="s">
        <v>3012</v>
      </c>
      <c r="BB4438" t="s">
        <v>3013</v>
      </c>
      <c r="BC4438">
        <v>2000</v>
      </c>
      <c r="BD4438" t="s">
        <v>90</v>
      </c>
    </row>
    <row r="4439" spans="1:56" x14ac:dyDescent="0.35">
      <c r="A4439">
        <v>96638721</v>
      </c>
      <c r="B4439" t="s">
        <v>3014</v>
      </c>
      <c r="D4439" t="s">
        <v>57</v>
      </c>
      <c r="E4439" t="s">
        <v>86</v>
      </c>
      <c r="F4439" t="s">
        <v>58</v>
      </c>
      <c r="G4439" t="s">
        <v>59</v>
      </c>
      <c r="H4439" t="s">
        <v>60</v>
      </c>
      <c r="I4439" t="s">
        <v>129</v>
      </c>
      <c r="J4439">
        <v>6</v>
      </c>
      <c r="K4439" t="s">
        <v>196</v>
      </c>
      <c r="L4439" t="s">
        <v>74</v>
      </c>
      <c r="M4439" t="s">
        <v>63</v>
      </c>
      <c r="N4439" t="s">
        <v>64</v>
      </c>
      <c r="P4439" t="s">
        <v>201</v>
      </c>
      <c r="R4439">
        <v>0.81</v>
      </c>
      <c r="T4439">
        <v>0.65</v>
      </c>
      <c r="V4439">
        <v>0.94</v>
      </c>
      <c r="W4439" t="s">
        <v>66</v>
      </c>
      <c r="X4439" t="s">
        <v>67</v>
      </c>
      <c r="Y4439" t="s">
        <v>67</v>
      </c>
      <c r="Z4439" t="s">
        <v>68</v>
      </c>
      <c r="AB4439">
        <v>4</v>
      </c>
      <c r="AC4439" t="s">
        <v>61</v>
      </c>
      <c r="AJ4439" t="s">
        <v>69</v>
      </c>
      <c r="AY4439" t="s">
        <v>2164</v>
      </c>
      <c r="AZ4439">
        <v>10137</v>
      </c>
      <c r="BA4439" t="s">
        <v>2165</v>
      </c>
      <c r="BB4439" t="s">
        <v>2166</v>
      </c>
      <c r="BC4439">
        <v>1983</v>
      </c>
      <c r="BD4439" t="s">
        <v>200</v>
      </c>
    </row>
    <row r="4440" spans="1:56" x14ac:dyDescent="0.35">
      <c r="A4440">
        <v>96638721</v>
      </c>
      <c r="B4440" t="s">
        <v>3014</v>
      </c>
      <c r="D4440" t="s">
        <v>57</v>
      </c>
      <c r="E4440" t="s">
        <v>86</v>
      </c>
      <c r="F4440" t="s">
        <v>58</v>
      </c>
      <c r="G4440" t="s">
        <v>59</v>
      </c>
      <c r="H4440" t="s">
        <v>60</v>
      </c>
      <c r="I4440" t="s">
        <v>129</v>
      </c>
      <c r="J4440">
        <v>6</v>
      </c>
      <c r="K4440" t="s">
        <v>196</v>
      </c>
      <c r="L4440" t="s">
        <v>74</v>
      </c>
      <c r="M4440" t="s">
        <v>63</v>
      </c>
      <c r="N4440" t="s">
        <v>64</v>
      </c>
      <c r="P4440" t="s">
        <v>201</v>
      </c>
      <c r="R4440">
        <v>0.35</v>
      </c>
      <c r="T4440">
        <v>0.28000000000000003</v>
      </c>
      <c r="V4440">
        <v>0.41</v>
      </c>
      <c r="W4440" t="s">
        <v>66</v>
      </c>
      <c r="X4440" t="s">
        <v>67</v>
      </c>
      <c r="Y4440" t="s">
        <v>67</v>
      </c>
      <c r="Z4440" t="s">
        <v>68</v>
      </c>
      <c r="AB4440">
        <v>4</v>
      </c>
      <c r="AC4440" t="s">
        <v>61</v>
      </c>
      <c r="AJ4440" t="s">
        <v>69</v>
      </c>
      <c r="AY4440" t="s">
        <v>2164</v>
      </c>
      <c r="AZ4440">
        <v>10137</v>
      </c>
      <c r="BA4440" t="s">
        <v>2165</v>
      </c>
      <c r="BB4440" t="s">
        <v>2166</v>
      </c>
      <c r="BC4440">
        <v>1983</v>
      </c>
      <c r="BD4440" t="s">
        <v>200</v>
      </c>
    </row>
    <row r="4441" spans="1:56" x14ac:dyDescent="0.35">
      <c r="A4441">
        <v>96638721</v>
      </c>
      <c r="B4441" t="s">
        <v>3014</v>
      </c>
      <c r="D4441" t="s">
        <v>57</v>
      </c>
      <c r="E4441" t="s">
        <v>86</v>
      </c>
      <c r="F4441" t="s">
        <v>58</v>
      </c>
      <c r="G4441" t="s">
        <v>59</v>
      </c>
      <c r="H4441" t="s">
        <v>60</v>
      </c>
      <c r="I4441" t="s">
        <v>211</v>
      </c>
      <c r="J4441" t="s">
        <v>86</v>
      </c>
      <c r="L4441" t="s">
        <v>74</v>
      </c>
      <c r="M4441" t="s">
        <v>63</v>
      </c>
      <c r="N4441" t="s">
        <v>64</v>
      </c>
      <c r="P4441" t="s">
        <v>201</v>
      </c>
      <c r="R4441">
        <v>0.51</v>
      </c>
      <c r="T4441">
        <v>0.46</v>
      </c>
      <c r="V4441">
        <v>0.56999999999999995</v>
      </c>
      <c r="W4441" t="s">
        <v>66</v>
      </c>
      <c r="X4441" t="s">
        <v>67</v>
      </c>
      <c r="Y4441" t="s">
        <v>67</v>
      </c>
      <c r="Z4441" t="s">
        <v>68</v>
      </c>
      <c r="AB4441">
        <v>4</v>
      </c>
      <c r="AC4441" t="s">
        <v>61</v>
      </c>
      <c r="AJ4441" t="s">
        <v>69</v>
      </c>
      <c r="AY4441" t="s">
        <v>2164</v>
      </c>
      <c r="AZ4441">
        <v>10137</v>
      </c>
      <c r="BA4441" t="s">
        <v>2165</v>
      </c>
      <c r="BB4441" t="s">
        <v>2166</v>
      </c>
      <c r="BC4441">
        <v>1983</v>
      </c>
      <c r="BD4441" t="s">
        <v>90</v>
      </c>
    </row>
    <row r="4442" spans="1:56" x14ac:dyDescent="0.35">
      <c r="A4442">
        <v>96638721</v>
      </c>
      <c r="B4442" t="s">
        <v>3014</v>
      </c>
      <c r="D4442" t="s">
        <v>57</v>
      </c>
      <c r="E4442" t="s">
        <v>86</v>
      </c>
      <c r="F4442" t="s">
        <v>58</v>
      </c>
      <c r="G4442" t="s">
        <v>59</v>
      </c>
      <c r="H4442" t="s">
        <v>60</v>
      </c>
      <c r="I4442" t="s">
        <v>129</v>
      </c>
      <c r="J4442">
        <v>6</v>
      </c>
      <c r="K4442" t="s">
        <v>196</v>
      </c>
      <c r="L4442" t="s">
        <v>74</v>
      </c>
      <c r="M4442" t="s">
        <v>63</v>
      </c>
      <c r="N4442" t="s">
        <v>64</v>
      </c>
      <c r="P4442" t="s">
        <v>201</v>
      </c>
      <c r="R4442">
        <v>1.21</v>
      </c>
      <c r="T4442">
        <v>0.96</v>
      </c>
      <c r="V4442">
        <v>1.42</v>
      </c>
      <c r="W4442" t="s">
        <v>66</v>
      </c>
      <c r="X4442" t="s">
        <v>67</v>
      </c>
      <c r="Y4442" t="s">
        <v>67</v>
      </c>
      <c r="Z4442" t="s">
        <v>68</v>
      </c>
      <c r="AB4442">
        <v>4</v>
      </c>
      <c r="AC4442" t="s">
        <v>61</v>
      </c>
      <c r="AJ4442" t="s">
        <v>69</v>
      </c>
      <c r="AY4442" t="s">
        <v>2164</v>
      </c>
      <c r="AZ4442">
        <v>10137</v>
      </c>
      <c r="BA4442" t="s">
        <v>2165</v>
      </c>
      <c r="BB4442" t="s">
        <v>2166</v>
      </c>
      <c r="BC4442">
        <v>1983</v>
      </c>
      <c r="BD4442" t="s">
        <v>200</v>
      </c>
    </row>
    <row r="4443" spans="1:56" x14ac:dyDescent="0.35">
      <c r="A4443">
        <v>96638721</v>
      </c>
      <c r="B4443" t="s">
        <v>3014</v>
      </c>
      <c r="D4443" t="s">
        <v>57</v>
      </c>
      <c r="E4443" t="s">
        <v>86</v>
      </c>
      <c r="F4443" t="s">
        <v>58</v>
      </c>
      <c r="G4443" t="s">
        <v>59</v>
      </c>
      <c r="H4443" t="s">
        <v>60</v>
      </c>
      <c r="I4443" t="s">
        <v>211</v>
      </c>
      <c r="J4443" t="s">
        <v>86</v>
      </c>
      <c r="L4443" t="s">
        <v>74</v>
      </c>
      <c r="M4443" t="s">
        <v>63</v>
      </c>
      <c r="N4443" t="s">
        <v>64</v>
      </c>
      <c r="P4443" t="s">
        <v>201</v>
      </c>
      <c r="R4443">
        <v>1.17</v>
      </c>
      <c r="T4443">
        <v>1.03</v>
      </c>
      <c r="V4443">
        <v>1.31</v>
      </c>
      <c r="W4443" t="s">
        <v>66</v>
      </c>
      <c r="X4443" t="s">
        <v>67</v>
      </c>
      <c r="Y4443" t="s">
        <v>67</v>
      </c>
      <c r="Z4443" t="s">
        <v>68</v>
      </c>
      <c r="AB4443">
        <v>4</v>
      </c>
      <c r="AC4443" t="s">
        <v>61</v>
      </c>
      <c r="AJ4443" t="s">
        <v>69</v>
      </c>
      <c r="AY4443" t="s">
        <v>2164</v>
      </c>
      <c r="AZ4443">
        <v>10137</v>
      </c>
      <c r="BA4443" t="s">
        <v>2165</v>
      </c>
      <c r="BB4443" t="s">
        <v>2166</v>
      </c>
      <c r="BC4443">
        <v>1983</v>
      </c>
      <c r="BD4443" t="s">
        <v>90</v>
      </c>
    </row>
    <row r="4444" spans="1:56" x14ac:dyDescent="0.35">
      <c r="A4444">
        <v>96638721</v>
      </c>
      <c r="B4444" t="s">
        <v>3014</v>
      </c>
      <c r="D4444" t="s">
        <v>57</v>
      </c>
      <c r="E4444" t="s">
        <v>86</v>
      </c>
      <c r="F4444" t="s">
        <v>58</v>
      </c>
      <c r="G4444" t="s">
        <v>59</v>
      </c>
      <c r="H4444" t="s">
        <v>60</v>
      </c>
      <c r="I4444" t="s">
        <v>211</v>
      </c>
      <c r="J4444" t="s">
        <v>86</v>
      </c>
      <c r="L4444" t="s">
        <v>74</v>
      </c>
      <c r="M4444" t="s">
        <v>63</v>
      </c>
      <c r="N4444" t="s">
        <v>64</v>
      </c>
      <c r="P4444" t="s">
        <v>201</v>
      </c>
      <c r="R4444">
        <v>1.83</v>
      </c>
      <c r="T4444">
        <v>1.59</v>
      </c>
      <c r="V4444">
        <v>2.1</v>
      </c>
      <c r="W4444" t="s">
        <v>66</v>
      </c>
      <c r="X4444" t="s">
        <v>67</v>
      </c>
      <c r="Y4444" t="s">
        <v>67</v>
      </c>
      <c r="Z4444" t="s">
        <v>68</v>
      </c>
      <c r="AB4444">
        <v>4</v>
      </c>
      <c r="AC4444" t="s">
        <v>61</v>
      </c>
      <c r="AJ4444" t="s">
        <v>69</v>
      </c>
      <c r="AY4444" t="s">
        <v>2164</v>
      </c>
      <c r="AZ4444">
        <v>10137</v>
      </c>
      <c r="BA4444" t="s">
        <v>2165</v>
      </c>
      <c r="BB4444" t="s">
        <v>2166</v>
      </c>
      <c r="BC4444">
        <v>1983</v>
      </c>
      <c r="BD4444" t="s">
        <v>90</v>
      </c>
    </row>
    <row r="4445" spans="1:56" x14ac:dyDescent="0.35">
      <c r="A4445">
        <v>98967409</v>
      </c>
      <c r="B4445" t="s">
        <v>3015</v>
      </c>
      <c r="E4445">
        <v>99.6</v>
      </c>
      <c r="F4445" t="s">
        <v>58</v>
      </c>
      <c r="G4445" t="s">
        <v>59</v>
      </c>
      <c r="H4445" t="s">
        <v>60</v>
      </c>
      <c r="J4445" t="s">
        <v>86</v>
      </c>
      <c r="L4445" t="s">
        <v>62</v>
      </c>
      <c r="M4445" t="s">
        <v>63</v>
      </c>
      <c r="N4445" t="s">
        <v>64</v>
      </c>
      <c r="P4445" t="s">
        <v>65</v>
      </c>
      <c r="Q4445" t="s">
        <v>153</v>
      </c>
      <c r="R4445">
        <v>293</v>
      </c>
      <c r="W4445" t="s">
        <v>66</v>
      </c>
      <c r="X4445" t="s">
        <v>67</v>
      </c>
      <c r="Y4445" t="s">
        <v>67</v>
      </c>
      <c r="Z4445" t="s">
        <v>68</v>
      </c>
      <c r="AB4445">
        <v>4</v>
      </c>
      <c r="AC4445" t="s">
        <v>61</v>
      </c>
      <c r="AJ4445" t="s">
        <v>69</v>
      </c>
      <c r="AY4445" t="s">
        <v>116</v>
      </c>
      <c r="AZ4445">
        <v>344</v>
      </c>
      <c r="BA4445" t="s">
        <v>117</v>
      </c>
      <c r="BB4445" t="s">
        <v>118</v>
      </c>
      <c r="BC4445">
        <v>1992</v>
      </c>
      <c r="BD4445" t="s">
        <v>90</v>
      </c>
    </row>
    <row r="4446" spans="1:56" x14ac:dyDescent="0.35">
      <c r="A4446">
        <v>99129212</v>
      </c>
      <c r="B4446" t="s">
        <v>3016</v>
      </c>
      <c r="E4446">
        <v>95.4</v>
      </c>
      <c r="F4446" t="s">
        <v>58</v>
      </c>
      <c r="G4446" t="s">
        <v>59</v>
      </c>
      <c r="H4446" t="s">
        <v>60</v>
      </c>
      <c r="J4446" t="s">
        <v>86</v>
      </c>
      <c r="L4446" t="s">
        <v>190</v>
      </c>
      <c r="M4446" t="s">
        <v>63</v>
      </c>
      <c r="N4446" t="s">
        <v>64</v>
      </c>
      <c r="P4446" t="s">
        <v>65</v>
      </c>
      <c r="R4446">
        <v>110</v>
      </c>
      <c r="W4446" t="s">
        <v>66</v>
      </c>
      <c r="X4446" t="s">
        <v>67</v>
      </c>
      <c r="Y4446" t="s">
        <v>67</v>
      </c>
      <c r="Z4446" t="s">
        <v>68</v>
      </c>
      <c r="AB4446">
        <v>4</v>
      </c>
      <c r="AC4446" t="s">
        <v>61</v>
      </c>
      <c r="AJ4446" t="s">
        <v>69</v>
      </c>
      <c r="AY4446" t="s">
        <v>116</v>
      </c>
      <c r="AZ4446">
        <v>344</v>
      </c>
      <c r="BA4446" t="s">
        <v>117</v>
      </c>
      <c r="BB4446" t="s">
        <v>118</v>
      </c>
      <c r="BC4446">
        <v>1992</v>
      </c>
      <c r="BD4446" t="s">
        <v>90</v>
      </c>
    </row>
    <row r="4447" spans="1:56" x14ac:dyDescent="0.35">
      <c r="A4447">
        <v>100473083</v>
      </c>
      <c r="B4447" t="s">
        <v>3017</v>
      </c>
      <c r="E4447">
        <v>100</v>
      </c>
      <c r="F4447" t="s">
        <v>58</v>
      </c>
      <c r="G4447" t="s">
        <v>59</v>
      </c>
      <c r="H4447" t="s">
        <v>60</v>
      </c>
      <c r="J4447" t="s">
        <v>86</v>
      </c>
      <c r="L4447" t="s">
        <v>62</v>
      </c>
      <c r="M4447" t="s">
        <v>63</v>
      </c>
      <c r="N4447" t="s">
        <v>64</v>
      </c>
      <c r="P4447" t="s">
        <v>65</v>
      </c>
      <c r="R4447">
        <v>1.4</v>
      </c>
      <c r="T4447">
        <v>1.06</v>
      </c>
      <c r="V4447">
        <v>1.85</v>
      </c>
      <c r="W4447" t="s">
        <v>66</v>
      </c>
      <c r="X4447" t="s">
        <v>67</v>
      </c>
      <c r="Y4447" t="s">
        <v>67</v>
      </c>
      <c r="Z4447" t="s">
        <v>68</v>
      </c>
      <c r="AB4447">
        <v>4</v>
      </c>
      <c r="AC4447" t="s">
        <v>61</v>
      </c>
      <c r="AJ4447" t="s">
        <v>69</v>
      </c>
      <c r="AY4447" t="s">
        <v>96</v>
      </c>
      <c r="AZ4447">
        <v>6797</v>
      </c>
      <c r="BA4447" t="s">
        <v>97</v>
      </c>
      <c r="BB4447" t="s">
        <v>98</v>
      </c>
      <c r="BC4447">
        <v>1986</v>
      </c>
      <c r="BD4447" t="s">
        <v>90</v>
      </c>
    </row>
    <row r="4448" spans="1:56" x14ac:dyDescent="0.35">
      <c r="A4448">
        <v>101836924</v>
      </c>
      <c r="B4448" t="s">
        <v>3018</v>
      </c>
      <c r="D4448" t="s">
        <v>57</v>
      </c>
      <c r="E4448" t="s">
        <v>407</v>
      </c>
      <c r="F4448" t="s">
        <v>58</v>
      </c>
      <c r="G4448" t="s">
        <v>59</v>
      </c>
      <c r="H4448" t="s">
        <v>60</v>
      </c>
      <c r="I4448" t="s">
        <v>129</v>
      </c>
      <c r="J4448" t="s">
        <v>86</v>
      </c>
      <c r="K4448" t="s">
        <v>61</v>
      </c>
      <c r="L4448" t="s">
        <v>74</v>
      </c>
      <c r="M4448" t="s">
        <v>63</v>
      </c>
      <c r="N4448" t="s">
        <v>64</v>
      </c>
      <c r="P4448" t="s">
        <v>65</v>
      </c>
      <c r="R4448">
        <v>4.24</v>
      </c>
      <c r="W4448" t="s">
        <v>66</v>
      </c>
      <c r="X4448" t="s">
        <v>67</v>
      </c>
      <c r="Y4448" t="s">
        <v>67</v>
      </c>
      <c r="Z4448" t="s">
        <v>68</v>
      </c>
      <c r="AB4448">
        <v>4</v>
      </c>
      <c r="AC4448" t="s">
        <v>61</v>
      </c>
      <c r="AJ4448" t="s">
        <v>69</v>
      </c>
      <c r="AY4448" t="s">
        <v>134</v>
      </c>
      <c r="AZ4448">
        <v>15031</v>
      </c>
      <c r="BA4448" t="s">
        <v>135</v>
      </c>
      <c r="BB4448" t="s">
        <v>136</v>
      </c>
      <c r="BC4448">
        <v>1995</v>
      </c>
      <c r="BD4448" t="s">
        <v>133</v>
      </c>
    </row>
    <row r="4449" spans="1:56" x14ac:dyDescent="0.35">
      <c r="A4449">
        <v>101836924</v>
      </c>
      <c r="B4449" t="s">
        <v>3018</v>
      </c>
      <c r="D4449" t="s">
        <v>57</v>
      </c>
      <c r="E4449">
        <v>98</v>
      </c>
      <c r="F4449" t="s">
        <v>58</v>
      </c>
      <c r="G4449" t="s">
        <v>59</v>
      </c>
      <c r="H4449" t="s">
        <v>60</v>
      </c>
      <c r="J4449">
        <v>31</v>
      </c>
      <c r="K4449" t="s">
        <v>61</v>
      </c>
      <c r="L4449" t="s">
        <v>74</v>
      </c>
      <c r="M4449" t="s">
        <v>63</v>
      </c>
      <c r="N4449" t="s">
        <v>64</v>
      </c>
      <c r="P4449" t="s">
        <v>65</v>
      </c>
      <c r="R4449">
        <v>4.24</v>
      </c>
      <c r="T4449">
        <v>3.87</v>
      </c>
      <c r="V4449">
        <v>4.6500000000000004</v>
      </c>
      <c r="W4449" t="s">
        <v>66</v>
      </c>
      <c r="X4449" t="s">
        <v>67</v>
      </c>
      <c r="Y4449" t="s">
        <v>67</v>
      </c>
      <c r="Z4449" t="s">
        <v>68</v>
      </c>
      <c r="AB4449">
        <v>4</v>
      </c>
      <c r="AC4449" t="s">
        <v>61</v>
      </c>
      <c r="AJ4449" t="s">
        <v>69</v>
      </c>
      <c r="AY4449" t="s">
        <v>80</v>
      </c>
      <c r="AZ4449">
        <v>12859</v>
      </c>
      <c r="BA4449" t="s">
        <v>81</v>
      </c>
      <c r="BB4449" t="s">
        <v>82</v>
      </c>
      <c r="BC4449">
        <v>1988</v>
      </c>
      <c r="BD4449" t="s">
        <v>73</v>
      </c>
    </row>
    <row r="4450" spans="1:56" x14ac:dyDescent="0.35">
      <c r="A4450">
        <v>111988499</v>
      </c>
      <c r="B4450" t="s">
        <v>3019</v>
      </c>
      <c r="E4450">
        <v>98</v>
      </c>
      <c r="F4450" t="s">
        <v>58</v>
      </c>
      <c r="G4450" t="s">
        <v>59</v>
      </c>
      <c r="H4450" t="s">
        <v>60</v>
      </c>
      <c r="J4450" t="s">
        <v>86</v>
      </c>
      <c r="L4450" t="s">
        <v>62</v>
      </c>
      <c r="M4450" t="s">
        <v>63</v>
      </c>
      <c r="N4450" t="s">
        <v>64</v>
      </c>
      <c r="P4450" t="s">
        <v>65</v>
      </c>
      <c r="Q4450" t="s">
        <v>153</v>
      </c>
      <c r="R4450">
        <v>104</v>
      </c>
      <c r="W4450" t="s">
        <v>66</v>
      </c>
      <c r="X4450" t="s">
        <v>67</v>
      </c>
      <c r="Y4450" t="s">
        <v>67</v>
      </c>
      <c r="Z4450" t="s">
        <v>68</v>
      </c>
      <c r="AB4450">
        <v>4</v>
      </c>
      <c r="AC4450" t="s">
        <v>61</v>
      </c>
      <c r="AJ4450" t="s">
        <v>69</v>
      </c>
      <c r="AY4450" t="s">
        <v>116</v>
      </c>
      <c r="AZ4450">
        <v>344</v>
      </c>
      <c r="BA4450" t="s">
        <v>117</v>
      </c>
      <c r="BB4450" t="s">
        <v>118</v>
      </c>
      <c r="BC4450">
        <v>1992</v>
      </c>
      <c r="BD4450" t="s">
        <v>90</v>
      </c>
    </row>
    <row r="4451" spans="1:56" x14ac:dyDescent="0.35">
      <c r="A4451">
        <v>111988499</v>
      </c>
      <c r="B4451" t="s">
        <v>3019</v>
      </c>
      <c r="E4451">
        <v>98</v>
      </c>
      <c r="F4451" t="s">
        <v>58</v>
      </c>
      <c r="G4451" t="s">
        <v>59</v>
      </c>
      <c r="H4451" t="s">
        <v>60</v>
      </c>
      <c r="J4451" t="s">
        <v>86</v>
      </c>
      <c r="L4451" t="s">
        <v>62</v>
      </c>
      <c r="M4451" t="s">
        <v>63</v>
      </c>
      <c r="N4451" t="s">
        <v>64</v>
      </c>
      <c r="P4451" t="s">
        <v>65</v>
      </c>
      <c r="Q4451" t="s">
        <v>153</v>
      </c>
      <c r="R4451">
        <v>104</v>
      </c>
      <c r="W4451" t="s">
        <v>66</v>
      </c>
      <c r="X4451" t="s">
        <v>67</v>
      </c>
      <c r="Y4451" t="s">
        <v>67</v>
      </c>
      <c r="Z4451" t="s">
        <v>68</v>
      </c>
      <c r="AB4451">
        <v>4</v>
      </c>
      <c r="AC4451" t="s">
        <v>61</v>
      </c>
      <c r="AJ4451" t="s">
        <v>69</v>
      </c>
      <c r="AY4451" t="s">
        <v>116</v>
      </c>
      <c r="AZ4451">
        <v>344</v>
      </c>
      <c r="BA4451" t="s">
        <v>117</v>
      </c>
      <c r="BB4451" t="s">
        <v>118</v>
      </c>
      <c r="BC4451">
        <v>1992</v>
      </c>
      <c r="BD4451" t="s">
        <v>90</v>
      </c>
    </row>
    <row r="4452" spans="1:56" x14ac:dyDescent="0.35">
      <c r="A4452">
        <v>117932737</v>
      </c>
      <c r="B4452" t="s">
        <v>3020</v>
      </c>
      <c r="D4452" t="s">
        <v>637</v>
      </c>
      <c r="E4452" t="s">
        <v>86</v>
      </c>
      <c r="F4452" t="s">
        <v>58</v>
      </c>
      <c r="G4452" t="s">
        <v>59</v>
      </c>
      <c r="H4452" t="s">
        <v>60</v>
      </c>
      <c r="I4452" t="s">
        <v>129</v>
      </c>
      <c r="J4452" t="s">
        <v>86</v>
      </c>
      <c r="K4452" t="s">
        <v>61</v>
      </c>
      <c r="L4452" t="s">
        <v>62</v>
      </c>
      <c r="M4452" t="s">
        <v>63</v>
      </c>
      <c r="N4452" t="s">
        <v>64</v>
      </c>
      <c r="P4452" t="s">
        <v>65</v>
      </c>
      <c r="R4452">
        <v>121</v>
      </c>
      <c r="T4452">
        <v>102</v>
      </c>
      <c r="V4452">
        <v>143</v>
      </c>
      <c r="W4452" t="s">
        <v>66</v>
      </c>
      <c r="X4452" t="s">
        <v>67</v>
      </c>
      <c r="Y4452" t="s">
        <v>67</v>
      </c>
      <c r="Z4452" t="s">
        <v>68</v>
      </c>
      <c r="AB4452">
        <v>4</v>
      </c>
      <c r="AC4452" t="s">
        <v>61</v>
      </c>
      <c r="AJ4452" t="s">
        <v>69</v>
      </c>
      <c r="AY4452" t="s">
        <v>639</v>
      </c>
      <c r="AZ4452">
        <v>180793</v>
      </c>
      <c r="BA4452" t="s">
        <v>640</v>
      </c>
      <c r="BB4452" t="s">
        <v>641</v>
      </c>
      <c r="BC4452">
        <v>1990</v>
      </c>
      <c r="BD4452" t="s">
        <v>642</v>
      </c>
    </row>
    <row r="4453" spans="1:56" x14ac:dyDescent="0.35">
      <c r="A4453">
        <v>117932737</v>
      </c>
      <c r="B4453" t="s">
        <v>3020</v>
      </c>
      <c r="D4453" t="s">
        <v>637</v>
      </c>
      <c r="E4453" t="s">
        <v>86</v>
      </c>
      <c r="F4453" t="s">
        <v>58</v>
      </c>
      <c r="G4453" t="s">
        <v>59</v>
      </c>
      <c r="H4453" t="s">
        <v>60</v>
      </c>
      <c r="I4453" t="s">
        <v>129</v>
      </c>
      <c r="J4453" t="s">
        <v>86</v>
      </c>
      <c r="K4453" t="s">
        <v>61</v>
      </c>
      <c r="L4453" t="s">
        <v>74</v>
      </c>
      <c r="M4453" t="s">
        <v>63</v>
      </c>
      <c r="N4453" t="s">
        <v>64</v>
      </c>
      <c r="P4453" t="s">
        <v>65</v>
      </c>
      <c r="Q4453" t="s">
        <v>153</v>
      </c>
      <c r="R4453">
        <v>109</v>
      </c>
      <c r="W4453" t="s">
        <v>66</v>
      </c>
      <c r="X4453" t="s">
        <v>67</v>
      </c>
      <c r="Y4453" t="s">
        <v>67</v>
      </c>
      <c r="Z4453" t="s">
        <v>68</v>
      </c>
      <c r="AB4453">
        <v>4</v>
      </c>
      <c r="AC4453" t="s">
        <v>61</v>
      </c>
      <c r="AJ4453" t="s">
        <v>69</v>
      </c>
      <c r="AY4453" t="s">
        <v>639</v>
      </c>
      <c r="AZ4453">
        <v>180793</v>
      </c>
      <c r="BA4453" t="s">
        <v>640</v>
      </c>
      <c r="BB4453" t="s">
        <v>641</v>
      </c>
      <c r="BC4453">
        <v>1990</v>
      </c>
      <c r="BD4453" t="s">
        <v>642</v>
      </c>
    </row>
    <row r="4454" spans="1:56" x14ac:dyDescent="0.35">
      <c r="A4454">
        <v>119446683</v>
      </c>
      <c r="B4454" t="s">
        <v>3021</v>
      </c>
      <c r="E4454">
        <v>97.3</v>
      </c>
      <c r="F4454" t="s">
        <v>58</v>
      </c>
      <c r="G4454" t="s">
        <v>59</v>
      </c>
      <c r="H4454" t="s">
        <v>60</v>
      </c>
      <c r="J4454" t="s">
        <v>86</v>
      </c>
      <c r="L4454" t="s">
        <v>190</v>
      </c>
      <c r="M4454" t="s">
        <v>63</v>
      </c>
      <c r="N4454" t="s">
        <v>64</v>
      </c>
      <c r="P4454" t="s">
        <v>65</v>
      </c>
      <c r="R4454">
        <v>1.8</v>
      </c>
      <c r="T4454">
        <v>1.3</v>
      </c>
      <c r="V4454">
        <v>2.6</v>
      </c>
      <c r="W4454" t="s">
        <v>66</v>
      </c>
      <c r="X4454" t="s">
        <v>67</v>
      </c>
      <c r="Y4454" t="s">
        <v>67</v>
      </c>
      <c r="Z4454" t="s">
        <v>68</v>
      </c>
      <c r="AB4454">
        <v>4</v>
      </c>
      <c r="AC4454" t="s">
        <v>61</v>
      </c>
      <c r="AJ4454" t="s">
        <v>69</v>
      </c>
      <c r="AY4454" t="s">
        <v>116</v>
      </c>
      <c r="AZ4454">
        <v>344</v>
      </c>
      <c r="BA4454" t="s">
        <v>117</v>
      </c>
      <c r="BB4454" t="s">
        <v>118</v>
      </c>
      <c r="BC4454">
        <v>1992</v>
      </c>
      <c r="BD4454" t="s">
        <v>90</v>
      </c>
    </row>
    <row r="4455" spans="1:56" x14ac:dyDescent="0.35">
      <c r="A4455">
        <v>122467327</v>
      </c>
      <c r="B4455" t="s">
        <v>3022</v>
      </c>
      <c r="D4455" t="s">
        <v>85</v>
      </c>
      <c r="E4455" t="s">
        <v>86</v>
      </c>
      <c r="F4455" t="s">
        <v>58</v>
      </c>
      <c r="G4455" t="s">
        <v>59</v>
      </c>
      <c r="H4455" t="s">
        <v>60</v>
      </c>
      <c r="J4455" t="s">
        <v>86</v>
      </c>
      <c r="L4455" t="s">
        <v>190</v>
      </c>
      <c r="M4455" t="s">
        <v>63</v>
      </c>
      <c r="N4455" t="s">
        <v>64</v>
      </c>
      <c r="P4455" t="s">
        <v>100</v>
      </c>
      <c r="R4455">
        <v>460</v>
      </c>
      <c r="T4455">
        <v>360</v>
      </c>
      <c r="V4455">
        <v>600</v>
      </c>
      <c r="W4455" t="s">
        <v>66</v>
      </c>
      <c r="X4455" t="s">
        <v>67</v>
      </c>
      <c r="Y4455" t="s">
        <v>67</v>
      </c>
      <c r="Z4455" t="s">
        <v>68</v>
      </c>
      <c r="AB4455">
        <v>4</v>
      </c>
      <c r="AC4455" t="s">
        <v>61</v>
      </c>
      <c r="AJ4455" t="s">
        <v>69</v>
      </c>
      <c r="AY4455" t="s">
        <v>3023</v>
      </c>
      <c r="AZ4455">
        <v>6561</v>
      </c>
      <c r="BA4455" t="s">
        <v>3024</v>
      </c>
      <c r="BB4455" t="s">
        <v>3025</v>
      </c>
      <c r="BC4455">
        <v>1992</v>
      </c>
      <c r="BD4455" t="s">
        <v>90</v>
      </c>
    </row>
    <row r="4456" spans="1:56" x14ac:dyDescent="0.35">
      <c r="A4456">
        <v>122467327</v>
      </c>
      <c r="B4456" t="s">
        <v>3022</v>
      </c>
      <c r="D4456" t="s">
        <v>85</v>
      </c>
      <c r="E4456" t="s">
        <v>86</v>
      </c>
      <c r="F4456" t="s">
        <v>58</v>
      </c>
      <c r="G4456" t="s">
        <v>59</v>
      </c>
      <c r="H4456" t="s">
        <v>60</v>
      </c>
      <c r="J4456" t="s">
        <v>86</v>
      </c>
      <c r="L4456" t="s">
        <v>190</v>
      </c>
      <c r="M4456" t="s">
        <v>63</v>
      </c>
      <c r="N4456" t="s">
        <v>64</v>
      </c>
      <c r="P4456" t="s">
        <v>100</v>
      </c>
      <c r="R4456">
        <v>110</v>
      </c>
      <c r="T4456">
        <v>90</v>
      </c>
      <c r="V4456">
        <v>140</v>
      </c>
      <c r="W4456" t="s">
        <v>66</v>
      </c>
      <c r="X4456" t="s">
        <v>67</v>
      </c>
      <c r="Y4456" t="s">
        <v>67</v>
      </c>
      <c r="Z4456" t="s">
        <v>68</v>
      </c>
      <c r="AB4456">
        <v>4</v>
      </c>
      <c r="AC4456" t="s">
        <v>61</v>
      </c>
      <c r="AJ4456" t="s">
        <v>69</v>
      </c>
      <c r="AY4456" t="s">
        <v>3023</v>
      </c>
      <c r="AZ4456">
        <v>6561</v>
      </c>
      <c r="BA4456" t="s">
        <v>3024</v>
      </c>
      <c r="BB4456" t="s">
        <v>3025</v>
      </c>
      <c r="BC4456">
        <v>1992</v>
      </c>
      <c r="BD4456" t="s">
        <v>90</v>
      </c>
    </row>
    <row r="4457" spans="1:56" x14ac:dyDescent="0.35">
      <c r="A4457">
        <v>122467327</v>
      </c>
      <c r="B4457" t="s">
        <v>3022</v>
      </c>
      <c r="D4457" t="s">
        <v>85</v>
      </c>
      <c r="E4457" t="s">
        <v>86</v>
      </c>
      <c r="F4457" t="s">
        <v>58</v>
      </c>
      <c r="G4457" t="s">
        <v>59</v>
      </c>
      <c r="H4457" t="s">
        <v>60</v>
      </c>
      <c r="J4457" t="s">
        <v>86</v>
      </c>
      <c r="L4457" t="s">
        <v>190</v>
      </c>
      <c r="M4457" t="s">
        <v>63</v>
      </c>
      <c r="N4457" t="s">
        <v>64</v>
      </c>
      <c r="P4457" t="s">
        <v>100</v>
      </c>
      <c r="R4457">
        <v>180</v>
      </c>
      <c r="T4457">
        <v>132</v>
      </c>
      <c r="V4457">
        <v>220</v>
      </c>
      <c r="W4457" t="s">
        <v>66</v>
      </c>
      <c r="X4457" t="s">
        <v>67</v>
      </c>
      <c r="Y4457" t="s">
        <v>67</v>
      </c>
      <c r="Z4457" t="s">
        <v>68</v>
      </c>
      <c r="AB4457">
        <v>4</v>
      </c>
      <c r="AC4457" t="s">
        <v>61</v>
      </c>
      <c r="AJ4457" t="s">
        <v>69</v>
      </c>
      <c r="AY4457" t="s">
        <v>3023</v>
      </c>
      <c r="AZ4457">
        <v>6561</v>
      </c>
      <c r="BA4457" t="s">
        <v>3024</v>
      </c>
      <c r="BB4457" t="s">
        <v>3025</v>
      </c>
      <c r="BC4457">
        <v>1992</v>
      </c>
      <c r="BD4457" t="s">
        <v>90</v>
      </c>
    </row>
    <row r="4458" spans="1:56" x14ac:dyDescent="0.35">
      <c r="A4458">
        <v>122548338</v>
      </c>
      <c r="B4458" t="s">
        <v>3026</v>
      </c>
      <c r="E4458">
        <v>98.6</v>
      </c>
      <c r="F4458" t="s">
        <v>58</v>
      </c>
      <c r="G4458" t="s">
        <v>59</v>
      </c>
      <c r="H4458" t="s">
        <v>60</v>
      </c>
      <c r="J4458" t="s">
        <v>86</v>
      </c>
      <c r="L4458" t="s">
        <v>62</v>
      </c>
      <c r="M4458" t="s">
        <v>63</v>
      </c>
      <c r="N4458" t="s">
        <v>64</v>
      </c>
      <c r="P4458" t="s">
        <v>65</v>
      </c>
      <c r="Q4458" t="s">
        <v>153</v>
      </c>
      <c r="R4458">
        <v>89</v>
      </c>
      <c r="W4458" t="s">
        <v>66</v>
      </c>
      <c r="X4458" t="s">
        <v>67</v>
      </c>
      <c r="Y4458" t="s">
        <v>67</v>
      </c>
      <c r="Z4458" t="s">
        <v>68</v>
      </c>
      <c r="AB4458">
        <v>4</v>
      </c>
      <c r="AC4458" t="s">
        <v>61</v>
      </c>
      <c r="AJ4458" t="s">
        <v>69</v>
      </c>
      <c r="AY4458" t="s">
        <v>116</v>
      </c>
      <c r="AZ4458">
        <v>344</v>
      </c>
      <c r="BA4458" t="s">
        <v>117</v>
      </c>
      <c r="BB4458" t="s">
        <v>118</v>
      </c>
      <c r="BC4458">
        <v>1992</v>
      </c>
      <c r="BD4458" t="s">
        <v>90</v>
      </c>
    </row>
    <row r="4459" spans="1:56" x14ac:dyDescent="0.35">
      <c r="A4459">
        <v>155569918</v>
      </c>
      <c r="B4459" t="s">
        <v>3027</v>
      </c>
      <c r="E4459">
        <v>94.6</v>
      </c>
      <c r="F4459" t="s">
        <v>58</v>
      </c>
      <c r="G4459" t="s">
        <v>59</v>
      </c>
      <c r="H4459" t="s">
        <v>60</v>
      </c>
      <c r="J4459" t="s">
        <v>86</v>
      </c>
      <c r="L4459" t="s">
        <v>74</v>
      </c>
      <c r="M4459" t="s">
        <v>63</v>
      </c>
      <c r="N4459" t="s">
        <v>64</v>
      </c>
      <c r="P4459" t="s">
        <v>65</v>
      </c>
      <c r="R4459">
        <v>0.19400000000000001</v>
      </c>
      <c r="T4459">
        <v>0.157</v>
      </c>
      <c r="V4459">
        <v>0.25700000000000001</v>
      </c>
      <c r="W4459" t="s">
        <v>66</v>
      </c>
      <c r="X4459" t="s">
        <v>67</v>
      </c>
      <c r="Y4459" t="s">
        <v>67</v>
      </c>
      <c r="Z4459" t="s">
        <v>68</v>
      </c>
      <c r="AB4459">
        <v>4</v>
      </c>
      <c r="AC4459" t="s">
        <v>61</v>
      </c>
      <c r="AJ4459" t="s">
        <v>69</v>
      </c>
      <c r="AY4459" t="s">
        <v>116</v>
      </c>
      <c r="AZ4459">
        <v>344</v>
      </c>
      <c r="BA4459" t="s">
        <v>117</v>
      </c>
      <c r="BB4459" t="s">
        <v>118</v>
      </c>
      <c r="BC4459">
        <v>1992</v>
      </c>
      <c r="BD4459" t="s">
        <v>90</v>
      </c>
    </row>
    <row r="4460" spans="1:56" x14ac:dyDescent="0.35">
      <c r="A4460">
        <v>160759295</v>
      </c>
      <c r="B4460" t="s">
        <v>3028</v>
      </c>
      <c r="D4460" t="s">
        <v>85</v>
      </c>
      <c r="E4460" t="s">
        <v>86</v>
      </c>
      <c r="F4460" t="s">
        <v>58</v>
      </c>
      <c r="G4460" t="s">
        <v>59</v>
      </c>
      <c r="H4460" t="s">
        <v>60</v>
      </c>
      <c r="I4460" t="s">
        <v>188</v>
      </c>
      <c r="J4460" t="s">
        <v>86</v>
      </c>
      <c r="K4460" t="s">
        <v>61</v>
      </c>
      <c r="L4460" t="s">
        <v>62</v>
      </c>
      <c r="M4460" t="s">
        <v>63</v>
      </c>
      <c r="N4460" t="s">
        <v>64</v>
      </c>
      <c r="P4460" t="s">
        <v>65</v>
      </c>
      <c r="Q4460" t="s">
        <v>153</v>
      </c>
      <c r="R4460">
        <v>33.119999999999997</v>
      </c>
      <c r="W4460" t="s">
        <v>66</v>
      </c>
      <c r="X4460" t="s">
        <v>67</v>
      </c>
      <c r="Y4460" t="s">
        <v>67</v>
      </c>
      <c r="Z4460" t="s">
        <v>68</v>
      </c>
      <c r="AB4460">
        <v>4</v>
      </c>
      <c r="AC4460" t="s">
        <v>61</v>
      </c>
      <c r="AJ4460" t="s">
        <v>69</v>
      </c>
      <c r="AY4460" t="s">
        <v>2834</v>
      </c>
      <c r="AZ4460">
        <v>160505</v>
      </c>
      <c r="BA4460" t="s">
        <v>2835</v>
      </c>
      <c r="BB4460" t="s">
        <v>2836</v>
      </c>
      <c r="BC4460">
        <v>2012</v>
      </c>
      <c r="BD4460" t="s">
        <v>2837</v>
      </c>
    </row>
    <row r="4461" spans="1:56" x14ac:dyDescent="0.35">
      <c r="A4461">
        <v>177256698</v>
      </c>
      <c r="B4461" t="s">
        <v>3029</v>
      </c>
      <c r="D4461" t="s">
        <v>85</v>
      </c>
      <c r="E4461">
        <v>100</v>
      </c>
      <c r="F4461" t="s">
        <v>58</v>
      </c>
      <c r="G4461" t="s">
        <v>59</v>
      </c>
      <c r="H4461" t="s">
        <v>60</v>
      </c>
      <c r="I4461" t="s">
        <v>186</v>
      </c>
      <c r="J4461">
        <v>3</v>
      </c>
      <c r="K4461" t="s">
        <v>61</v>
      </c>
      <c r="L4461" t="s">
        <v>62</v>
      </c>
      <c r="M4461" t="s">
        <v>63</v>
      </c>
      <c r="N4461" t="s">
        <v>64</v>
      </c>
      <c r="P4461" t="s">
        <v>100</v>
      </c>
      <c r="R4461">
        <v>32</v>
      </c>
      <c r="T4461">
        <v>10</v>
      </c>
      <c r="V4461">
        <v>47</v>
      </c>
      <c r="W4461" t="s">
        <v>66</v>
      </c>
      <c r="X4461" t="s">
        <v>67</v>
      </c>
      <c r="Y4461" t="s">
        <v>67</v>
      </c>
      <c r="Z4461" t="s">
        <v>68</v>
      </c>
      <c r="AB4461">
        <v>4</v>
      </c>
      <c r="AC4461" t="s">
        <v>61</v>
      </c>
      <c r="AJ4461" t="s">
        <v>69</v>
      </c>
      <c r="AY4461" t="s">
        <v>2793</v>
      </c>
      <c r="AZ4461">
        <v>17382</v>
      </c>
      <c r="BA4461" t="s">
        <v>2794</v>
      </c>
      <c r="BB4461" t="s">
        <v>2795</v>
      </c>
      <c r="BC4461">
        <v>1996</v>
      </c>
      <c r="BD4461" t="s">
        <v>73</v>
      </c>
    </row>
    <row r="4462" spans="1:56" x14ac:dyDescent="0.35">
      <c r="A4462">
        <v>177256698</v>
      </c>
      <c r="B4462" t="s">
        <v>3029</v>
      </c>
      <c r="D4462" t="s">
        <v>85</v>
      </c>
      <c r="E4462">
        <v>100</v>
      </c>
      <c r="F4462" t="s">
        <v>58</v>
      </c>
      <c r="G4462" t="s">
        <v>59</v>
      </c>
      <c r="H4462" t="s">
        <v>60</v>
      </c>
      <c r="I4462" t="s">
        <v>129</v>
      </c>
      <c r="J4462" t="s">
        <v>86</v>
      </c>
      <c r="K4462" t="s">
        <v>1027</v>
      </c>
      <c r="L4462" t="s">
        <v>62</v>
      </c>
      <c r="M4462" t="s">
        <v>63</v>
      </c>
      <c r="N4462" t="s">
        <v>64</v>
      </c>
      <c r="P4462" t="s">
        <v>100</v>
      </c>
      <c r="R4462">
        <v>13</v>
      </c>
      <c r="T4462">
        <v>10</v>
      </c>
      <c r="V4462">
        <v>17</v>
      </c>
      <c r="W4462" t="s">
        <v>66</v>
      </c>
      <c r="X4462" t="s">
        <v>67</v>
      </c>
      <c r="Y4462" t="s">
        <v>67</v>
      </c>
      <c r="Z4462" t="s">
        <v>68</v>
      </c>
      <c r="AB4462">
        <v>4</v>
      </c>
      <c r="AC4462" t="s">
        <v>61</v>
      </c>
      <c r="AJ4462" t="s">
        <v>69</v>
      </c>
      <c r="AY4462" t="s">
        <v>2793</v>
      </c>
      <c r="AZ4462">
        <v>17382</v>
      </c>
      <c r="BA4462" t="s">
        <v>2794</v>
      </c>
      <c r="BB4462" t="s">
        <v>2795</v>
      </c>
      <c r="BC4462">
        <v>1996</v>
      </c>
      <c r="BD4462" t="s">
        <v>2797</v>
      </c>
    </row>
    <row r="4463" spans="1:56" x14ac:dyDescent="0.35">
      <c r="A4463">
        <v>177256698</v>
      </c>
      <c r="B4463" t="s">
        <v>3029</v>
      </c>
      <c r="D4463" t="s">
        <v>85</v>
      </c>
      <c r="E4463">
        <v>100</v>
      </c>
      <c r="F4463" t="s">
        <v>58</v>
      </c>
      <c r="G4463" t="s">
        <v>59</v>
      </c>
      <c r="H4463" t="s">
        <v>60</v>
      </c>
      <c r="I4463" t="s">
        <v>177</v>
      </c>
      <c r="J4463">
        <v>1</v>
      </c>
      <c r="K4463" t="s">
        <v>1027</v>
      </c>
      <c r="L4463" t="s">
        <v>62</v>
      </c>
      <c r="M4463" t="s">
        <v>63</v>
      </c>
      <c r="N4463" t="s">
        <v>64</v>
      </c>
      <c r="P4463" t="s">
        <v>100</v>
      </c>
      <c r="R4463">
        <v>14</v>
      </c>
      <c r="T4463">
        <v>11</v>
      </c>
      <c r="V4463">
        <v>17</v>
      </c>
      <c r="W4463" t="s">
        <v>66</v>
      </c>
      <c r="X4463" t="s">
        <v>67</v>
      </c>
      <c r="Y4463" t="s">
        <v>67</v>
      </c>
      <c r="Z4463" t="s">
        <v>68</v>
      </c>
      <c r="AB4463">
        <v>4</v>
      </c>
      <c r="AC4463" t="s">
        <v>61</v>
      </c>
      <c r="AJ4463" t="s">
        <v>69</v>
      </c>
      <c r="AY4463" t="s">
        <v>2793</v>
      </c>
      <c r="AZ4463">
        <v>17382</v>
      </c>
      <c r="BA4463" t="s">
        <v>2794</v>
      </c>
      <c r="BB4463" t="s">
        <v>2795</v>
      </c>
      <c r="BC4463">
        <v>1996</v>
      </c>
      <c r="BD4463" t="s">
        <v>1028</v>
      </c>
    </row>
    <row r="4464" spans="1:56" x14ac:dyDescent="0.35">
      <c r="A4464">
        <v>177256698</v>
      </c>
      <c r="B4464" t="s">
        <v>3029</v>
      </c>
      <c r="D4464" t="s">
        <v>85</v>
      </c>
      <c r="E4464">
        <v>100</v>
      </c>
      <c r="F4464" t="s">
        <v>58</v>
      </c>
      <c r="G4464" t="s">
        <v>59</v>
      </c>
      <c r="H4464" t="s">
        <v>60</v>
      </c>
      <c r="I4464" t="s">
        <v>186</v>
      </c>
      <c r="J4464">
        <v>3</v>
      </c>
      <c r="K4464" t="s">
        <v>61</v>
      </c>
      <c r="L4464" t="s">
        <v>62</v>
      </c>
      <c r="M4464" t="s">
        <v>63</v>
      </c>
      <c r="N4464" t="s">
        <v>64</v>
      </c>
      <c r="P4464" t="s">
        <v>100</v>
      </c>
      <c r="R4464">
        <v>26</v>
      </c>
      <c r="T4464">
        <v>21</v>
      </c>
      <c r="V4464">
        <v>33</v>
      </c>
      <c r="W4464" t="s">
        <v>66</v>
      </c>
      <c r="X4464" t="s">
        <v>67</v>
      </c>
      <c r="Y4464" t="s">
        <v>67</v>
      </c>
      <c r="Z4464" t="s">
        <v>68</v>
      </c>
      <c r="AB4464">
        <v>4</v>
      </c>
      <c r="AC4464" t="s">
        <v>61</v>
      </c>
      <c r="AJ4464" t="s">
        <v>69</v>
      </c>
      <c r="AY4464" t="s">
        <v>2793</v>
      </c>
      <c r="AZ4464">
        <v>17382</v>
      </c>
      <c r="BA4464" t="s">
        <v>2794</v>
      </c>
      <c r="BB4464" t="s">
        <v>2795</v>
      </c>
      <c r="BC4464">
        <v>1996</v>
      </c>
      <c r="BD4464" t="s">
        <v>73</v>
      </c>
    </row>
    <row r="4465" spans="1:56" x14ac:dyDescent="0.35">
      <c r="A4465">
        <v>177256698</v>
      </c>
      <c r="B4465" t="s">
        <v>3029</v>
      </c>
      <c r="D4465" t="s">
        <v>85</v>
      </c>
      <c r="E4465">
        <v>100</v>
      </c>
      <c r="F4465" t="s">
        <v>58</v>
      </c>
      <c r="G4465" t="s">
        <v>59</v>
      </c>
      <c r="H4465" t="s">
        <v>60</v>
      </c>
      <c r="I4465" t="s">
        <v>129</v>
      </c>
      <c r="J4465" t="s">
        <v>86</v>
      </c>
      <c r="K4465" t="s">
        <v>1027</v>
      </c>
      <c r="L4465" t="s">
        <v>62</v>
      </c>
      <c r="M4465" t="s">
        <v>63</v>
      </c>
      <c r="N4465" t="s">
        <v>64</v>
      </c>
      <c r="P4465" t="s">
        <v>100</v>
      </c>
      <c r="R4465">
        <v>22</v>
      </c>
      <c r="T4465">
        <v>17</v>
      </c>
      <c r="V4465">
        <v>28</v>
      </c>
      <c r="W4465" t="s">
        <v>66</v>
      </c>
      <c r="X4465" t="s">
        <v>67</v>
      </c>
      <c r="Y4465" t="s">
        <v>67</v>
      </c>
      <c r="Z4465" t="s">
        <v>68</v>
      </c>
      <c r="AB4465">
        <v>4</v>
      </c>
      <c r="AC4465" t="s">
        <v>61</v>
      </c>
      <c r="AJ4465" t="s">
        <v>69</v>
      </c>
      <c r="AY4465" t="s">
        <v>2793</v>
      </c>
      <c r="AZ4465">
        <v>17382</v>
      </c>
      <c r="BA4465" t="s">
        <v>2794</v>
      </c>
      <c r="BB4465" t="s">
        <v>2795</v>
      </c>
      <c r="BC4465">
        <v>1996</v>
      </c>
      <c r="BD4465" t="s">
        <v>2796</v>
      </c>
    </row>
    <row r="4466" spans="1:56" x14ac:dyDescent="0.35">
      <c r="A4466">
        <v>177256698</v>
      </c>
      <c r="B4466" t="s">
        <v>3029</v>
      </c>
      <c r="D4466" t="s">
        <v>85</v>
      </c>
      <c r="E4466">
        <v>100</v>
      </c>
      <c r="F4466" t="s">
        <v>58</v>
      </c>
      <c r="G4466" t="s">
        <v>59</v>
      </c>
      <c r="H4466" t="s">
        <v>60</v>
      </c>
      <c r="I4466" t="s">
        <v>129</v>
      </c>
      <c r="J4466" t="s">
        <v>86</v>
      </c>
      <c r="K4466" t="s">
        <v>1027</v>
      </c>
      <c r="L4466" t="s">
        <v>62</v>
      </c>
      <c r="M4466" t="s">
        <v>63</v>
      </c>
      <c r="N4466" t="s">
        <v>64</v>
      </c>
      <c r="P4466" t="s">
        <v>100</v>
      </c>
      <c r="R4466">
        <v>22</v>
      </c>
      <c r="T4466">
        <v>17</v>
      </c>
      <c r="V4466">
        <v>28</v>
      </c>
      <c r="W4466" t="s">
        <v>66</v>
      </c>
      <c r="X4466" t="s">
        <v>67</v>
      </c>
      <c r="Y4466" t="s">
        <v>67</v>
      </c>
      <c r="Z4466" t="s">
        <v>68</v>
      </c>
      <c r="AB4466">
        <v>4</v>
      </c>
      <c r="AC4466" t="s">
        <v>61</v>
      </c>
      <c r="AJ4466" t="s">
        <v>69</v>
      </c>
      <c r="AY4466" t="s">
        <v>2793</v>
      </c>
      <c r="AZ4466">
        <v>17382</v>
      </c>
      <c r="BA4466" t="s">
        <v>2794</v>
      </c>
      <c r="BB4466" t="s">
        <v>2795</v>
      </c>
      <c r="BC4466">
        <v>1996</v>
      </c>
      <c r="BD4466" t="s">
        <v>2797</v>
      </c>
    </row>
    <row r="4467" spans="1:56" x14ac:dyDescent="0.35">
      <c r="A4467">
        <v>177256698</v>
      </c>
      <c r="B4467" t="s">
        <v>3029</v>
      </c>
      <c r="D4467" t="s">
        <v>85</v>
      </c>
      <c r="E4467">
        <v>100</v>
      </c>
      <c r="F4467" t="s">
        <v>58</v>
      </c>
      <c r="G4467" t="s">
        <v>59</v>
      </c>
      <c r="H4467" t="s">
        <v>60</v>
      </c>
      <c r="I4467" t="s">
        <v>129</v>
      </c>
      <c r="J4467" t="s">
        <v>86</v>
      </c>
      <c r="K4467" t="s">
        <v>1027</v>
      </c>
      <c r="L4467" t="s">
        <v>62</v>
      </c>
      <c r="M4467" t="s">
        <v>63</v>
      </c>
      <c r="N4467" t="s">
        <v>64</v>
      </c>
      <c r="P4467" t="s">
        <v>100</v>
      </c>
      <c r="R4467">
        <v>13</v>
      </c>
      <c r="T4467">
        <v>10</v>
      </c>
      <c r="V4467">
        <v>17</v>
      </c>
      <c r="W4467" t="s">
        <v>66</v>
      </c>
      <c r="X4467" t="s">
        <v>67</v>
      </c>
      <c r="Y4467" t="s">
        <v>67</v>
      </c>
      <c r="Z4467" t="s">
        <v>68</v>
      </c>
      <c r="AB4467">
        <v>4</v>
      </c>
      <c r="AC4467" t="s">
        <v>61</v>
      </c>
      <c r="AJ4467" t="s">
        <v>69</v>
      </c>
      <c r="AY4467" t="s">
        <v>2793</v>
      </c>
      <c r="AZ4467">
        <v>17382</v>
      </c>
      <c r="BA4467" t="s">
        <v>2794</v>
      </c>
      <c r="BB4467" t="s">
        <v>2795</v>
      </c>
      <c r="BC4467">
        <v>1996</v>
      </c>
      <c r="BD4467" t="s">
        <v>2798</v>
      </c>
    </row>
    <row r="4468" spans="1:56" x14ac:dyDescent="0.35">
      <c r="A4468">
        <v>177256698</v>
      </c>
      <c r="B4468" t="s">
        <v>3029</v>
      </c>
      <c r="D4468" t="s">
        <v>85</v>
      </c>
      <c r="E4468">
        <v>100</v>
      </c>
      <c r="F4468" t="s">
        <v>58</v>
      </c>
      <c r="G4468" t="s">
        <v>59</v>
      </c>
      <c r="H4468" t="s">
        <v>60</v>
      </c>
      <c r="I4468" t="s">
        <v>177</v>
      </c>
      <c r="J4468">
        <v>1</v>
      </c>
      <c r="K4468" t="s">
        <v>1027</v>
      </c>
      <c r="L4468" t="s">
        <v>62</v>
      </c>
      <c r="M4468" t="s">
        <v>63</v>
      </c>
      <c r="N4468" t="s">
        <v>64</v>
      </c>
      <c r="P4468" t="s">
        <v>100</v>
      </c>
      <c r="R4468">
        <v>14</v>
      </c>
      <c r="T4468">
        <v>11</v>
      </c>
      <c r="V4468">
        <v>17</v>
      </c>
      <c r="W4468" t="s">
        <v>66</v>
      </c>
      <c r="X4468" t="s">
        <v>67</v>
      </c>
      <c r="Y4468" t="s">
        <v>67</v>
      </c>
      <c r="Z4468" t="s">
        <v>68</v>
      </c>
      <c r="AB4468">
        <v>4</v>
      </c>
      <c r="AC4468" t="s">
        <v>61</v>
      </c>
      <c r="AJ4468" t="s">
        <v>69</v>
      </c>
      <c r="AY4468" t="s">
        <v>2793</v>
      </c>
      <c r="AZ4468">
        <v>17382</v>
      </c>
      <c r="BA4468" t="s">
        <v>2794</v>
      </c>
      <c r="BB4468" t="s">
        <v>2795</v>
      </c>
      <c r="BC4468">
        <v>1996</v>
      </c>
      <c r="BD4468" t="s">
        <v>1028</v>
      </c>
    </row>
    <row r="4469" spans="1:56" x14ac:dyDescent="0.35">
      <c r="A4469">
        <v>183675823</v>
      </c>
      <c r="B4469" t="s">
        <v>3030</v>
      </c>
      <c r="E4469">
        <v>20.8</v>
      </c>
      <c r="F4469" t="s">
        <v>58</v>
      </c>
      <c r="G4469" t="s">
        <v>59</v>
      </c>
      <c r="H4469" t="s">
        <v>60</v>
      </c>
      <c r="J4469" t="s">
        <v>86</v>
      </c>
      <c r="L4469" t="s">
        <v>62</v>
      </c>
      <c r="M4469" t="s">
        <v>63</v>
      </c>
      <c r="N4469" t="s">
        <v>64</v>
      </c>
      <c r="P4469" t="s">
        <v>100</v>
      </c>
      <c r="R4469">
        <v>1.506</v>
      </c>
      <c r="T4469">
        <v>1.1000000000000001</v>
      </c>
      <c r="V4469">
        <v>3</v>
      </c>
      <c r="W4469" t="s">
        <v>66</v>
      </c>
      <c r="X4469" t="s">
        <v>67</v>
      </c>
      <c r="Y4469" t="s">
        <v>67</v>
      </c>
      <c r="Z4469" t="s">
        <v>68</v>
      </c>
      <c r="AB4469">
        <v>4</v>
      </c>
      <c r="AC4469" t="s">
        <v>61</v>
      </c>
      <c r="AJ4469" t="s">
        <v>69</v>
      </c>
      <c r="AY4469" t="s">
        <v>116</v>
      </c>
      <c r="AZ4469">
        <v>344</v>
      </c>
      <c r="BA4469" t="s">
        <v>117</v>
      </c>
      <c r="BB4469" t="s">
        <v>118</v>
      </c>
      <c r="BC4469">
        <v>1992</v>
      </c>
      <c r="BD4469" t="s">
        <v>90</v>
      </c>
    </row>
    <row r="4470" spans="1:56" x14ac:dyDescent="0.35">
      <c r="A4470">
        <v>183675823</v>
      </c>
      <c r="B4470" t="s">
        <v>3030</v>
      </c>
      <c r="E4470">
        <v>98.6</v>
      </c>
      <c r="F4470" t="s">
        <v>58</v>
      </c>
      <c r="G4470" t="s">
        <v>59</v>
      </c>
      <c r="H4470" t="s">
        <v>60</v>
      </c>
      <c r="J4470" t="s">
        <v>86</v>
      </c>
      <c r="L4470" t="s">
        <v>190</v>
      </c>
      <c r="M4470" t="s">
        <v>63</v>
      </c>
      <c r="N4470" t="s">
        <v>64</v>
      </c>
      <c r="P4470" t="s">
        <v>65</v>
      </c>
      <c r="R4470">
        <v>0.28999999999999998</v>
      </c>
      <c r="T4470">
        <v>0.20300000000000001</v>
      </c>
      <c r="V4470">
        <v>0.41399999999999998</v>
      </c>
      <c r="W4470" t="s">
        <v>66</v>
      </c>
      <c r="X4470" t="s">
        <v>67</v>
      </c>
      <c r="Y4470" t="s">
        <v>67</v>
      </c>
      <c r="Z4470" t="s">
        <v>68</v>
      </c>
      <c r="AB4470">
        <v>4</v>
      </c>
      <c r="AC4470" t="s">
        <v>61</v>
      </c>
      <c r="AJ4470" t="s">
        <v>69</v>
      </c>
      <c r="AY4470" t="s">
        <v>116</v>
      </c>
      <c r="AZ4470">
        <v>344</v>
      </c>
      <c r="BA4470" t="s">
        <v>117</v>
      </c>
      <c r="BB4470" t="s">
        <v>118</v>
      </c>
      <c r="BC4470">
        <v>1992</v>
      </c>
      <c r="BD4470" t="s">
        <v>90</v>
      </c>
    </row>
    <row r="4471" spans="1:56" x14ac:dyDescent="0.35">
      <c r="A4471">
        <v>210880925</v>
      </c>
      <c r="B4471" t="s">
        <v>3031</v>
      </c>
      <c r="D4471" t="s">
        <v>57</v>
      </c>
      <c r="E4471">
        <v>99.9</v>
      </c>
      <c r="F4471" t="s">
        <v>58</v>
      </c>
      <c r="G4471" t="s">
        <v>59</v>
      </c>
      <c r="H4471" t="s">
        <v>60</v>
      </c>
      <c r="J4471" t="s">
        <v>86</v>
      </c>
      <c r="L4471" t="s">
        <v>476</v>
      </c>
      <c r="M4471" t="s">
        <v>63</v>
      </c>
      <c r="N4471" t="s">
        <v>64</v>
      </c>
      <c r="P4471" t="s">
        <v>65</v>
      </c>
      <c r="Q4471" t="s">
        <v>153</v>
      </c>
      <c r="R4471">
        <v>0.5</v>
      </c>
      <c r="W4471" t="s">
        <v>66</v>
      </c>
      <c r="X4471" t="s">
        <v>67</v>
      </c>
      <c r="Y4471" t="s">
        <v>67</v>
      </c>
      <c r="Z4471" t="s">
        <v>68</v>
      </c>
      <c r="AB4471">
        <v>4</v>
      </c>
      <c r="AC4471" t="s">
        <v>61</v>
      </c>
      <c r="AJ4471" t="s">
        <v>69</v>
      </c>
      <c r="AY4471" t="s">
        <v>3032</v>
      </c>
      <c r="AZ4471">
        <v>173368</v>
      </c>
      <c r="BA4471" t="s">
        <v>3033</v>
      </c>
      <c r="BB4471" t="s">
        <v>3034</v>
      </c>
      <c r="BC4471">
        <v>2015</v>
      </c>
      <c r="BD4471" t="s">
        <v>90</v>
      </c>
    </row>
    <row r="4472" spans="1:56" x14ac:dyDescent="0.35">
      <c r="A4472">
        <v>243973208</v>
      </c>
      <c r="B4472" t="s">
        <v>3035</v>
      </c>
      <c r="E4472">
        <v>97.2</v>
      </c>
      <c r="F4472" t="s">
        <v>58</v>
      </c>
      <c r="G4472" t="s">
        <v>59</v>
      </c>
      <c r="H4472" t="s">
        <v>60</v>
      </c>
      <c r="J4472" t="s">
        <v>86</v>
      </c>
      <c r="L4472" t="s">
        <v>74</v>
      </c>
      <c r="M4472" t="s">
        <v>63</v>
      </c>
      <c r="N4472" t="s">
        <v>64</v>
      </c>
      <c r="P4472" t="s">
        <v>65</v>
      </c>
      <c r="R4472">
        <v>20</v>
      </c>
      <c r="T4472">
        <v>16</v>
      </c>
      <c r="V4472">
        <v>23</v>
      </c>
      <c r="W4472" t="s">
        <v>66</v>
      </c>
      <c r="X4472" t="s">
        <v>67</v>
      </c>
      <c r="Y4472" t="s">
        <v>67</v>
      </c>
      <c r="Z4472" t="s">
        <v>68</v>
      </c>
      <c r="AB4472">
        <v>4</v>
      </c>
      <c r="AC4472" t="s">
        <v>61</v>
      </c>
      <c r="AJ4472" t="s">
        <v>69</v>
      </c>
      <c r="AY4472" t="s">
        <v>116</v>
      </c>
      <c r="AZ4472">
        <v>344</v>
      </c>
      <c r="BA4472" t="s">
        <v>117</v>
      </c>
      <c r="BB4472" t="s">
        <v>118</v>
      </c>
      <c r="BC4472">
        <v>1992</v>
      </c>
      <c r="BD4472" t="s">
        <v>90</v>
      </c>
    </row>
    <row r="4473" spans="1:56" x14ac:dyDescent="0.35">
      <c r="A4473">
        <v>243973208</v>
      </c>
      <c r="B4473" t="s">
        <v>3035</v>
      </c>
      <c r="E4473">
        <v>97.2</v>
      </c>
      <c r="F4473" t="s">
        <v>58</v>
      </c>
      <c r="G4473" t="s">
        <v>59</v>
      </c>
      <c r="H4473" t="s">
        <v>60</v>
      </c>
      <c r="J4473" t="s">
        <v>86</v>
      </c>
      <c r="L4473" t="s">
        <v>74</v>
      </c>
      <c r="M4473" t="s">
        <v>63</v>
      </c>
      <c r="N4473" t="s">
        <v>64</v>
      </c>
      <c r="P4473" t="s">
        <v>65</v>
      </c>
      <c r="R4473">
        <v>20</v>
      </c>
      <c r="T4473">
        <v>16</v>
      </c>
      <c r="V4473">
        <v>23</v>
      </c>
      <c r="W4473" t="s">
        <v>66</v>
      </c>
      <c r="X4473" t="s">
        <v>67</v>
      </c>
      <c r="Y4473" t="s">
        <v>67</v>
      </c>
      <c r="Z4473" t="s">
        <v>68</v>
      </c>
      <c r="AB4473">
        <v>4</v>
      </c>
      <c r="AC4473" t="s">
        <v>61</v>
      </c>
      <c r="AJ4473" t="s">
        <v>69</v>
      </c>
      <c r="AY4473" t="s">
        <v>116</v>
      </c>
      <c r="AZ4473">
        <v>344</v>
      </c>
      <c r="BA4473" t="s">
        <v>117</v>
      </c>
      <c r="BB4473" t="s">
        <v>118</v>
      </c>
      <c r="BC4473">
        <v>1992</v>
      </c>
      <c r="BD4473" t="s">
        <v>90</v>
      </c>
    </row>
    <row r="4474" spans="1:56" x14ac:dyDescent="0.35">
      <c r="A4474">
        <v>272451657</v>
      </c>
      <c r="B4474" t="s">
        <v>3036</v>
      </c>
      <c r="E4474">
        <v>96.6</v>
      </c>
      <c r="F4474" t="s">
        <v>58</v>
      </c>
      <c r="G4474" t="s">
        <v>59</v>
      </c>
      <c r="H4474" t="s">
        <v>60</v>
      </c>
      <c r="J4474" t="s">
        <v>86</v>
      </c>
      <c r="L4474" t="s">
        <v>62</v>
      </c>
      <c r="M4474" t="s">
        <v>63</v>
      </c>
      <c r="N4474" t="s">
        <v>64</v>
      </c>
      <c r="P4474" t="s">
        <v>65</v>
      </c>
      <c r="Q4474" t="s">
        <v>153</v>
      </c>
      <c r="R4474">
        <v>6.6500000000000004E-2</v>
      </c>
      <c r="W4474" t="s">
        <v>66</v>
      </c>
      <c r="X4474" t="s">
        <v>67</v>
      </c>
      <c r="Y4474" t="s">
        <v>67</v>
      </c>
      <c r="Z4474" t="s">
        <v>68</v>
      </c>
      <c r="AB4474">
        <v>4</v>
      </c>
      <c r="AC4474" t="s">
        <v>61</v>
      </c>
      <c r="AJ4474" t="s">
        <v>69</v>
      </c>
      <c r="AY4474" t="s">
        <v>116</v>
      </c>
      <c r="AZ4474">
        <v>344</v>
      </c>
      <c r="BA4474" t="s">
        <v>117</v>
      </c>
      <c r="BB4474" t="s">
        <v>118</v>
      </c>
      <c r="BC4474">
        <v>1992</v>
      </c>
      <c r="BD4474" t="s">
        <v>90</v>
      </c>
    </row>
    <row r="4475" spans="1:56" x14ac:dyDescent="0.35">
      <c r="A4475">
        <v>283594901</v>
      </c>
      <c r="B4475" t="s">
        <v>3037</v>
      </c>
      <c r="E4475">
        <v>96.4</v>
      </c>
      <c r="F4475" t="s">
        <v>58</v>
      </c>
      <c r="G4475" t="s">
        <v>59</v>
      </c>
      <c r="H4475" t="s">
        <v>60</v>
      </c>
      <c r="J4475" t="s">
        <v>86</v>
      </c>
      <c r="L4475" t="s">
        <v>74</v>
      </c>
      <c r="M4475" t="s">
        <v>63</v>
      </c>
      <c r="N4475" t="s">
        <v>64</v>
      </c>
      <c r="P4475" t="s">
        <v>65</v>
      </c>
      <c r="Q4475" t="s">
        <v>153</v>
      </c>
      <c r="R4475">
        <v>4.0099999999999997E-2</v>
      </c>
      <c r="W4475" t="s">
        <v>66</v>
      </c>
      <c r="X4475" t="s">
        <v>67</v>
      </c>
      <c r="Y4475" t="s">
        <v>67</v>
      </c>
      <c r="Z4475" t="s">
        <v>68</v>
      </c>
      <c r="AB4475">
        <v>4</v>
      </c>
      <c r="AC4475" t="s">
        <v>61</v>
      </c>
      <c r="AJ4475" t="s">
        <v>69</v>
      </c>
      <c r="AY4475" t="s">
        <v>116</v>
      </c>
      <c r="AZ4475">
        <v>344</v>
      </c>
      <c r="BA4475" t="s">
        <v>117</v>
      </c>
      <c r="BB4475" t="s">
        <v>118</v>
      </c>
      <c r="BC4475">
        <v>1992</v>
      </c>
      <c r="BD4475" t="s">
        <v>90</v>
      </c>
    </row>
    <row r="4476" spans="1:56" x14ac:dyDescent="0.35">
      <c r="A4476">
        <v>374726622</v>
      </c>
      <c r="B4476" t="s">
        <v>3038</v>
      </c>
      <c r="E4476">
        <v>96.1</v>
      </c>
      <c r="F4476" t="s">
        <v>58</v>
      </c>
      <c r="G4476" t="s">
        <v>59</v>
      </c>
      <c r="H4476" t="s">
        <v>60</v>
      </c>
      <c r="J4476" t="s">
        <v>86</v>
      </c>
      <c r="L4476" t="s">
        <v>74</v>
      </c>
      <c r="M4476" t="s">
        <v>63</v>
      </c>
      <c r="N4476" t="s">
        <v>64</v>
      </c>
      <c r="P4476" t="s">
        <v>65</v>
      </c>
      <c r="Q4476" t="s">
        <v>153</v>
      </c>
      <c r="R4476">
        <v>5.8</v>
      </c>
      <c r="W4476" t="s">
        <v>66</v>
      </c>
      <c r="X4476" t="s">
        <v>67</v>
      </c>
      <c r="Y4476" t="s">
        <v>67</v>
      </c>
      <c r="Z4476" t="s">
        <v>68</v>
      </c>
      <c r="AB4476">
        <v>4</v>
      </c>
      <c r="AC4476" t="s">
        <v>61</v>
      </c>
      <c r="AJ4476" t="s">
        <v>69</v>
      </c>
      <c r="AY4476" t="s">
        <v>116</v>
      </c>
      <c r="AZ4476">
        <v>344</v>
      </c>
      <c r="BA4476" t="s">
        <v>117</v>
      </c>
      <c r="BB4476" t="s">
        <v>118</v>
      </c>
      <c r="BC4476">
        <v>1992</v>
      </c>
      <c r="BD4476" t="s">
        <v>90</v>
      </c>
    </row>
    <row r="4477" spans="1:56" x14ac:dyDescent="0.35">
      <c r="A4477">
        <v>422556089</v>
      </c>
      <c r="B4477" t="s">
        <v>3039</v>
      </c>
      <c r="E4477">
        <v>98</v>
      </c>
      <c r="F4477" t="s">
        <v>58</v>
      </c>
      <c r="G4477" t="s">
        <v>59</v>
      </c>
      <c r="H4477" t="s">
        <v>60</v>
      </c>
      <c r="J4477" t="s">
        <v>86</v>
      </c>
      <c r="L4477" t="s">
        <v>62</v>
      </c>
      <c r="M4477" t="s">
        <v>63</v>
      </c>
      <c r="N4477" t="s">
        <v>64</v>
      </c>
      <c r="P4477" t="s">
        <v>65</v>
      </c>
      <c r="Q4477" t="s">
        <v>153</v>
      </c>
      <c r="R4477">
        <v>94.4</v>
      </c>
      <c r="W4477" t="s">
        <v>66</v>
      </c>
      <c r="X4477" t="s">
        <v>67</v>
      </c>
      <c r="Y4477" t="s">
        <v>67</v>
      </c>
      <c r="Z4477" t="s">
        <v>68</v>
      </c>
      <c r="AB4477">
        <v>4</v>
      </c>
      <c r="AC4477" t="s">
        <v>61</v>
      </c>
      <c r="AJ4477" t="s">
        <v>69</v>
      </c>
      <c r="AY4477" t="s">
        <v>116</v>
      </c>
      <c r="AZ4477">
        <v>344</v>
      </c>
      <c r="BA4477" t="s">
        <v>117</v>
      </c>
      <c r="BB4477" t="s">
        <v>118</v>
      </c>
      <c r="BC4477">
        <v>1992</v>
      </c>
      <c r="BD4477" t="s">
        <v>90</v>
      </c>
    </row>
    <row r="4478" spans="1:56" x14ac:dyDescent="0.35">
      <c r="A4478">
        <v>561056620</v>
      </c>
      <c r="B4478" t="s">
        <v>3040</v>
      </c>
      <c r="D4478" t="s">
        <v>85</v>
      </c>
      <c r="E4478" t="s">
        <v>86</v>
      </c>
      <c r="F4478" t="s">
        <v>58</v>
      </c>
      <c r="G4478" t="s">
        <v>59</v>
      </c>
      <c r="H4478" t="s">
        <v>60</v>
      </c>
      <c r="I4478" t="s">
        <v>188</v>
      </c>
      <c r="J4478" t="s">
        <v>86</v>
      </c>
      <c r="K4478" t="s">
        <v>61</v>
      </c>
      <c r="L4478" t="s">
        <v>62</v>
      </c>
      <c r="M4478" t="s">
        <v>63</v>
      </c>
      <c r="N4478" t="s">
        <v>64</v>
      </c>
      <c r="P4478" t="s">
        <v>65</v>
      </c>
      <c r="Q4478" t="s">
        <v>153</v>
      </c>
      <c r="R4478">
        <v>0.28000000000000003</v>
      </c>
      <c r="W4478" t="s">
        <v>66</v>
      </c>
      <c r="X4478" t="s">
        <v>67</v>
      </c>
      <c r="Y4478" t="s">
        <v>67</v>
      </c>
      <c r="Z4478" t="s">
        <v>68</v>
      </c>
      <c r="AB4478">
        <v>4</v>
      </c>
      <c r="AC4478" t="s">
        <v>61</v>
      </c>
      <c r="AJ4478" t="s">
        <v>69</v>
      </c>
      <c r="AY4478" t="s">
        <v>2834</v>
      </c>
      <c r="AZ4478">
        <v>160505</v>
      </c>
      <c r="BA4478" t="s">
        <v>2835</v>
      </c>
      <c r="BB4478" t="s">
        <v>2836</v>
      </c>
      <c r="BC4478">
        <v>2012</v>
      </c>
      <c r="BD4478" t="s">
        <v>2837</v>
      </c>
    </row>
    <row r="4479" spans="1:56" x14ac:dyDescent="0.35">
      <c r="A4479">
        <v>658066354</v>
      </c>
      <c r="B4479" t="s">
        <v>3041</v>
      </c>
      <c r="E4479">
        <v>94.7</v>
      </c>
      <c r="F4479" t="s">
        <v>58</v>
      </c>
      <c r="G4479" t="s">
        <v>59</v>
      </c>
      <c r="H4479" t="s">
        <v>60</v>
      </c>
      <c r="J4479" t="s">
        <v>86</v>
      </c>
      <c r="L4479" t="s">
        <v>62</v>
      </c>
      <c r="M4479" t="s">
        <v>63</v>
      </c>
      <c r="N4479" t="s">
        <v>64</v>
      </c>
      <c r="P4479" t="s">
        <v>65</v>
      </c>
      <c r="Q4479" t="s">
        <v>153</v>
      </c>
      <c r="R4479">
        <v>4.95</v>
      </c>
      <c r="W4479" t="s">
        <v>66</v>
      </c>
      <c r="X4479" t="s">
        <v>67</v>
      </c>
      <c r="Y4479" t="s">
        <v>67</v>
      </c>
      <c r="Z4479" t="s">
        <v>68</v>
      </c>
      <c r="AB4479">
        <v>4</v>
      </c>
      <c r="AC4479" t="s">
        <v>61</v>
      </c>
      <c r="AJ4479" t="s">
        <v>69</v>
      </c>
      <c r="AY4479" t="s">
        <v>116</v>
      </c>
      <c r="AZ4479">
        <v>344</v>
      </c>
      <c r="BA4479" t="s">
        <v>117</v>
      </c>
      <c r="BB4479" t="s">
        <v>118</v>
      </c>
      <c r="BC4479">
        <v>1992</v>
      </c>
      <c r="BD4479" t="s">
        <v>90</v>
      </c>
    </row>
    <row r="4480" spans="1:56" x14ac:dyDescent="0.35">
      <c r="A4480">
        <v>874967676</v>
      </c>
      <c r="B4480" t="s">
        <v>3042</v>
      </c>
      <c r="E4480">
        <v>98.2</v>
      </c>
      <c r="F4480" t="s">
        <v>58</v>
      </c>
      <c r="G4480" t="s">
        <v>59</v>
      </c>
      <c r="H4480" t="s">
        <v>60</v>
      </c>
      <c r="J4480" t="s">
        <v>86</v>
      </c>
      <c r="L4480" t="s">
        <v>62</v>
      </c>
      <c r="M4480" t="s">
        <v>63</v>
      </c>
      <c r="N4480" t="s">
        <v>64</v>
      </c>
      <c r="P4480" t="s">
        <v>65</v>
      </c>
      <c r="R4480">
        <v>0.91</v>
      </c>
      <c r="T4480">
        <v>0.47</v>
      </c>
      <c r="V4480">
        <v>2.4</v>
      </c>
      <c r="W4480" t="s">
        <v>66</v>
      </c>
      <c r="X4480" t="s">
        <v>67</v>
      </c>
      <c r="Y4480" t="s">
        <v>67</v>
      </c>
      <c r="Z4480" t="s">
        <v>68</v>
      </c>
      <c r="AB4480">
        <v>4</v>
      </c>
      <c r="AC4480" t="s">
        <v>61</v>
      </c>
      <c r="AJ4480" t="s">
        <v>69</v>
      </c>
      <c r="AY4480" t="s">
        <v>116</v>
      </c>
      <c r="AZ4480">
        <v>344</v>
      </c>
      <c r="BA4480" t="s">
        <v>117</v>
      </c>
      <c r="BB4480" t="s">
        <v>118</v>
      </c>
      <c r="BC4480">
        <v>1992</v>
      </c>
      <c r="BD4480" t="s">
        <v>90</v>
      </c>
    </row>
    <row r="4481" spans="1:56" x14ac:dyDescent="0.35">
      <c r="A4481">
        <v>926030253</v>
      </c>
      <c r="B4481" t="s">
        <v>3043</v>
      </c>
      <c r="D4481" t="s">
        <v>57</v>
      </c>
      <c r="E4481" t="s">
        <v>86</v>
      </c>
      <c r="F4481" t="s">
        <v>58</v>
      </c>
      <c r="G4481" t="s">
        <v>59</v>
      </c>
      <c r="H4481" t="s">
        <v>60</v>
      </c>
      <c r="J4481" t="s">
        <v>86</v>
      </c>
      <c r="L4481" t="s">
        <v>74</v>
      </c>
      <c r="M4481" t="s">
        <v>63</v>
      </c>
      <c r="N4481" t="s">
        <v>64</v>
      </c>
      <c r="P4481" t="s">
        <v>201</v>
      </c>
      <c r="T4481">
        <v>8.5000000000000006E-2</v>
      </c>
      <c r="V4481">
        <v>0.154</v>
      </c>
      <c r="W4481" t="s">
        <v>66</v>
      </c>
      <c r="X4481" t="s">
        <v>67</v>
      </c>
      <c r="Y4481" t="s">
        <v>67</v>
      </c>
      <c r="Z4481" t="s">
        <v>68</v>
      </c>
      <c r="AB4481">
        <v>4</v>
      </c>
      <c r="AC4481" t="s">
        <v>61</v>
      </c>
      <c r="AJ4481" t="s">
        <v>69</v>
      </c>
      <c r="AY4481" t="s">
        <v>3044</v>
      </c>
      <c r="AZ4481">
        <v>976</v>
      </c>
      <c r="BA4481" t="s">
        <v>3045</v>
      </c>
      <c r="BB4481" t="s">
        <v>3046</v>
      </c>
      <c r="BC4481">
        <v>1971</v>
      </c>
      <c r="BD4481" t="s">
        <v>90</v>
      </c>
    </row>
    <row r="4482" spans="1:56" x14ac:dyDescent="0.35">
      <c r="A4482">
        <v>950782862</v>
      </c>
      <c r="B4482" t="s">
        <v>3047</v>
      </c>
      <c r="E4482" t="s">
        <v>86</v>
      </c>
      <c r="F4482" t="s">
        <v>58</v>
      </c>
      <c r="G4482" t="s">
        <v>59</v>
      </c>
      <c r="H4482" t="s">
        <v>60</v>
      </c>
      <c r="J4482" t="s">
        <v>86</v>
      </c>
      <c r="L4482" t="s">
        <v>62</v>
      </c>
      <c r="M4482" t="s">
        <v>63</v>
      </c>
      <c r="N4482" t="s">
        <v>64</v>
      </c>
      <c r="P4482" t="s">
        <v>100</v>
      </c>
      <c r="R4482">
        <v>0.77</v>
      </c>
      <c r="T4482">
        <v>0.55000000000000004</v>
      </c>
      <c r="V4482">
        <v>1.07</v>
      </c>
      <c r="W4482" t="s">
        <v>66</v>
      </c>
      <c r="X4482" t="s">
        <v>67</v>
      </c>
      <c r="Y4482" t="s">
        <v>67</v>
      </c>
      <c r="Z4482" t="s">
        <v>68</v>
      </c>
      <c r="AB4482">
        <v>4</v>
      </c>
      <c r="AC4482" t="s">
        <v>61</v>
      </c>
      <c r="AJ4482" t="s">
        <v>69</v>
      </c>
      <c r="AY4482" t="s">
        <v>116</v>
      </c>
      <c r="AZ4482">
        <v>344</v>
      </c>
      <c r="BA4482" t="s">
        <v>117</v>
      </c>
      <c r="BB4482" t="s">
        <v>118</v>
      </c>
      <c r="BC4482">
        <v>1992</v>
      </c>
      <c r="BD4482" t="s">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2"/>
  <sheetViews>
    <sheetView workbookViewId="0">
      <pane xSplit="1" ySplit="1" topLeftCell="B2" activePane="bottomRight" state="frozen"/>
      <selection pane="topRight"/>
      <selection pane="bottomLeft"/>
      <selection pane="bottomRight"/>
    </sheetView>
  </sheetViews>
  <sheetFormatPr defaultRowHeight="14.5" x14ac:dyDescent="0.35"/>
  <sheetData>
    <row r="1" spans="1:8" x14ac:dyDescent="0.35">
      <c r="A1" t="s">
        <v>3048</v>
      </c>
      <c r="B1" t="s">
        <v>50</v>
      </c>
      <c r="C1" t="s">
        <v>52</v>
      </c>
      <c r="D1" t="s">
        <v>53</v>
      </c>
      <c r="E1" t="s">
        <v>3049</v>
      </c>
      <c r="F1" t="s">
        <v>3050</v>
      </c>
      <c r="G1" t="s">
        <v>3051</v>
      </c>
      <c r="H1" t="s">
        <v>3052</v>
      </c>
    </row>
    <row r="2" spans="1:8" x14ac:dyDescent="0.35">
      <c r="A2">
        <v>179781</v>
      </c>
      <c r="B2" t="s">
        <v>1393</v>
      </c>
      <c r="C2" t="s">
        <v>1394</v>
      </c>
      <c r="D2" t="s">
        <v>1395</v>
      </c>
      <c r="E2">
        <v>2000</v>
      </c>
      <c r="G2" t="s">
        <v>3053</v>
      </c>
      <c r="H2" s="1" t="str">
        <f>HYPERLINK("https://scholar.google.com/scholar?hl=en&amp;as_q=&amp;as_oq=&amp;as_eq=&amp;as_sauthors=&amp;as_publication=&amp;as_ylo=&amp;as_yhi=&amp;as_occt=title&amp;as_sdt=0%2C5&amp;as_epq=%22Letter+from+3M+Co+to+USEPA+Re+Additional+Information+on+Perfluorooctane+Sulfonates+%26+Related+Compounds+with+St", "Google Scholar")</f>
        <v>Google Scholar</v>
      </c>
    </row>
    <row r="3" spans="1:8" x14ac:dyDescent="0.35">
      <c r="A3">
        <v>181682</v>
      </c>
      <c r="B3" t="s">
        <v>1393</v>
      </c>
      <c r="C3" t="s">
        <v>2774</v>
      </c>
      <c r="D3" t="s">
        <v>2775</v>
      </c>
      <c r="E3">
        <v>2000</v>
      </c>
      <c r="G3" t="s">
        <v>3054</v>
      </c>
      <c r="H3" s="2" t="str">
        <f>HYPERLINK("https://scholar.google.com/scholar?hl=en&amp;as_q=&amp;as_oq=&amp;as_eq=&amp;as_sauthors=&amp;as_publication=&amp;as_ylo=&amp;as_yhi=&amp;as_occt=title&amp;as_sdt=0%2C5&amp;as_epq=%22Information+on+Perfluorooctane+Sulfonates%3A+Post-1975+Studies+Pertaining+to+Environmental+Effects%2C+Fate+%26+T", "Google Scholar")</f>
        <v>Google Scholar</v>
      </c>
    </row>
    <row r="4" spans="1:8" x14ac:dyDescent="0.35">
      <c r="A4">
        <v>185686</v>
      </c>
      <c r="B4" t="s">
        <v>1393</v>
      </c>
      <c r="C4" t="s">
        <v>1434</v>
      </c>
      <c r="D4" t="s">
        <v>1432</v>
      </c>
      <c r="E4">
        <v>2000</v>
      </c>
      <c r="G4" t="s">
        <v>3055</v>
      </c>
      <c r="H4" s="3" t="str">
        <f t="shared" ref="H4:H9" si="0">HYPERLINK("https://scholar.google.com/scholar?hl=en&amp;as_q=&amp;as_oq=&amp;as_eq=&amp;as_sauthors=&amp;as_publication=&amp;as_ylo=&amp;as_yhi=&amp;as_occt=title&amp;as_sdt=0%2C5&amp;as_epq=%22Information+on+Perfluorooctanoic+Acid+and+Supplemental+Information+on+Perfluorooctane+Sulfonates+and+Related+Com", "Google Scholar")</f>
        <v>Google Scholar</v>
      </c>
    </row>
    <row r="5" spans="1:8" x14ac:dyDescent="0.35">
      <c r="A5">
        <v>185687</v>
      </c>
      <c r="B5" t="s">
        <v>1393</v>
      </c>
      <c r="C5" t="s">
        <v>1891</v>
      </c>
      <c r="D5" t="s">
        <v>1432</v>
      </c>
      <c r="E5">
        <v>2000</v>
      </c>
      <c r="G5" t="s">
        <v>3056</v>
      </c>
      <c r="H5" s="4" t="str">
        <f t="shared" si="0"/>
        <v>Google Scholar</v>
      </c>
    </row>
    <row r="6" spans="1:8" x14ac:dyDescent="0.35">
      <c r="A6">
        <v>185688</v>
      </c>
      <c r="B6" t="s">
        <v>1393</v>
      </c>
      <c r="C6" t="s">
        <v>1886</v>
      </c>
      <c r="D6" t="s">
        <v>1432</v>
      </c>
      <c r="E6">
        <v>2000</v>
      </c>
      <c r="G6" t="s">
        <v>3057</v>
      </c>
      <c r="H6" s="5" t="str">
        <f t="shared" si="0"/>
        <v>Google Scholar</v>
      </c>
    </row>
    <row r="7" spans="1:8" x14ac:dyDescent="0.35">
      <c r="A7">
        <v>185689</v>
      </c>
      <c r="B7" t="s">
        <v>1393</v>
      </c>
      <c r="C7" t="s">
        <v>1890</v>
      </c>
      <c r="D7" t="s">
        <v>1432</v>
      </c>
      <c r="E7">
        <v>2000</v>
      </c>
      <c r="G7" t="s">
        <v>3058</v>
      </c>
      <c r="H7" s="6" t="str">
        <f t="shared" si="0"/>
        <v>Google Scholar</v>
      </c>
    </row>
    <row r="8" spans="1:8" x14ac:dyDescent="0.35">
      <c r="A8">
        <v>185692</v>
      </c>
      <c r="B8" t="s">
        <v>1393</v>
      </c>
      <c r="C8" t="s">
        <v>1431</v>
      </c>
      <c r="D8" t="s">
        <v>1432</v>
      </c>
      <c r="E8">
        <v>2000</v>
      </c>
      <c r="G8" t="s">
        <v>3059</v>
      </c>
      <c r="H8" s="7" t="str">
        <f t="shared" si="0"/>
        <v>Google Scholar</v>
      </c>
    </row>
    <row r="9" spans="1:8" x14ac:dyDescent="0.35">
      <c r="A9">
        <v>185693</v>
      </c>
      <c r="B9" t="s">
        <v>1393</v>
      </c>
      <c r="C9" t="s">
        <v>1889</v>
      </c>
      <c r="D9" t="s">
        <v>1432</v>
      </c>
      <c r="E9">
        <v>2000</v>
      </c>
      <c r="G9" t="s">
        <v>3060</v>
      </c>
      <c r="H9" s="8" t="str">
        <f t="shared" si="0"/>
        <v>Google Scholar</v>
      </c>
    </row>
    <row r="10" spans="1:8" x14ac:dyDescent="0.35">
      <c r="A10">
        <v>115034</v>
      </c>
      <c r="B10" t="s">
        <v>342</v>
      </c>
      <c r="C10" t="s">
        <v>343</v>
      </c>
      <c r="D10" t="s">
        <v>344</v>
      </c>
      <c r="E10">
        <v>1987</v>
      </c>
      <c r="G10" t="s">
        <v>3061</v>
      </c>
      <c r="H10" s="9" t="str">
        <f>HYPERLINK("https://scholar.google.com/scholar?hl=en&amp;as_q=&amp;as_oq=&amp;as_eq=&amp;as_sauthors=&amp;as_publication=&amp;as_ylo=&amp;as_yhi=&amp;as_occt=title&amp;as_sdt=0%2C5&amp;as_epq=%22Four-Day+Static+Aquatic+Toxicity+Studies+with+Acetone%2C+Ethanol%2C+Isopropanol+and+Methanol+in+Fathead+Minnows+", "Google Scholar")</f>
        <v>Google Scholar</v>
      </c>
    </row>
    <row r="11" spans="1:8" x14ac:dyDescent="0.35">
      <c r="A11">
        <v>19753</v>
      </c>
      <c r="B11" t="s">
        <v>2488</v>
      </c>
      <c r="C11" t="s">
        <v>2489</v>
      </c>
      <c r="D11" t="s">
        <v>2490</v>
      </c>
      <c r="E11">
        <v>1976</v>
      </c>
      <c r="G11" t="s">
        <v>3062</v>
      </c>
      <c r="H11" s="10" t="str">
        <f>HYPERLINK("https://scholar.google.com/scholar?hl=en&amp;as_q=&amp;as_oq=&amp;as_eq=&amp;as_sauthors=&amp;as_publication=&amp;as_ylo=&amp;as_yhi=&amp;as_occt=title&amp;as_sdt=0%2C5&amp;as_epq=%22The+Toxicity+and+Residue+Dynamics+of+Selenium+in+Fish+and+Aquatic+Invertebrates", "Google Scholar")</f>
        <v>Google Scholar</v>
      </c>
    </row>
    <row r="12" spans="1:8" x14ac:dyDescent="0.35">
      <c r="A12">
        <v>15040</v>
      </c>
      <c r="B12" t="s">
        <v>630</v>
      </c>
      <c r="C12" t="s">
        <v>631</v>
      </c>
      <c r="D12" t="s">
        <v>632</v>
      </c>
      <c r="E12">
        <v>1995</v>
      </c>
      <c r="G12" t="s">
        <v>3063</v>
      </c>
      <c r="H12" s="11" t="str">
        <f>HYPERLINK("https://scholar.google.com/scholar?hl=en&amp;as_q=&amp;as_oq=&amp;as_eq=&amp;as_sauthors=&amp;as_publication=&amp;as_ylo=&amp;as_yhi=&amp;as_occt=title&amp;as_sdt=0%2C5&amp;as_epq=%22A+Summary+of+the+Acute+Toxicity+of+14+Phthalate+Esters+to+Representative+Aquatic+Organisms", "Google Scholar")</f>
        <v>Google Scholar</v>
      </c>
    </row>
    <row r="13" spans="1:8" x14ac:dyDescent="0.35">
      <c r="A13">
        <v>5230</v>
      </c>
      <c r="B13" t="s">
        <v>670</v>
      </c>
      <c r="C13" t="s">
        <v>671</v>
      </c>
      <c r="D13" t="s">
        <v>672</v>
      </c>
      <c r="E13">
        <v>1976</v>
      </c>
      <c r="G13" t="s">
        <v>3064</v>
      </c>
      <c r="H13" s="12" t="str">
        <f>HYPERLINK("https://scholar.google.com/scholar?hl=en&amp;as_q=&amp;as_oq=&amp;as_eq=&amp;as_sauthors=&amp;as_publication=&amp;as_ylo=&amp;as_yhi=&amp;as_occt=title&amp;as_sdt=0%2C5&amp;as_epq=%22Acute+Toxicity+of+Sodium+Chloride%2C+Pentachlorophenol%2C+Guthion%2C+and+Hexavalent+Chromium+to+Fathead+Minnows+", "Google Scholar")</f>
        <v>Google Scholar</v>
      </c>
    </row>
    <row r="14" spans="1:8" x14ac:dyDescent="0.35">
      <c r="A14">
        <v>5600</v>
      </c>
      <c r="B14" t="s">
        <v>670</v>
      </c>
      <c r="C14" t="s">
        <v>1253</v>
      </c>
      <c r="D14" t="s">
        <v>1254</v>
      </c>
      <c r="E14">
        <v>1976</v>
      </c>
      <c r="G14" t="s">
        <v>3065</v>
      </c>
      <c r="H14" s="13" t="str">
        <f>HYPERLINK("https://scholar.google.com/scholar?hl=en&amp;as_q=&amp;as_oq=&amp;as_eq=&amp;as_sauthors=&amp;as_publication=&amp;as_ylo=&amp;as_yhi=&amp;as_occt=title&amp;as_sdt=0%2C5&amp;as_epq=%22Effect+of+Size+or+Age+of+Goldfish+and+Fathead+Minnows+on+Use+of+Pentachlorophenol+as+a+Reference+Toxicant", "Google Scholar")</f>
        <v>Google Scholar</v>
      </c>
    </row>
    <row r="15" spans="1:8" x14ac:dyDescent="0.35">
      <c r="A15">
        <v>2145</v>
      </c>
      <c r="B15" t="s">
        <v>661</v>
      </c>
      <c r="C15" t="s">
        <v>662</v>
      </c>
      <c r="D15" t="s">
        <v>663</v>
      </c>
      <c r="E15">
        <v>1976</v>
      </c>
      <c r="G15" t="s">
        <v>3066</v>
      </c>
      <c r="H15" s="14" t="str">
        <f>HYPERLINK("https://scholar.google.com/scholar?hl=en&amp;as_q=&amp;as_oq=&amp;as_eq=&amp;as_sauthors=&amp;as_publication=&amp;as_ylo=&amp;as_yhi=&amp;as_occt=title&amp;as_sdt=0%2C5&amp;as_epq=%22Standard+Test+Fish+Development.++Part+I.++Fathead+Minnows+%28Pimephales+promelas%29+and+Goldfish+%28Carassius+au", "Google Scholar")</f>
        <v>Google Scholar</v>
      </c>
    </row>
    <row r="16" spans="1:8" x14ac:dyDescent="0.35">
      <c r="A16">
        <v>5300</v>
      </c>
      <c r="B16" t="s">
        <v>661</v>
      </c>
      <c r="C16" t="s">
        <v>673</v>
      </c>
      <c r="D16" t="s">
        <v>674</v>
      </c>
      <c r="E16">
        <v>1976</v>
      </c>
      <c r="G16" t="s">
        <v>3067</v>
      </c>
      <c r="H16" s="15" t="str">
        <f>HYPERLINK("https://scholar.google.com/scholar?hl=en&amp;as_q=&amp;as_oq=&amp;as_eq=&amp;as_sauthors=&amp;as_publication=&amp;as_ylo=&amp;as_yhi=&amp;as_occt=title&amp;as_sdt=0%2C5&amp;as_epq=%22Standard+Test+Fish+Development+Part+II.+Chronic+Toxicity+of+Guthion+to+the+Fathead+Minnow+%28Pimephales+promelas", "Google Scholar")</f>
        <v>Google Scholar</v>
      </c>
    </row>
    <row r="17" spans="1:8" x14ac:dyDescent="0.35">
      <c r="A17">
        <v>494</v>
      </c>
      <c r="B17" t="s">
        <v>599</v>
      </c>
      <c r="C17" t="s">
        <v>600</v>
      </c>
      <c r="D17" t="s">
        <v>601</v>
      </c>
      <c r="E17">
        <v>1988</v>
      </c>
      <c r="G17" t="s">
        <v>3068</v>
      </c>
      <c r="H17" s="16" t="str">
        <f>HYPERLINK("https://scholar.google.com/scholar?hl=en&amp;as_q=&amp;as_oq=&amp;as_eq=&amp;as_sauthors=&amp;as_publication=&amp;as_ylo=&amp;as_yhi=&amp;as_occt=title&amp;as_sdt=0%2C5&amp;as_epq=%22Bisphenol+A%3A++Acute+Aquatic+Toxicity", "Google Scholar")</f>
        <v>Google Scholar</v>
      </c>
    </row>
    <row r="18" spans="1:8" x14ac:dyDescent="0.35">
      <c r="A18">
        <v>11504</v>
      </c>
      <c r="B18" t="s">
        <v>790</v>
      </c>
      <c r="C18" t="s">
        <v>791</v>
      </c>
      <c r="D18" t="s">
        <v>792</v>
      </c>
      <c r="E18">
        <v>1985</v>
      </c>
      <c r="F18" t="s">
        <v>3069</v>
      </c>
      <c r="G18" t="s">
        <v>3070</v>
      </c>
      <c r="H18" s="17" t="str">
        <f>HYPERLINK("https://scholar.google.com/scholar?hl=en&amp;as_q=&amp;as_oq=&amp;as_eq=&amp;as_sauthors=&amp;as_publication=&amp;as_ylo=&amp;as_yhi=&amp;as_occt=title&amp;as_sdt=0%2C5&amp;as_epq=%22Acute+Toxicity+of+Four+Phenoxy+Herbicides+to+Aquatic+Organisms", "Google Scholar")</f>
        <v>Google Scholar</v>
      </c>
    </row>
    <row r="19" spans="1:8" x14ac:dyDescent="0.35">
      <c r="A19">
        <v>5542</v>
      </c>
      <c r="B19" t="s">
        <v>2150</v>
      </c>
      <c r="C19" t="s">
        <v>2151</v>
      </c>
      <c r="D19" t="s">
        <v>2152</v>
      </c>
      <c r="E19">
        <v>1981</v>
      </c>
      <c r="G19" t="s">
        <v>3071</v>
      </c>
      <c r="H19" s="18" t="str">
        <f>HYPERLINK("https://scholar.google.com/scholar?hl=en&amp;as_q=&amp;as_oq=&amp;as_eq=&amp;as_sauthors=&amp;as_publication=&amp;as_ylo=&amp;as_yhi=&amp;as_occt=title&amp;as_sdt=0%2C5&amp;as_epq=%22Static+Acute+Toxicity+of+Sodium+Bromide+to+Fathead+Minnows", "Google Scholar")</f>
        <v>Google Scholar</v>
      </c>
    </row>
    <row r="20" spans="1:8" x14ac:dyDescent="0.35">
      <c r="A20">
        <v>973</v>
      </c>
      <c r="B20" t="s">
        <v>430</v>
      </c>
      <c r="C20" t="s">
        <v>431</v>
      </c>
      <c r="D20" t="s">
        <v>432</v>
      </c>
      <c r="E20">
        <v>1978</v>
      </c>
      <c r="F20" t="s">
        <v>3069</v>
      </c>
      <c r="G20" t="s">
        <v>3072</v>
      </c>
      <c r="H20" s="19" t="str">
        <f>HYPERLINK("https://scholar.google.com/scholar?hl=en&amp;as_q=&amp;as_oq=&amp;as_eq=&amp;as_sauthors=&amp;as_publication=&amp;as_ylo=&amp;as_yhi=&amp;as_occt=title&amp;as_sdt=0%2C5&amp;as_epq=%22Toxicity+of+Perchloroethylene%2C+Trichloroethylene%2C+1%2C1%2C1-Trichloroethane%2C+and+Methylene+Chloride+to+Fat", "Google Scholar")</f>
        <v>Google Scholar</v>
      </c>
    </row>
    <row r="21" spans="1:8" x14ac:dyDescent="0.35">
      <c r="A21">
        <v>664</v>
      </c>
      <c r="B21" t="s">
        <v>1418</v>
      </c>
      <c r="C21" t="s">
        <v>1419</v>
      </c>
      <c r="D21" t="s">
        <v>1420</v>
      </c>
      <c r="E21">
        <v>1977</v>
      </c>
      <c r="G21" t="s">
        <v>3073</v>
      </c>
      <c r="H21" s="20" t="str">
        <f>HYPERLINK("https://scholar.google.com/scholar?hl=en&amp;as_q=&amp;as_oq=&amp;as_eq=&amp;as_sauthors=&amp;as_publication=&amp;as_ylo=&amp;as_yhi=&amp;as_occt=title&amp;as_sdt=0%2C5&amp;as_epq=%22Toxicity+of+Diazinon+to+Brook+Trout+and+Fathead+Minnows", "Google Scholar")</f>
        <v>Google Scholar</v>
      </c>
    </row>
    <row r="22" spans="1:8" x14ac:dyDescent="0.35">
      <c r="A22">
        <v>3609</v>
      </c>
      <c r="B22" t="s">
        <v>2022</v>
      </c>
      <c r="C22" t="s">
        <v>2023</v>
      </c>
      <c r="D22" t="s">
        <v>2024</v>
      </c>
      <c r="E22">
        <v>1976</v>
      </c>
      <c r="G22" t="s">
        <v>3074</v>
      </c>
      <c r="H22" s="21" t="str">
        <f>HYPERLINK("https://scholar.google.com/scholar?hl=en&amp;as_q=&amp;as_oq=&amp;as_eq=&amp;as_sauthors=&amp;as_publication=&amp;as_ylo=&amp;as_yhi=&amp;as_occt=title&amp;as_sdt=0%2C5&amp;as_epq=%22Toxicity+Relationships+to+Copper+Forms+in+Natural+Waters", "Google Scholar")</f>
        <v>Google Scholar</v>
      </c>
    </row>
    <row r="23" spans="1:8" x14ac:dyDescent="0.35">
      <c r="A23">
        <v>506</v>
      </c>
      <c r="B23" t="s">
        <v>2467</v>
      </c>
      <c r="C23" t="s">
        <v>2468</v>
      </c>
      <c r="D23" t="s">
        <v>2469</v>
      </c>
      <c r="E23">
        <v>1974</v>
      </c>
      <c r="G23" t="s">
        <v>3075</v>
      </c>
      <c r="H23" s="22" t="str">
        <f>HYPERLINK("https://scholar.google.com/scholar?hl=en&amp;as_q=&amp;as_oq=&amp;as_eq=&amp;as_sauthors=&amp;as_publication=&amp;as_ylo=&amp;as_yhi=&amp;as_occt=title&amp;as_sdt=0%2C5&amp;as_epq=%22Toxicity+of+Sodium+Nitrilotriacetate+%28NTA%29+to+the+Fathead+Minnow+and+an+Amphipod+in+Soft+Water", "Google Scholar")</f>
        <v>Google Scholar</v>
      </c>
    </row>
    <row r="24" spans="1:8" x14ac:dyDescent="0.35">
      <c r="A24">
        <v>12116</v>
      </c>
      <c r="B24" t="s">
        <v>2538</v>
      </c>
      <c r="C24" t="s">
        <v>2539</v>
      </c>
      <c r="D24" t="s">
        <v>2540</v>
      </c>
      <c r="E24">
        <v>1987</v>
      </c>
      <c r="G24" t="s">
        <v>3076</v>
      </c>
      <c r="H24" s="23" t="str">
        <f>HYPERLINK("https://scholar.google.com/scholar?hl=en&amp;as_q=&amp;as_oq=&amp;as_eq=&amp;as_sauthors=&amp;as_publication=&amp;as_ylo=&amp;as_yhi=&amp;as_occt=title&amp;as_sdt=0%2C5&amp;as_epq=%22Seasonal+Toxicity+of+Ammonia+to+Five+Fish+and+Nine+Invertebrate+Species", "Google Scholar")</f>
        <v>Google Scholar</v>
      </c>
    </row>
    <row r="25" spans="1:8" x14ac:dyDescent="0.35">
      <c r="A25">
        <v>976</v>
      </c>
      <c r="B25" t="s">
        <v>3044</v>
      </c>
      <c r="C25" t="s">
        <v>3045</v>
      </c>
      <c r="D25" t="s">
        <v>3046</v>
      </c>
      <c r="E25">
        <v>1971</v>
      </c>
      <c r="G25" t="s">
        <v>3077</v>
      </c>
      <c r="H25" s="24" t="str">
        <f>HYPERLINK("https://scholar.google.com/scholar?hl=en&amp;as_q=&amp;as_oq=&amp;as_eq=&amp;as_sauthors=&amp;as_publication=&amp;as_ylo=&amp;as_yhi=&amp;as_occt=title&amp;as_sdt=0%2C5&amp;as_epq=%22Chloramine+Toxicity+to+the+Amphipod+Gammarus+pseudolimnaeus+and+the+Fathead+Minnow+%28Pimephales+promelas%29", "Google Scholar")</f>
        <v>Google Scholar</v>
      </c>
    </row>
    <row r="26" spans="1:8" x14ac:dyDescent="0.35">
      <c r="A26">
        <v>68287</v>
      </c>
      <c r="B26" t="s">
        <v>2849</v>
      </c>
      <c r="C26" t="s">
        <v>2850</v>
      </c>
      <c r="D26" t="s">
        <v>2851</v>
      </c>
      <c r="E26">
        <v>2002</v>
      </c>
      <c r="G26" t="s">
        <v>3078</v>
      </c>
      <c r="H26" s="25" t="str">
        <f>HYPERLINK("https://scholar.google.com/scholar?hl=en&amp;as_q=&amp;as_oq=&amp;as_eq=&amp;as_sauthors=&amp;as_publication=&amp;as_ylo=&amp;as_yhi=&amp;as_occt=title&amp;as_sdt=0%2C5&amp;as_epq=%22Influence+of+Temperature+and+Dissolved+Oxygen+on+the+Acute+Toxicity+of+Profenofos+to+Fathead+Minnows+%28Pimephal", "Google Scholar")</f>
        <v>Google Scholar</v>
      </c>
    </row>
    <row r="27" spans="1:8" x14ac:dyDescent="0.35">
      <c r="A27">
        <v>6502</v>
      </c>
      <c r="B27" t="s">
        <v>1157</v>
      </c>
      <c r="C27" t="s">
        <v>1158</v>
      </c>
      <c r="D27" t="s">
        <v>1159</v>
      </c>
      <c r="E27">
        <v>1980</v>
      </c>
      <c r="G27" t="s">
        <v>3079</v>
      </c>
      <c r="H27" s="26" t="str">
        <f>HYPERLINK("https://scholar.google.com/scholar?hl=en&amp;as_q=&amp;as_oq=&amp;as_eq=&amp;as_sauthors=&amp;as_publication=&amp;as_ylo=&amp;as_yhi=&amp;as_occt=title&amp;as_sdt=0%2C5&amp;as_epq=%22Lumbriculus+variegatus%2C+a+Benthic+Oligochaete%2C+as+a+Bioassay+Organism", "Google Scholar")</f>
        <v>Google Scholar</v>
      </c>
    </row>
    <row r="28" spans="1:8" x14ac:dyDescent="0.35">
      <c r="A28">
        <v>10141</v>
      </c>
      <c r="B28" t="s">
        <v>718</v>
      </c>
      <c r="C28" t="s">
        <v>719</v>
      </c>
      <c r="D28" t="s">
        <v>720</v>
      </c>
      <c r="E28">
        <v>1983</v>
      </c>
      <c r="G28" t="s">
        <v>3080</v>
      </c>
      <c r="H28" s="27" t="str">
        <f>HYPERLINK("https://scholar.google.com/scholar?hl=en&amp;as_q=&amp;as_oq=&amp;as_eq=&amp;as_sauthors=&amp;as_publication=&amp;as_ylo=&amp;as_yhi=&amp;as_occt=title&amp;as_sdt=0%2C5&amp;as_epq=%22The+Relationship+Between+the+Toxicity+and+Structure+of+Nitroaromatic+Chemicals", "Google Scholar")</f>
        <v>Google Scholar</v>
      </c>
    </row>
    <row r="29" spans="1:8" x14ac:dyDescent="0.35">
      <c r="A29">
        <v>8960</v>
      </c>
      <c r="B29" t="s">
        <v>255</v>
      </c>
      <c r="C29" t="s">
        <v>256</v>
      </c>
      <c r="D29" t="s">
        <v>257</v>
      </c>
      <c r="E29">
        <v>1972</v>
      </c>
      <c r="G29" t="s">
        <v>3081</v>
      </c>
      <c r="H29" s="28" t="str">
        <f>HYPERLINK("https://scholar.google.com/scholar?hl=en&amp;as_q=&amp;as_oq=&amp;as_eq=&amp;as_sauthors=&amp;as_publication=&amp;as_ylo=&amp;as_yhi=&amp;as_occt=title&amp;as_sdt=0%2C5&amp;as_epq=%22The+Effect+of+Chlorination+on+Selected+Organic+Chemicals", "Google Scholar")</f>
        <v>Google Scholar</v>
      </c>
    </row>
    <row r="30" spans="1:8" x14ac:dyDescent="0.35">
      <c r="A30">
        <v>164628</v>
      </c>
      <c r="B30" t="s">
        <v>223</v>
      </c>
      <c r="C30" t="s">
        <v>224</v>
      </c>
      <c r="D30" t="s">
        <v>225</v>
      </c>
      <c r="E30">
        <v>1990</v>
      </c>
      <c r="G30" t="s">
        <v>3082</v>
      </c>
      <c r="H30" s="29" t="str">
        <f>HYPERLINK("https://scholar.google.com/scholar?hl=en&amp;as_q=&amp;as_oq=&amp;as_eq=&amp;as_sauthors=&amp;as_publication=&amp;as_ylo=&amp;as_yhi=&amp;as_occt=title&amp;as_sdt=0%2C5&amp;as_epq=%22Toxicity+of+Data+Gap+Compounds+to+Fathead+Minnows+%28Pimephales+promelas%29+and+Daphnids+%28Daphnia+magna%29", "Google Scholar")</f>
        <v>Google Scholar</v>
      </c>
    </row>
    <row r="31" spans="1:8" x14ac:dyDescent="0.35">
      <c r="A31">
        <v>56312</v>
      </c>
      <c r="B31" t="s">
        <v>521</v>
      </c>
      <c r="C31" t="s">
        <v>522</v>
      </c>
      <c r="D31" t="s">
        <v>523</v>
      </c>
      <c r="E31">
        <v>1992</v>
      </c>
      <c r="F31" t="s">
        <v>3069</v>
      </c>
      <c r="G31" t="s">
        <v>3083</v>
      </c>
      <c r="H31" s="30" t="str">
        <f>HYPERLINK("https://scholar.google.com/scholar?hl=en&amp;as_q=&amp;as_oq=&amp;as_eq=&amp;as_sauthors=&amp;as_publication=&amp;as_ylo=&amp;as_yhi=&amp;as_occt=title&amp;as_sdt=0%2C5&amp;as_epq=%22Ableitung+von+Qualitatszielen+zum+Schutz+Oberirdischer+Binnengewasser+fur+Organozinnverbindungen%3A++Dibutylzinn", "Google Scholar")</f>
        <v>Google Scholar</v>
      </c>
    </row>
    <row r="32" spans="1:8" x14ac:dyDescent="0.35">
      <c r="A32">
        <v>901</v>
      </c>
      <c r="B32" t="s">
        <v>412</v>
      </c>
      <c r="C32" t="s">
        <v>413</v>
      </c>
      <c r="D32" t="s">
        <v>414</v>
      </c>
      <c r="E32">
        <v>1969</v>
      </c>
      <c r="G32" t="s">
        <v>3084</v>
      </c>
      <c r="H32" s="31" t="str">
        <f>HYPERLINK("https://scholar.google.com/scholar?hl=en&amp;as_q=&amp;as_oq=&amp;as_eq=&amp;as_sauthors=&amp;as_publication=&amp;as_ylo=&amp;as_yhi=&amp;as_occt=title&amp;as_sdt=0%2C5&amp;as_epq=%22The+Toxicity+of+the+Hydrolysis+and+Breakdown+Products+of+Malathion+to+the+Fathead+Minnow+%28Pimephales+promelas%", "Google Scholar")</f>
        <v>Google Scholar</v>
      </c>
    </row>
    <row r="33" spans="1:8" x14ac:dyDescent="0.35">
      <c r="A33">
        <v>14988</v>
      </c>
      <c r="B33" t="s">
        <v>2265</v>
      </c>
      <c r="C33" t="s">
        <v>2266</v>
      </c>
      <c r="D33" t="s">
        <v>2267</v>
      </c>
      <c r="E33">
        <v>1995</v>
      </c>
      <c r="G33" t="s">
        <v>3085</v>
      </c>
      <c r="H33" s="32" t="str">
        <f>HYPERLINK("https://scholar.google.com/scholar?hl=en&amp;as_q=&amp;as_oq=&amp;as_eq=&amp;as_sauthors=&amp;as_publication=&amp;as_ylo=&amp;as_yhi=&amp;as_occt=title&amp;as_sdt=0%2C5&amp;as_epq=%22Oxygen+Tolerance+of+Fathead+Minnows+Previously+Exposed+to+Copper", "Google Scholar")</f>
        <v>Google Scholar</v>
      </c>
    </row>
    <row r="34" spans="1:8" x14ac:dyDescent="0.35">
      <c r="A34">
        <v>2116</v>
      </c>
      <c r="B34" t="s">
        <v>2200</v>
      </c>
      <c r="C34" t="s">
        <v>2201</v>
      </c>
      <c r="D34" t="s">
        <v>2202</v>
      </c>
      <c r="E34">
        <v>1978</v>
      </c>
      <c r="G34" t="s">
        <v>3086</v>
      </c>
      <c r="H34" s="33" t="str">
        <f>HYPERLINK("https://scholar.google.com/scholar?hl=en&amp;as_q=&amp;as_oq=&amp;as_eq=&amp;as_sauthors=&amp;as_publication=&amp;as_ylo=&amp;as_yhi=&amp;as_occt=title&amp;as_sdt=0%2C5&amp;as_epq=%22Toxic+Effects+of+Zinc+on+Fathead+Minnows+%28Pimephales+promelas%29+in+Soft+Water", "Google Scholar")</f>
        <v>Google Scholar</v>
      </c>
    </row>
    <row r="35" spans="1:8" x14ac:dyDescent="0.35">
      <c r="A35">
        <v>10551</v>
      </c>
      <c r="B35" t="s">
        <v>2137</v>
      </c>
      <c r="C35" t="s">
        <v>2138</v>
      </c>
      <c r="D35" t="s">
        <v>2139</v>
      </c>
      <c r="E35">
        <v>1983</v>
      </c>
      <c r="G35" t="s">
        <v>3087</v>
      </c>
      <c r="H35" s="34" t="str">
        <f>HYPERLINK("https://scholar.google.com/scholar?hl=en&amp;as_q=&amp;as_oq=&amp;as_eq=&amp;as_sauthors=&amp;as_publication=&amp;as_ylo=&amp;as_yhi=&amp;as_occt=title&amp;as_sdt=0%2C5&amp;as_epq=%22Heavy+Metal+Tolerance+and+Metallothionein+Induction+in+Fathead+Minnows%3A++Results+From+Field+and+Laboratory+Inv", "Google Scholar")</f>
        <v>Google Scholar</v>
      </c>
    </row>
    <row r="36" spans="1:8" x14ac:dyDescent="0.35">
      <c r="A36">
        <v>5968</v>
      </c>
      <c r="B36" t="s">
        <v>547</v>
      </c>
      <c r="C36" t="s">
        <v>548</v>
      </c>
      <c r="D36" t="s">
        <v>549</v>
      </c>
      <c r="E36">
        <v>1975</v>
      </c>
      <c r="G36" t="s">
        <v>3088</v>
      </c>
      <c r="H36" s="35" t="str">
        <f>HYPERLINK("https://scholar.google.com/scholar?hl=en&amp;as_q=&amp;as_oq=&amp;as_eq=&amp;as_sauthors=&amp;as_publication=&amp;as_ylo=&amp;as_yhi=&amp;as_occt=title&amp;as_sdt=0%2C5&amp;as_epq=%22Preliminary+Evaluation+of+the+Acute+Toxicity+of+Desensitized+Primer+Compounds+and+Primer+Waste+Effluents+to+Repr", "Google Scholar")</f>
        <v>Google Scholar</v>
      </c>
    </row>
    <row r="37" spans="1:8" x14ac:dyDescent="0.35">
      <c r="A37">
        <v>5965</v>
      </c>
      <c r="B37" t="s">
        <v>536</v>
      </c>
      <c r="C37" t="s">
        <v>537</v>
      </c>
      <c r="D37" t="s">
        <v>538</v>
      </c>
      <c r="E37">
        <v>1976</v>
      </c>
      <c r="G37" t="s">
        <v>3089</v>
      </c>
      <c r="H37" s="36" t="str">
        <f>HYPERLINK("https://scholar.google.com/scholar?hl=en&amp;as_q=&amp;as_oq=&amp;as_eq=&amp;as_sauthors=&amp;as_publication=&amp;as_ylo=&amp;as_yhi=&amp;as_occt=title&amp;as_sdt=0%2C5&amp;as_epq=%22Acute+Toxicity+of+Diisopropylmethyl+Phosphonate+and+Dicyclopentadiene+to+Aquatic+Organisms", "Google Scholar")</f>
        <v>Google Scholar</v>
      </c>
    </row>
    <row r="38" spans="1:8" x14ac:dyDescent="0.35">
      <c r="A38">
        <v>5966</v>
      </c>
      <c r="B38" t="s">
        <v>536</v>
      </c>
      <c r="C38" t="s">
        <v>1820</v>
      </c>
      <c r="D38" t="s">
        <v>1821</v>
      </c>
      <c r="E38">
        <v>1977</v>
      </c>
      <c r="G38" t="s">
        <v>3090</v>
      </c>
      <c r="H38" s="37" t="str">
        <f>HYPERLINK("https://scholar.google.com/scholar?hl=en&amp;as_q=&amp;as_oq=&amp;as_eq=&amp;as_sauthors=&amp;as_publication=&amp;as_ylo=&amp;as_yhi=&amp;as_occt=title&amp;as_sdt=0%2C5&amp;as_epq=%22Acute+Toxicity+of+1%2C3%2C5%2C7-Tetranitrooctahydro-1%2C3%2C+5%2C7-Tetrazocine+%28HMX%29+to+Aquatic+Organisms", "Google Scholar")</f>
        <v>Google Scholar</v>
      </c>
    </row>
    <row r="39" spans="1:8" x14ac:dyDescent="0.35">
      <c r="A39">
        <v>5963</v>
      </c>
      <c r="B39" t="s">
        <v>178</v>
      </c>
      <c r="C39" t="s">
        <v>179</v>
      </c>
      <c r="D39" t="s">
        <v>180</v>
      </c>
      <c r="E39">
        <v>1978</v>
      </c>
      <c r="G39" t="s">
        <v>3091</v>
      </c>
      <c r="H39" s="38" t="str">
        <f>HYPERLINK("https://scholar.google.com/scholar?hl=en&amp;as_q=&amp;as_oq=&amp;as_eq=&amp;as_sauthors=&amp;as_publication=&amp;as_ylo=&amp;as_yhi=&amp;as_occt=title&amp;as_sdt=0%2C5&amp;as_epq=%22Laboratory+Evaluation+of+the+Toxicity+of+Nitroglycerine+to+Aquatic+Organisms", "Google Scholar")</f>
        <v>Google Scholar</v>
      </c>
    </row>
    <row r="40" spans="1:8" x14ac:dyDescent="0.35">
      <c r="A40">
        <v>5962</v>
      </c>
      <c r="B40" t="s">
        <v>1191</v>
      </c>
      <c r="C40" t="s">
        <v>1192</v>
      </c>
      <c r="D40" t="s">
        <v>1193</v>
      </c>
      <c r="E40">
        <v>1977</v>
      </c>
      <c r="G40" t="s">
        <v>3092</v>
      </c>
      <c r="H40" s="39" t="str">
        <f>HYPERLINK("https://scholar.google.com/scholar?hl=en&amp;as_q=&amp;as_oq=&amp;as_eq=&amp;as_sauthors=&amp;as_publication=&amp;as_ylo=&amp;as_yhi=&amp;as_occt=title&amp;as_sdt=0%2C5&amp;as_epq=%22Laboratory+Evaluation+of+the+Toxicity+of+Cyclotrimethylene+Trinitramine+%28RDX%29+to+Aquatic+Organisms", "Google Scholar")</f>
        <v>Google Scholar</v>
      </c>
    </row>
    <row r="41" spans="1:8" x14ac:dyDescent="0.35">
      <c r="A41">
        <v>5964</v>
      </c>
      <c r="B41" t="s">
        <v>2179</v>
      </c>
      <c r="C41" t="s">
        <v>2180</v>
      </c>
      <c r="D41" t="s">
        <v>2181</v>
      </c>
      <c r="E41">
        <v>1978</v>
      </c>
      <c r="G41" t="s">
        <v>3093</v>
      </c>
      <c r="H41" s="40" t="str">
        <f>HYPERLINK("https://scholar.google.com/scholar?hl=en&amp;as_q=&amp;as_oq=&amp;as_eq=&amp;as_sauthors=&amp;as_publication=&amp;as_ylo=&amp;as_yhi=&amp;as_occt=title&amp;as_sdt=0%2C5&amp;as_epq=%22Laboratory+Evaluation+of+the+Toxicity+of+Elemental+Phosphorus+%28P4%29+to+Aquatic+Organisms", "Google Scholar")</f>
        <v>Google Scholar</v>
      </c>
    </row>
    <row r="42" spans="1:8" x14ac:dyDescent="0.35">
      <c r="A42">
        <v>59196</v>
      </c>
      <c r="B42" t="s">
        <v>745</v>
      </c>
      <c r="C42" t="s">
        <v>746</v>
      </c>
      <c r="D42" t="s">
        <v>747</v>
      </c>
      <c r="E42">
        <v>1977</v>
      </c>
      <c r="G42" t="s">
        <v>3094</v>
      </c>
      <c r="H42" s="41" t="str">
        <f>HYPERLINK("https://scholar.google.com/scholar?hl=en&amp;as_q=&amp;as_oq=&amp;as_eq=&amp;as_sauthors=&amp;as_publication=&amp;as_ylo=&amp;as_yhi=&amp;as_occt=title&amp;as_sdt=0%2C5&amp;as_epq=%22Effects+of+Aqueous+Effluents+from+In+Situ+Fossil+Fuel+Processing+Technologies+on+Aquatic+Systems", "Google Scholar")</f>
        <v>Google Scholar</v>
      </c>
    </row>
    <row r="43" spans="1:8" x14ac:dyDescent="0.35">
      <c r="A43">
        <v>82429</v>
      </c>
      <c r="B43" t="s">
        <v>2658</v>
      </c>
      <c r="C43" t="s">
        <v>2659</v>
      </c>
      <c r="D43" t="s">
        <v>2660</v>
      </c>
      <c r="E43">
        <v>2001</v>
      </c>
      <c r="G43" t="s">
        <v>3095</v>
      </c>
      <c r="H43" s="42" t="str">
        <f>HYPERLINK("https://scholar.google.com/scholar?hl=en&amp;as_q=&amp;as_oq=&amp;as_eq=&amp;as_sauthors=&amp;as_publication=&amp;as_ylo=&amp;as_yhi=&amp;as_occt=title&amp;as_sdt=0%2C5&amp;as_epq=%22Evaluation+of+Interspecific+Sensitivity+to+Selenium+Exposure%3A++Larval+Razorback+Sucker+Versus+Flannelmouth+Suc", "Google Scholar")</f>
        <v>Google Scholar</v>
      </c>
    </row>
    <row r="44" spans="1:8" x14ac:dyDescent="0.35">
      <c r="A44">
        <v>104888</v>
      </c>
      <c r="B44" t="s">
        <v>2359</v>
      </c>
      <c r="C44" t="s">
        <v>2360</v>
      </c>
      <c r="D44" t="s">
        <v>2361</v>
      </c>
      <c r="E44">
        <v>2008</v>
      </c>
      <c r="G44" t="s">
        <v>3096</v>
      </c>
      <c r="H44" s="43" t="str">
        <f>HYPERLINK("https://scholar.google.com/scholar?hl=en&amp;as_q=&amp;as_oq=&amp;as_eq=&amp;as_sauthors=&amp;as_publication=&amp;as_ylo=&amp;as_yhi=&amp;as_occt=title&amp;as_sdt=0%2C5&amp;as_epq=%22Is+Cl-+Protection+Against+Silver+Toxicity+Due+to+Chemical+Speciation%3F", "Google Scholar")</f>
        <v>Google Scholar</v>
      </c>
    </row>
    <row r="45" spans="1:8" x14ac:dyDescent="0.35">
      <c r="A45">
        <v>182</v>
      </c>
      <c r="B45" t="s">
        <v>782</v>
      </c>
      <c r="C45" t="s">
        <v>783</v>
      </c>
      <c r="D45" t="s">
        <v>784</v>
      </c>
      <c r="E45">
        <v>1990</v>
      </c>
      <c r="G45" t="s">
        <v>3097</v>
      </c>
      <c r="H45" s="44" t="str">
        <f>HYPERLINK("https://scholar.google.com/scholar?hl=en&amp;as_q=&amp;as_oq=&amp;as_eq=&amp;as_sauthors=&amp;as_publication=&amp;as_ylo=&amp;as_yhi=&amp;as_occt=title&amp;as_sdt=0%2C5&amp;as_epq=%22Effects+of+Water+Temperature%2C+Hardness%2C+and+pH+on+the+Toxicity+of+Benzocaine+to+Eleven+Freshwater+Fishes", "Google Scholar")</f>
        <v>Google Scholar</v>
      </c>
    </row>
    <row r="46" spans="1:8" x14ac:dyDescent="0.35">
      <c r="A46">
        <v>3075</v>
      </c>
      <c r="B46" t="s">
        <v>1233</v>
      </c>
      <c r="C46" t="s">
        <v>1234</v>
      </c>
      <c r="D46" t="s">
        <v>1235</v>
      </c>
      <c r="E46">
        <v>1988</v>
      </c>
      <c r="G46" t="s">
        <v>3098</v>
      </c>
      <c r="H46" s="45" t="str">
        <f>HYPERLINK("https://scholar.google.com/scholar?hl=en&amp;as_q=&amp;as_oq=&amp;as_eq=&amp;as_sauthors=&amp;as_publication=&amp;as_ylo=&amp;as_yhi=&amp;as_occt=title&amp;as_sdt=0%2C5&amp;as_epq=%22Effects+of+Organic+Matter+and+Loading+Rates+of+Fish+on+the+Toxicity+of+Chloramine-T", "Google Scholar")</f>
        <v>Google Scholar</v>
      </c>
    </row>
    <row r="47" spans="1:8" x14ac:dyDescent="0.35">
      <c r="A47">
        <v>3074</v>
      </c>
      <c r="B47" t="s">
        <v>1236</v>
      </c>
      <c r="C47" t="s">
        <v>1237</v>
      </c>
      <c r="D47" t="s">
        <v>1238</v>
      </c>
      <c r="E47">
        <v>1988</v>
      </c>
      <c r="G47" t="s">
        <v>3099</v>
      </c>
      <c r="H47" s="46" t="str">
        <f>HYPERLINK("https://scholar.google.com/scholar?hl=en&amp;as_q=&amp;as_oq=&amp;as_eq=&amp;as_sauthors=&amp;as_publication=&amp;as_ylo=&amp;as_yhi=&amp;as_occt=title&amp;as_sdt=0%2C5&amp;as_epq=%22Effects+of+Environmental+Factors+on+the+Toxicity+of+Chloramine-T+to+Fish", "Google Scholar")</f>
        <v>Google Scholar</v>
      </c>
    </row>
    <row r="48" spans="1:8" x14ac:dyDescent="0.35">
      <c r="A48">
        <v>83918</v>
      </c>
      <c r="B48" t="s">
        <v>753</v>
      </c>
      <c r="C48" t="s">
        <v>754</v>
      </c>
      <c r="D48" t="s">
        <v>755</v>
      </c>
      <c r="E48">
        <v>1987</v>
      </c>
      <c r="G48" t="s">
        <v>3100</v>
      </c>
      <c r="H48" s="47" t="str">
        <f>HYPERLINK("https://scholar.google.com/scholar?hl=en&amp;as_q=&amp;as_oq=&amp;as_eq=&amp;as_sauthors=&amp;as_publication=&amp;as_ylo=&amp;as_yhi=&amp;as_occt=title&amp;as_sdt=0%2C5&amp;as_epq=%22A+Flow-Through+Acute+Fish+Toxicity+Test+of+Naphthalene", "Google Scholar")</f>
        <v>Google Scholar</v>
      </c>
    </row>
    <row r="49" spans="1:8" x14ac:dyDescent="0.35">
      <c r="A49">
        <v>81371</v>
      </c>
      <c r="B49" t="s">
        <v>2754</v>
      </c>
      <c r="C49" t="s">
        <v>2755</v>
      </c>
      <c r="D49" t="s">
        <v>2756</v>
      </c>
      <c r="E49">
        <v>1987</v>
      </c>
      <c r="G49" t="s">
        <v>3101</v>
      </c>
      <c r="H49" s="48" t="str">
        <f>HYPERLINK("https://scholar.google.com/scholar?hl=en&amp;as_q=&amp;as_oq=&amp;as_eq=&amp;as_sauthors=&amp;as_publication=&amp;as_ylo=&amp;as_yhi=&amp;as_occt=title&amp;as_sdt=0%2C5&amp;as_epq=%22Acute+Toxicity+of+RH-893+to+Five+Species+of+Freshwater+Fishes+%28Bioassay+Report%29", "Google Scholar")</f>
        <v>Google Scholar</v>
      </c>
    </row>
    <row r="50" spans="1:8" x14ac:dyDescent="0.35">
      <c r="A50">
        <v>45826</v>
      </c>
      <c r="B50" t="s">
        <v>2142</v>
      </c>
      <c r="C50" t="s">
        <v>2143</v>
      </c>
      <c r="D50" t="s">
        <v>2144</v>
      </c>
      <c r="E50">
        <v>1985</v>
      </c>
      <c r="G50" t="s">
        <v>3102</v>
      </c>
      <c r="H50" s="49" t="str">
        <f>HYPERLINK("https://scholar.google.com/scholar?hl=en&amp;as_q=&amp;as_oq=&amp;as_eq=&amp;as_sauthors=&amp;as_publication=&amp;as_ylo=&amp;as_yhi=&amp;as_occt=title&amp;as_sdt=0%2C5&amp;as_epq=%22Recommendations+on+Numerical+Values+for+Regulating+Iron+and+Chloride+Concentrations+for+the+Purpose+of+Protectin", "Google Scholar")</f>
        <v>Google Scholar</v>
      </c>
    </row>
    <row r="51" spans="1:8" x14ac:dyDescent="0.35">
      <c r="A51">
        <v>18858</v>
      </c>
      <c r="B51" t="s">
        <v>2344</v>
      </c>
      <c r="C51" t="s">
        <v>2345</v>
      </c>
      <c r="D51" t="s">
        <v>2346</v>
      </c>
      <c r="E51">
        <v>1984</v>
      </c>
      <c r="G51" t="s">
        <v>3103</v>
      </c>
      <c r="H51" s="50" t="str">
        <f>HYPERLINK("https://scholar.google.com/scholar?hl=en&amp;as_q=&amp;as_oq=&amp;as_eq=&amp;as_sauthors=&amp;as_publication=&amp;as_ylo=&amp;as_yhi=&amp;as_occt=title&amp;as_sdt=0%2C5&amp;as_epq=%22Toxicological+Studies+on+Aquatic+Contaminants+Originating+from+Coal+Production+and+Utilization%3A++The+Induction", "Google Scholar")</f>
        <v>Google Scholar</v>
      </c>
    </row>
    <row r="52" spans="1:8" x14ac:dyDescent="0.35">
      <c r="A52">
        <v>45758</v>
      </c>
      <c r="B52" t="s">
        <v>388</v>
      </c>
      <c r="C52" t="s">
        <v>389</v>
      </c>
      <c r="D52" t="s">
        <v>390</v>
      </c>
      <c r="E52">
        <v>1982</v>
      </c>
      <c r="G52" t="s">
        <v>3104</v>
      </c>
      <c r="H52" s="51" t="str">
        <f>HYPERLINK("https://scholar.google.com/scholar?hl=en&amp;as_q=&amp;as_oq=&amp;as_eq=&amp;as_sauthors=&amp;as_publication=&amp;as_ylo=&amp;as_yhi=&amp;as_occt=title&amp;as_sdt=0%2C5&amp;as_epq=%22Acute+Toxicity+Testing+with+Freshwater+Fish", "Google Scholar")</f>
        <v>Google Scholar</v>
      </c>
    </row>
    <row r="53" spans="1:8" x14ac:dyDescent="0.35">
      <c r="A53">
        <v>10237</v>
      </c>
      <c r="B53" t="s">
        <v>2131</v>
      </c>
      <c r="C53" t="s">
        <v>2132</v>
      </c>
      <c r="D53" t="s">
        <v>2133</v>
      </c>
      <c r="E53">
        <v>1983</v>
      </c>
      <c r="G53" t="s">
        <v>3105</v>
      </c>
      <c r="H53" s="52" t="str">
        <f>HYPERLINK("https://scholar.google.com/scholar?hl=en&amp;as_q=&amp;as_oq=&amp;as_eq=&amp;as_sauthors=&amp;as_publication=&amp;as_ylo=&amp;as_yhi=&amp;as_occt=title&amp;as_sdt=0%2C5&amp;as_epq=%22The+Induction+of+Tolerance+to+Heavy+Metals+in+Natural+and+Laboratory+Populations+of+Fish", "Google Scholar")</f>
        <v>Google Scholar</v>
      </c>
    </row>
    <row r="54" spans="1:8" x14ac:dyDescent="0.35">
      <c r="A54">
        <v>16467</v>
      </c>
      <c r="B54" t="s">
        <v>1973</v>
      </c>
      <c r="C54" t="s">
        <v>1974</v>
      </c>
      <c r="D54" t="s">
        <v>1975</v>
      </c>
      <c r="E54">
        <v>1993</v>
      </c>
      <c r="G54" t="s">
        <v>3106</v>
      </c>
      <c r="H54" s="53" t="str">
        <f>HYPERLINK("https://scholar.google.com/scholar?hl=en&amp;as_q=&amp;as_oq=&amp;as_eq=&amp;as_sauthors=&amp;as_publication=&amp;as_ylo=&amp;as_yhi=&amp;as_occt=title&amp;as_sdt=0%2C5&amp;as_epq=%22Accumulation+of+Contaminants+by+Biota+in+East+Fork+Poplar+Creek", "Google Scholar")</f>
        <v>Google Scholar</v>
      </c>
    </row>
    <row r="55" spans="1:8" x14ac:dyDescent="0.35">
      <c r="A55">
        <v>10553</v>
      </c>
      <c r="B55" t="s">
        <v>1366</v>
      </c>
      <c r="C55" t="s">
        <v>1367</v>
      </c>
      <c r="D55" t="s">
        <v>1368</v>
      </c>
      <c r="E55">
        <v>1985</v>
      </c>
      <c r="G55" t="s">
        <v>3107</v>
      </c>
      <c r="H55" s="54" t="str">
        <f>HYPERLINK("https://scholar.google.com/scholar?hl=en&amp;as_q=&amp;as_oq=&amp;as_eq=&amp;as_sauthors=&amp;as_publication=&amp;as_ylo=&amp;as_yhi=&amp;as_occt=title&amp;as_sdt=0%2C5&amp;as_epq=%22Comparative+Toxicity+of+Copper+and+Acridine+to+Fish%2C+Daphnia+and+Algae", "Google Scholar")</f>
        <v>Google Scholar</v>
      </c>
    </row>
    <row r="56" spans="1:8" x14ac:dyDescent="0.35">
      <c r="A56">
        <v>5876</v>
      </c>
      <c r="B56" t="s">
        <v>408</v>
      </c>
      <c r="C56" t="s">
        <v>409</v>
      </c>
      <c r="D56" t="s">
        <v>410</v>
      </c>
      <c r="E56">
        <v>1988</v>
      </c>
      <c r="F56" t="s">
        <v>3069</v>
      </c>
      <c r="G56" t="s">
        <v>3108</v>
      </c>
      <c r="H56" s="55" t="str">
        <f>HYPERLINK("https://scholar.google.com/scholar?hl=en&amp;as_q=&amp;as_oq=&amp;as_eq=&amp;as_sauthors=&amp;as_publication=&amp;as_ylo=&amp;as_yhi=&amp;as_occt=title&amp;as_sdt=0%2C5&amp;as_epq=%22Belastung+der+Anwohner+von+Chemisch-Reinigungsanlegen+durch+Tetrachlorethylen", "Google Scholar")</f>
        <v>Google Scholar</v>
      </c>
    </row>
    <row r="57" spans="1:8" x14ac:dyDescent="0.35">
      <c r="A57">
        <v>9598</v>
      </c>
      <c r="B57" t="s">
        <v>2206</v>
      </c>
      <c r="C57" t="s">
        <v>2207</v>
      </c>
      <c r="D57" t="s">
        <v>2208</v>
      </c>
      <c r="E57">
        <v>1990</v>
      </c>
      <c r="G57" t="s">
        <v>3109</v>
      </c>
      <c r="H57" s="56" t="str">
        <f>HYPERLINK("https://scholar.google.com/scholar?hl=en&amp;as_q=&amp;as_oq=&amp;as_eq=&amp;as_sauthors=&amp;as_publication=&amp;as_ylo=&amp;as_yhi=&amp;as_occt=title&amp;as_sdt=0%2C5&amp;as_epq=%22Joint+Action+of+Sublethal+Copper+and+Zinc+on+Locomotory+Behaviour+of+Fathead+Minnows", "Google Scholar")</f>
        <v>Google Scholar</v>
      </c>
    </row>
    <row r="58" spans="1:8" x14ac:dyDescent="0.35">
      <c r="A58">
        <v>7324</v>
      </c>
      <c r="B58" t="s">
        <v>1932</v>
      </c>
      <c r="C58" t="s">
        <v>1933</v>
      </c>
      <c r="D58" t="s">
        <v>1934</v>
      </c>
      <c r="E58">
        <v>1998</v>
      </c>
      <c r="G58" t="s">
        <v>3110</v>
      </c>
      <c r="H58" s="57" t="str">
        <f>HYPERLINK("https://scholar.google.com/scholar?hl=en&amp;as_q=&amp;as_oq=&amp;as_eq=&amp;as_sauthors=&amp;as_publication=&amp;as_ylo=&amp;as_yhi=&amp;as_occt=title&amp;as_sdt=0%2C5&amp;as_epq=%22The+Ecotoxicity+and+the+Biodegradability+of+Lactic+Acid%2C+Alkyl+Lactate+Esters+and+Lactate+Salts", "Google Scholar")</f>
        <v>Google Scholar</v>
      </c>
    </row>
    <row r="59" spans="1:8" x14ac:dyDescent="0.35">
      <c r="A59">
        <v>10960</v>
      </c>
      <c r="B59" t="s">
        <v>2886</v>
      </c>
      <c r="C59" t="s">
        <v>2887</v>
      </c>
      <c r="D59" t="s">
        <v>2888</v>
      </c>
      <c r="E59">
        <v>1985</v>
      </c>
      <c r="G59" t="s">
        <v>3111</v>
      </c>
      <c r="H59" s="58" t="str">
        <f>HYPERLINK("https://scholar.google.com/scholar?hl=en&amp;as_q=&amp;as_oq=&amp;as_eq=&amp;as_sauthors=&amp;as_publication=&amp;as_ylo=&amp;as_yhi=&amp;as_occt=title&amp;as_sdt=0%2C5&amp;as_epq=%22Differential+Toxicity+and+Uptake+of+Two+Fenvalerate+Formulations+in+Fathead+Minnows+%28Pimephales+promelas%29", "Google Scholar")</f>
        <v>Google Scholar</v>
      </c>
    </row>
    <row r="60" spans="1:8" x14ac:dyDescent="0.35">
      <c r="A60">
        <v>96586</v>
      </c>
      <c r="B60" t="s">
        <v>2046</v>
      </c>
      <c r="C60" t="s">
        <v>2047</v>
      </c>
      <c r="D60" t="s">
        <v>2048</v>
      </c>
      <c r="E60">
        <v>2006</v>
      </c>
      <c r="G60" t="s">
        <v>3112</v>
      </c>
      <c r="H60" s="59" t="str">
        <f>HYPERLINK("https://scholar.google.com/scholar?hl=en&amp;as_q=&amp;as_oq=&amp;as_eq=&amp;as_sauthors=&amp;as_publication=&amp;as_ylo=&amp;as_yhi=&amp;as_occt=title&amp;as_sdt=0%2C5&amp;as_epq=%22Influence+of+Dissolved+Organic+Matter+on+Acute+Toxicity+of+Zinc+to+Larval+Fathead+Minnows+%28Pimephales+promelas", "Google Scholar")</f>
        <v>Google Scholar</v>
      </c>
    </row>
    <row r="61" spans="1:8" x14ac:dyDescent="0.35">
      <c r="A61">
        <v>87256</v>
      </c>
      <c r="B61" t="s">
        <v>2485</v>
      </c>
      <c r="C61" t="s">
        <v>2486</v>
      </c>
      <c r="D61" t="s">
        <v>2487</v>
      </c>
      <c r="E61">
        <v>1998</v>
      </c>
      <c r="G61" t="s">
        <v>3113</v>
      </c>
      <c r="H61" s="60" t="str">
        <f>HYPERLINK("https://scholar.google.com/scholar?hl=en&amp;as_q=&amp;as_oq=&amp;as_eq=&amp;as_sauthors=&amp;as_publication=&amp;as_ylo=&amp;as_yhi=&amp;as_occt=title&amp;as_sdt=0%2C5&amp;as_epq=%22Effect+of+Sulfate+Concentration+on+Acute+Toxicity+of+Selenite+and+Selenate+to+Invertebrates+and+Fish", "Google Scholar")</f>
        <v>Google Scholar</v>
      </c>
    </row>
    <row r="62" spans="1:8" x14ac:dyDescent="0.35">
      <c r="A62">
        <v>58971</v>
      </c>
      <c r="B62" t="s">
        <v>2653</v>
      </c>
      <c r="C62" t="s">
        <v>2654</v>
      </c>
      <c r="D62" t="s">
        <v>2655</v>
      </c>
      <c r="E62">
        <v>2001</v>
      </c>
      <c r="G62" t="s">
        <v>3114</v>
      </c>
      <c r="H62" s="61" t="str">
        <f>HYPERLINK("https://scholar.google.com/scholar?hl=en&amp;as_q=&amp;as_oq=&amp;as_eq=&amp;as_sauthors=&amp;as_publication=&amp;as_ylo=&amp;as_yhi=&amp;as_occt=title&amp;as_sdt=0%2C5&amp;as_epq=%22Effects+of+Sulfate+on+the+Acute+Toxicity+of+Selenate+to+Freshwater+Organisms", "Google Scholar")</f>
        <v>Google Scholar</v>
      </c>
    </row>
    <row r="63" spans="1:8" x14ac:dyDescent="0.35">
      <c r="A63">
        <v>97161</v>
      </c>
      <c r="B63" t="s">
        <v>884</v>
      </c>
      <c r="C63" t="s">
        <v>885</v>
      </c>
      <c r="D63" t="s">
        <v>886</v>
      </c>
      <c r="E63">
        <v>1990</v>
      </c>
      <c r="G63" t="s">
        <v>3115</v>
      </c>
      <c r="H63" s="62" t="str">
        <f>HYPERLINK("https://scholar.google.com/scholar?hl=en&amp;as_q=&amp;as_oq=&amp;as_eq=&amp;as_sauthors=&amp;as_publication=&amp;as_ylo=&amp;as_yhi=&amp;as_occt=title&amp;as_sdt=0%2C5&amp;as_epq=%22Toxicity+of+Eight+Terpenes+to+Fathead+Minnows+%28Pimephales+promelas%29%2C+Daphnids+%28Daphnia+magna%29%2C+and+A", "Google Scholar")</f>
        <v>Google Scholar</v>
      </c>
    </row>
    <row r="64" spans="1:8" x14ac:dyDescent="0.35">
      <c r="A64">
        <v>14128</v>
      </c>
      <c r="B64" t="s">
        <v>422</v>
      </c>
      <c r="C64" t="s">
        <v>423</v>
      </c>
      <c r="D64" t="s">
        <v>424</v>
      </c>
      <c r="E64">
        <v>1985</v>
      </c>
      <c r="G64" t="s">
        <v>3116</v>
      </c>
      <c r="H64" s="63" t="str">
        <f>HYPERLINK("https://scholar.google.com/scholar?hl=en&amp;as_q=&amp;as_oq=&amp;as_eq=&amp;as_sauthors=&amp;as_publication=&amp;as_ylo=&amp;as_yhi=&amp;as_occt=title&amp;as_sdt=0%2C5&amp;as_epq=%22Acute+Toxicity+of+Organic+Chemical+Mixtures+to+the+Fathead+Minnow", "Google Scholar")</f>
        <v>Google Scholar</v>
      </c>
    </row>
    <row r="65" spans="1:8" x14ac:dyDescent="0.35">
      <c r="A65">
        <v>519</v>
      </c>
      <c r="B65" t="s">
        <v>460</v>
      </c>
      <c r="C65" t="s">
        <v>461</v>
      </c>
      <c r="D65" t="s">
        <v>462</v>
      </c>
      <c r="E65">
        <v>1977</v>
      </c>
      <c r="G65" t="s">
        <v>3117</v>
      </c>
      <c r="H65" s="64" t="str">
        <f>HYPERLINK("https://scholar.google.com/scholar?hl=en&amp;as_q=&amp;as_oq=&amp;as_eq=&amp;as_sauthors=&amp;as_publication=&amp;as_ylo=&amp;as_yhi=&amp;as_occt=title&amp;as_sdt=0%2C5&amp;as_epq=%22Relative+Toxicity+of+Free+Cyanide+and+Dissolved+Sulfide+Forms+to+the+Fathead+Minnow+%28Pimephales+promelas%29", "Google Scholar")</f>
        <v>Google Scholar</v>
      </c>
    </row>
    <row r="66" spans="1:8" x14ac:dyDescent="0.35">
      <c r="A66">
        <v>86254</v>
      </c>
      <c r="B66" t="s">
        <v>130</v>
      </c>
      <c r="C66" t="s">
        <v>131</v>
      </c>
      <c r="D66" t="s">
        <v>132</v>
      </c>
      <c r="E66">
        <v>2005</v>
      </c>
      <c r="G66" t="s">
        <v>3118</v>
      </c>
      <c r="H66" s="65" t="str">
        <f>HYPERLINK("https://scholar.google.com/scholar?hl=en&amp;as_q=&amp;as_oq=&amp;as_eq=&amp;as_sauthors=&amp;as_publication=&amp;as_ylo=&amp;as_yhi=&amp;as_occt=title&amp;as_sdt=0%2C5&amp;as_epq=%22A+Comparison+of+the+Lethal+and+Sublethal+Toxicity+of+Organic+Chemical+Mixtures+to+the+Fathead+Minnow+%28Pimephal", "Google Scholar")</f>
        <v>Google Scholar</v>
      </c>
    </row>
    <row r="67" spans="1:8" x14ac:dyDescent="0.35">
      <c r="A67">
        <v>15031</v>
      </c>
      <c r="B67" t="s">
        <v>134</v>
      </c>
      <c r="C67" t="s">
        <v>135</v>
      </c>
      <c r="D67" t="s">
        <v>136</v>
      </c>
      <c r="E67">
        <v>1995</v>
      </c>
      <c r="G67" t="s">
        <v>3119</v>
      </c>
      <c r="H67" s="66" t="str">
        <f>HYPERLINK("https://scholar.google.com/scholar?hl=en&amp;as_q=&amp;as_oq=&amp;as_eq=&amp;as_sauthors=&amp;as_publication=&amp;as_ylo=&amp;as_yhi=&amp;as_occt=title&amp;as_sdt=0%2C5&amp;as_epq=%22Use+of+Joint+Toxic+Response+to+Define+the+Primary+Mode+of+Toxic+Action+for+Diverse+Industrial+Organic+Chemicals", "Google Scholar")</f>
        <v>Google Scholar</v>
      </c>
    </row>
    <row r="68" spans="1:8" x14ac:dyDescent="0.35">
      <c r="A68">
        <v>2125</v>
      </c>
      <c r="B68" t="s">
        <v>1303</v>
      </c>
      <c r="C68" t="s">
        <v>1317</v>
      </c>
      <c r="D68" t="s">
        <v>1318</v>
      </c>
      <c r="E68">
        <v>1979</v>
      </c>
      <c r="G68" t="s">
        <v>3120</v>
      </c>
      <c r="H68" s="67" t="str">
        <f>HYPERLINK("https://scholar.google.com/scholar?hl=en&amp;as_q=&amp;as_oq=&amp;as_eq=&amp;as_sauthors=&amp;as_publication=&amp;as_ylo=&amp;as_yhi=&amp;as_occt=title&amp;as_sdt=0%2C5&amp;as_epq=%22Lethal+and+Sublethal+Effects+of+Binary+Mixtures+of+Cyanide+and+Hexavalent+Chromium%2C+Zinc%2C+or+Ammonia+to+the+", "Google Scholar")</f>
        <v>Google Scholar</v>
      </c>
    </row>
    <row r="69" spans="1:8" x14ac:dyDescent="0.35">
      <c r="A69">
        <v>20219</v>
      </c>
      <c r="B69" t="s">
        <v>1303</v>
      </c>
      <c r="C69" t="s">
        <v>1304</v>
      </c>
      <c r="D69" t="s">
        <v>1305</v>
      </c>
      <c r="E69">
        <v>1977</v>
      </c>
      <c r="G69" t="s">
        <v>3121</v>
      </c>
      <c r="H69" s="68" t="str">
        <f>HYPERLINK("https://scholar.google.com/scholar?hl=en&amp;as_q=&amp;as_oq=&amp;as_eq=&amp;as_sauthors=&amp;as_publication=&amp;as_ylo=&amp;as_yhi=&amp;as_occt=title&amp;as_sdt=0%2C5&amp;as_epq=%22Relationship+Between+pH+and+Acute+Toxicity+of+Free+Cyanide+and+Dissolved+Sulfide+Forms+to+the+Fathead+Minnow", "Google Scholar")</f>
        <v>Google Scholar</v>
      </c>
    </row>
    <row r="70" spans="1:8" x14ac:dyDescent="0.35">
      <c r="A70">
        <v>14339</v>
      </c>
      <c r="B70" t="s">
        <v>70</v>
      </c>
      <c r="C70" t="s">
        <v>71</v>
      </c>
      <c r="D70" t="s">
        <v>72</v>
      </c>
      <c r="E70">
        <v>1987</v>
      </c>
      <c r="G70" t="s">
        <v>3122</v>
      </c>
      <c r="H70" s="69" t="str">
        <f>HYPERLINK("https://scholar.google.com/scholar?hl=en&amp;as_q=&amp;as_oq=&amp;as_eq=&amp;as_sauthors=&amp;as_publication=&amp;as_ylo=&amp;as_yhi=&amp;as_occt=title&amp;as_sdt=0%2C5&amp;as_epq=%22Report+of+the+Flow-Through+and+Static+Acute+Test+Comparisons+with+Fathead+Minnows+and+Acute+Tests+with+an+Amphip", "Google Scholar")</f>
        <v>Google Scholar</v>
      </c>
    </row>
    <row r="71" spans="1:8" x14ac:dyDescent="0.35">
      <c r="A71">
        <v>61180</v>
      </c>
      <c r="B71" t="s">
        <v>70</v>
      </c>
      <c r="C71" t="s">
        <v>788</v>
      </c>
      <c r="D71" t="s">
        <v>789</v>
      </c>
      <c r="E71">
        <v>1989</v>
      </c>
      <c r="G71" t="s">
        <v>3123</v>
      </c>
      <c r="H71" s="70" t="str">
        <f>HYPERLINK("https://scholar.google.com/scholar?hl=en&amp;as_q=&amp;as_oq=&amp;as_eq=&amp;as_sauthors=&amp;as_publication=&amp;as_ylo=&amp;as_yhi=&amp;as_occt=title&amp;as_sdt=0%2C5&amp;as_epq=%22Results+of+Freshwater+Exposures+with+the+Chemicals+2%2C4-D+and+Diazinon+to+the+Larval+Leopard+Frog+%28Rana+pipie", "Google Scholar")</f>
        <v>Google Scholar</v>
      </c>
    </row>
    <row r="72" spans="1:8" x14ac:dyDescent="0.35">
      <c r="A72">
        <v>17138</v>
      </c>
      <c r="B72" t="s">
        <v>309</v>
      </c>
      <c r="C72" t="s">
        <v>310</v>
      </c>
      <c r="D72" t="s">
        <v>311</v>
      </c>
      <c r="E72">
        <v>1991</v>
      </c>
      <c r="G72" t="s">
        <v>3124</v>
      </c>
      <c r="H72" s="71" t="str">
        <f>HYPERLINK("https://scholar.google.com/scholar?hl=en&amp;as_q=&amp;as_oq=&amp;as_eq=&amp;as_sauthors=&amp;as_publication=&amp;as_ylo=&amp;as_yhi=&amp;as_occt=title&amp;as_sdt=0%2C5&amp;as_epq=%22Results+of+Freshwater+Exposures+with+the+Chemicals+Atrazine%2C+Biphenyl%2C+Butachlor%2C+Carbaryl%2C+Carbazole%2C", "Google Scholar")</f>
        <v>Google Scholar</v>
      </c>
    </row>
    <row r="73" spans="1:8" x14ac:dyDescent="0.35">
      <c r="A73">
        <v>20505</v>
      </c>
      <c r="B73" t="s">
        <v>309</v>
      </c>
      <c r="C73" t="s">
        <v>3003</v>
      </c>
      <c r="D73" t="s">
        <v>3004</v>
      </c>
      <c r="E73">
        <v>1993</v>
      </c>
      <c r="G73" t="s">
        <v>3125</v>
      </c>
      <c r="H73" s="72" t="str">
        <f>HYPERLINK("https://scholar.google.com/scholar?hl=en&amp;as_q=&amp;as_oq=&amp;as_eq=&amp;as_sauthors=&amp;as_publication=&amp;as_ylo=&amp;as_yhi=&amp;as_occt=title&amp;as_sdt=0%2C5&amp;as_epq=%22Nonylphenol+Toxicity%3A++Accumulation+and+Lethality+for+Two+Freshwater+Fishes+%28Fathead+Minnow+and+Bluegill%29+", "Google Scholar")</f>
        <v>Google Scholar</v>
      </c>
    </row>
    <row r="74" spans="1:8" x14ac:dyDescent="0.35">
      <c r="A74">
        <v>20506</v>
      </c>
      <c r="B74" t="s">
        <v>309</v>
      </c>
      <c r="C74" t="s">
        <v>2743</v>
      </c>
      <c r="D74" t="s">
        <v>2744</v>
      </c>
      <c r="E74">
        <v>1993</v>
      </c>
      <c r="G74" t="s">
        <v>3126</v>
      </c>
      <c r="H74" s="73" t="str">
        <f>HYPERLINK("https://scholar.google.com/scholar?hl=en&amp;as_q=&amp;as_oq=&amp;as_eq=&amp;as_sauthors=&amp;as_publication=&amp;as_ylo=&amp;as_yhi=&amp;as_occt=title&amp;as_sdt=0%2C5&amp;as_epq=%22Acute+and+Chronic+Toxicity+of+Nonylphenol+to+Ten+Species+of+Aquatic+Organisms", "Google Scholar")</f>
        <v>Google Scholar</v>
      </c>
    </row>
    <row r="75" spans="1:8" x14ac:dyDescent="0.35">
      <c r="A75">
        <v>77568</v>
      </c>
      <c r="B75" t="s">
        <v>309</v>
      </c>
      <c r="C75" t="s">
        <v>2347</v>
      </c>
      <c r="D75" t="s">
        <v>2348</v>
      </c>
      <c r="E75">
        <v>1993</v>
      </c>
      <c r="G75" t="s">
        <v>3127</v>
      </c>
      <c r="H75" s="74" t="str">
        <f>HYPERLINK("https://scholar.google.com/scholar?hl=en&amp;as_q=&amp;as_oq=&amp;as_eq=&amp;as_sauthors=&amp;as_publication=&amp;as_ylo=&amp;as_yhi=&amp;as_occt=title&amp;as_sdt=0%2C5&amp;as_epq=%22The+Effects+of+Food+and+Test+Solution+Age+on+the+Toxicity+of+Silver+to+Three+Freshwater+Organisms", "Google Scholar")</f>
        <v>Google Scholar</v>
      </c>
    </row>
    <row r="76" spans="1:8" x14ac:dyDescent="0.35">
      <c r="A76">
        <v>151475</v>
      </c>
      <c r="B76" t="s">
        <v>309</v>
      </c>
      <c r="C76" t="s">
        <v>1355</v>
      </c>
      <c r="D76" t="s">
        <v>1356</v>
      </c>
      <c r="E76">
        <v>1993</v>
      </c>
      <c r="G76" t="s">
        <v>3128</v>
      </c>
      <c r="H76" s="75" t="str">
        <f>HYPERLINK("https://scholar.google.com/scholar?hl=en&amp;as_q=&amp;as_oq=&amp;as_eq=&amp;as_sauthors=&amp;as_publication=&amp;as_ylo=&amp;as_yhi=&amp;as_occt=title&amp;as_sdt=0%2C5&amp;as_epq=%22Acute+and+Chronic+Toxicity+of+Fluoranthene%2C+with+and+Without+Additional+Ultraviolet+Light%2C+to+Twelve+Species", "Google Scholar")</f>
        <v>Google Scholar</v>
      </c>
    </row>
    <row r="77" spans="1:8" x14ac:dyDescent="0.35">
      <c r="A77">
        <v>12448</v>
      </c>
      <c r="B77" t="s">
        <v>286</v>
      </c>
      <c r="C77" t="s">
        <v>287</v>
      </c>
      <c r="D77" t="s">
        <v>288</v>
      </c>
      <c r="E77">
        <v>1984</v>
      </c>
      <c r="F77" t="s">
        <v>3129</v>
      </c>
      <c r="G77" t="s">
        <v>3130</v>
      </c>
      <c r="H77" s="76" t="str">
        <f>HYPERLINK("https://scholar.google.com/scholar?hl=en&amp;as_q=&amp;as_oq=&amp;as_eq=&amp;as_sauthors=&amp;as_publication=&amp;as_ylo=&amp;as_yhi=&amp;as_occt=title&amp;as_sdt=0%2C5&amp;as_epq=%22Acute+Toxicities+of+Organic+Chemicals+to+Fathead+Minnows+%28Pimephales+promelas%29%2C+Vol.+1", "Google Scholar")</f>
        <v>Google Scholar</v>
      </c>
    </row>
    <row r="78" spans="1:8" x14ac:dyDescent="0.35">
      <c r="A78">
        <v>61178</v>
      </c>
      <c r="B78" t="s">
        <v>2461</v>
      </c>
      <c r="C78" t="s">
        <v>2462</v>
      </c>
      <c r="D78" t="s">
        <v>2463</v>
      </c>
      <c r="E78">
        <v>1986</v>
      </c>
      <c r="G78" t="s">
        <v>3131</v>
      </c>
      <c r="H78" s="77" t="str">
        <f>HYPERLINK("https://scholar.google.com/scholar?hl=en&amp;as_q=&amp;as_oq=&amp;as_eq=&amp;as_sauthors=&amp;as_publication=&amp;as_ylo=&amp;as_yhi=&amp;as_occt=title&amp;as_sdt=0%2C5&amp;as_epq=%22Acute+Toxicity+of+Antimony+III+to+Several+Species+of+Freshwater+Organisms", "Google Scholar")</f>
        <v>Google Scholar</v>
      </c>
    </row>
    <row r="79" spans="1:8" x14ac:dyDescent="0.35">
      <c r="A79">
        <v>59761</v>
      </c>
      <c r="B79" t="s">
        <v>203</v>
      </c>
      <c r="C79" t="s">
        <v>204</v>
      </c>
      <c r="D79" t="s">
        <v>205</v>
      </c>
      <c r="E79">
        <v>1986</v>
      </c>
      <c r="G79" t="s">
        <v>3132</v>
      </c>
      <c r="H79" s="78" t="str">
        <f>HYPERLINK("https://scholar.google.com/scholar?hl=en&amp;as_q=&amp;as_oq=&amp;as_eq=&amp;as_sauthors=&amp;as_publication=&amp;as_ylo=&amp;as_yhi=&amp;as_occt=title&amp;as_sdt=0%2C5&amp;as_epq=%22Acute+Toxicity+and+Chronic+Effects+of+bis%28Tri-n-Butyltin%29+Oxide+to+Several+Species+of+Freshwater+Organisms", "Google Scholar")</f>
        <v>Google Scholar</v>
      </c>
    </row>
    <row r="80" spans="1:8" x14ac:dyDescent="0.35">
      <c r="A80">
        <v>20295</v>
      </c>
      <c r="B80" t="s">
        <v>2491</v>
      </c>
      <c r="C80" t="s">
        <v>2492</v>
      </c>
      <c r="D80" t="s">
        <v>2493</v>
      </c>
      <c r="E80">
        <v>1985</v>
      </c>
      <c r="G80" t="s">
        <v>3133</v>
      </c>
      <c r="H80" s="79" t="str">
        <f>HYPERLINK("https://scholar.google.com/scholar?hl=en&amp;as_q=&amp;as_oq=&amp;as_eq=&amp;as_sauthors=&amp;as_publication=&amp;as_ylo=&amp;as_yhi=&amp;as_occt=title&amp;as_sdt=0%2C5&amp;as_epq=%22Acute+Toxicity+of+Selenium%28IV%29+and+Selenium%28VI%29+to+Freshwater+Organisms", "Google Scholar")</f>
        <v>Google Scholar</v>
      </c>
    </row>
    <row r="81" spans="1:8" x14ac:dyDescent="0.35">
      <c r="A81">
        <v>4059</v>
      </c>
      <c r="B81" t="s">
        <v>373</v>
      </c>
      <c r="C81" t="s">
        <v>374</v>
      </c>
      <c r="D81" t="s">
        <v>375</v>
      </c>
      <c r="E81">
        <v>1982</v>
      </c>
      <c r="G81" t="s">
        <v>3134</v>
      </c>
      <c r="H81" s="80" t="str">
        <f>HYPERLINK("https://scholar.google.com/scholar?hl=en&amp;as_q=&amp;as_oq=&amp;as_eq=&amp;as_sauthors=&amp;as_publication=&amp;as_ylo=&amp;as_yhi=&amp;as_occt=title&amp;as_sdt=0%2C5&amp;as_epq=%22Toxic+Effects+on+Fish+of+Two+Dispersants+Used+to+Introduce+Organic+Pesticides+into+Water", "Google Scholar")</f>
        <v>Google Scholar</v>
      </c>
    </row>
    <row r="82" spans="1:8" x14ac:dyDescent="0.35">
      <c r="A82">
        <v>5077</v>
      </c>
      <c r="B82" t="s">
        <v>373</v>
      </c>
      <c r="C82" t="s">
        <v>2183</v>
      </c>
      <c r="D82" t="s">
        <v>2184</v>
      </c>
      <c r="E82">
        <v>1969</v>
      </c>
      <c r="G82" t="s">
        <v>3135</v>
      </c>
      <c r="H82" s="81" t="str">
        <f>HYPERLINK("https://scholar.google.com/scholar?hl=en&amp;as_q=&amp;as_oq=&amp;as_eq=&amp;as_sauthors=&amp;as_publication=&amp;as_ylo=&amp;as_yhi=&amp;as_occt=title&amp;as_sdt=0%2C5&amp;as_epq=%22Chronic+Toxicity+of+Zinc+to+the+Fathead+Minnow%2C+Pimephales+promelas+Rafinesque", "Google Scholar")</f>
        <v>Google Scholar</v>
      </c>
    </row>
    <row r="83" spans="1:8" x14ac:dyDescent="0.35">
      <c r="A83">
        <v>8320</v>
      </c>
      <c r="B83" t="s">
        <v>2015</v>
      </c>
      <c r="C83" t="s">
        <v>2016</v>
      </c>
      <c r="D83" t="s">
        <v>2017</v>
      </c>
      <c r="E83">
        <v>1976</v>
      </c>
      <c r="G83" t="s">
        <v>3136</v>
      </c>
      <c r="H83" s="82" t="str">
        <f>HYPERLINK("https://scholar.google.com/scholar?hl=en&amp;as_q=&amp;as_oq=&amp;as_eq=&amp;as_sauthors=&amp;as_publication=&amp;as_ylo=&amp;as_yhi=&amp;as_occt=title&amp;as_sdt=0%2C5&amp;as_epq=%22Acute+and+Chronic+Toxicity+of+Copper+to+the+Fathead+Minnow+in+a+Surface+Water+of+Variable+Quality", "Google Scholar")</f>
        <v>Google Scholar</v>
      </c>
    </row>
    <row r="84" spans="1:8" x14ac:dyDescent="0.35">
      <c r="A84">
        <v>2099</v>
      </c>
      <c r="B84" t="s">
        <v>445</v>
      </c>
      <c r="C84" t="s">
        <v>446</v>
      </c>
      <c r="D84" t="s">
        <v>447</v>
      </c>
      <c r="E84">
        <v>1966</v>
      </c>
      <c r="G84" t="s">
        <v>3137</v>
      </c>
      <c r="H84" s="83" t="str">
        <f>HYPERLINK("https://scholar.google.com/scholar?hl=en&amp;as_q=&amp;as_oq=&amp;as_eq=&amp;as_sauthors=&amp;as_publication=&amp;as_ylo=&amp;as_yhi=&amp;as_occt=title&amp;as_sdt=0%2C5&amp;as_epq=%22Influence+of+Suspended+Solids+on+the+Acute+Toxicity+of+Endrin+to+Fathead+Minnows", "Google Scholar")</f>
        <v>Google Scholar</v>
      </c>
    </row>
    <row r="85" spans="1:8" x14ac:dyDescent="0.35">
      <c r="A85">
        <v>2186</v>
      </c>
      <c r="B85" t="s">
        <v>1322</v>
      </c>
      <c r="C85" t="s">
        <v>1323</v>
      </c>
      <c r="D85" t="s">
        <v>1324</v>
      </c>
      <c r="E85">
        <v>1981</v>
      </c>
      <c r="G85" t="s">
        <v>3138</v>
      </c>
      <c r="H85" s="84" t="str">
        <f>HYPERLINK("https://scholar.google.com/scholar?hl=en&amp;as_q=&amp;as_oq=&amp;as_eq=&amp;as_sauthors=&amp;as_publication=&amp;as_ylo=&amp;as_yhi=&amp;as_occt=title&amp;as_sdt=0%2C5&amp;as_epq=%22Acute+and+Chronic+Effects+of+Kepone+and+Mirex+on+the+Fathead+Minnow", "Google Scholar")</f>
        <v>Google Scholar</v>
      </c>
    </row>
    <row r="86" spans="1:8" x14ac:dyDescent="0.35">
      <c r="A86">
        <v>77828</v>
      </c>
      <c r="B86" t="s">
        <v>2115</v>
      </c>
      <c r="C86" t="s">
        <v>2116</v>
      </c>
      <c r="D86" t="s">
        <v>2117</v>
      </c>
      <c r="E86">
        <v>2002</v>
      </c>
      <c r="G86" t="s">
        <v>3139</v>
      </c>
      <c r="H86" s="85" t="str">
        <f>HYPERLINK("https://scholar.google.com/scholar?hl=en&amp;as_q=&amp;as_oq=&amp;as_eq=&amp;as_sauthors=&amp;as_publication=&amp;as_ylo=&amp;as_yhi=&amp;as_occt=title&amp;as_sdt=0%2C5&amp;as_epq=%22The+Relative+Toxicity+of+Waterborne+Inorganic+Contaminants+to+the+Rio+Grande+Silvery+Minnow+%28Hybognathus+amaru", "Google Scholar")</f>
        <v>Google Scholar</v>
      </c>
    </row>
    <row r="87" spans="1:8" x14ac:dyDescent="0.35">
      <c r="A87">
        <v>17053</v>
      </c>
      <c r="B87" t="s">
        <v>181</v>
      </c>
      <c r="C87" t="s">
        <v>1194</v>
      </c>
      <c r="D87" t="s">
        <v>1195</v>
      </c>
      <c r="E87">
        <v>1994</v>
      </c>
      <c r="G87" t="s">
        <v>3140</v>
      </c>
      <c r="H87" s="86" t="str">
        <f>HYPERLINK("https://scholar.google.com/scholar?hl=en&amp;as_q=&amp;as_oq=&amp;as_eq=&amp;as_sauthors=&amp;as_publication=&amp;as_ylo=&amp;as_yhi=&amp;as_occt=title&amp;as_sdt=0%2C5&amp;as_epq=%22The+Acute+and+Chronic+Toxicity+of+Hexahydro-1%2C3%2C5-Trinitro-1%2C3%2C5-Triazine+%28RDX%29+to+the+Fathead+Minno", "Google Scholar")</f>
        <v>Google Scholar</v>
      </c>
    </row>
    <row r="88" spans="1:8" x14ac:dyDescent="0.35">
      <c r="A88">
        <v>17395</v>
      </c>
      <c r="B88" t="s">
        <v>181</v>
      </c>
      <c r="C88" t="s">
        <v>182</v>
      </c>
      <c r="D88" t="s">
        <v>183</v>
      </c>
      <c r="E88">
        <v>1993</v>
      </c>
      <c r="G88" t="s">
        <v>3141</v>
      </c>
      <c r="H88" s="87" t="str">
        <f>HYPERLINK("https://scholar.google.com/scholar?hl=en&amp;as_q=&amp;as_oq=&amp;as_eq=&amp;as_sauthors=&amp;as_publication=&amp;as_ylo=&amp;as_yhi=&amp;as_occt=title&amp;as_sdt=0%2C5&amp;as_epq=%22Toxicity+of+Nitroguanidine%2C+Nitroglycerin%2C+Hexahydro-1%2C3%2C5-Trinitro-1%2C3%2C5-Triazine+%28RDX%29%2C+and+", "Google Scholar")</f>
        <v>Google Scholar</v>
      </c>
    </row>
    <row r="89" spans="1:8" x14ac:dyDescent="0.35">
      <c r="A89">
        <v>19262</v>
      </c>
      <c r="B89" t="s">
        <v>2337</v>
      </c>
      <c r="C89" t="s">
        <v>2338</v>
      </c>
      <c r="D89" t="s">
        <v>2339</v>
      </c>
      <c r="E89">
        <v>1999</v>
      </c>
      <c r="G89" t="s">
        <v>3142</v>
      </c>
      <c r="H89" s="88" t="str">
        <f>HYPERLINK("https://scholar.google.com/scholar?hl=en&amp;as_q=&amp;as_oq=&amp;as_eq=&amp;as_sauthors=&amp;as_publication=&amp;as_ylo=&amp;as_yhi=&amp;as_occt=title&amp;as_sdt=0%2C5&amp;as_epq=%22Effects+of+Chloride%2C+Calcium%2C+and+Dissolved+Organic+Carbon+on+Silver+Toxicity%3A+Comparison+Between+Rainbow+", "Google Scholar")</f>
        <v>Google Scholar</v>
      </c>
    </row>
    <row r="90" spans="1:8" x14ac:dyDescent="0.35">
      <c r="A90">
        <v>15152</v>
      </c>
      <c r="B90" t="s">
        <v>559</v>
      </c>
      <c r="C90" t="s">
        <v>560</v>
      </c>
      <c r="D90" t="s">
        <v>561</v>
      </c>
      <c r="E90">
        <v>1982</v>
      </c>
      <c r="G90" t="s">
        <v>3143</v>
      </c>
      <c r="H90" s="89" t="str">
        <f>HYPERLINK("https://scholar.google.com/scholar?hl=en&amp;as_q=&amp;as_oq=&amp;as_eq=&amp;as_sauthors=&amp;as_publication=&amp;as_ylo=&amp;as_yhi=&amp;as_occt=title&amp;as_sdt=0%2C5&amp;as_epq=%22Toxicity+of+Acenaphthene+and+Isophorone+to+Early+Stages+of+Fathead+Minnows", "Google Scholar")</f>
        <v>Google Scholar</v>
      </c>
    </row>
    <row r="91" spans="1:8" x14ac:dyDescent="0.35">
      <c r="A91">
        <v>3690</v>
      </c>
      <c r="B91" t="s">
        <v>246</v>
      </c>
      <c r="C91" t="s">
        <v>247</v>
      </c>
      <c r="D91" t="s">
        <v>248</v>
      </c>
      <c r="E91">
        <v>1981</v>
      </c>
      <c r="G91" t="s">
        <v>3144</v>
      </c>
      <c r="H91" s="90" t="str">
        <f>HYPERLINK("https://scholar.google.com/scholar?hl=en&amp;as_q=&amp;as_oq=&amp;as_eq=&amp;as_sauthors=&amp;as_publication=&amp;as_ylo=&amp;as_yhi=&amp;as_occt=title&amp;as_sdt=0%2C5&amp;as_epq=%22Aquatic+Pollutant+Hazard+Assessments+and+Development+of+a+Hazard+Prediction+Technology+by+Quantitative+Structure", "Google Scholar")</f>
        <v>Google Scholar</v>
      </c>
    </row>
    <row r="92" spans="1:8" x14ac:dyDescent="0.35">
      <c r="A92">
        <v>3771</v>
      </c>
      <c r="B92" t="s">
        <v>246</v>
      </c>
      <c r="C92" t="s">
        <v>247</v>
      </c>
      <c r="D92" t="s">
        <v>608</v>
      </c>
      <c r="E92">
        <v>1981</v>
      </c>
      <c r="G92" t="s">
        <v>3145</v>
      </c>
      <c r="H92" s="91" t="str">
        <f>HYPERLINK("https://scholar.google.com/scholar?hl=en&amp;as_q=&amp;as_oq=&amp;as_eq=&amp;as_sauthors=&amp;as_publication=&amp;as_ylo=&amp;as_yhi=&amp;as_occt=title&amp;as_sdt=0%2C5&amp;as_epq=%22Aquatic+Pollutant+Hazard+Assessments+and+Development+of+a+Hazard+Prediction+Technology+by+Quantitative+Structure", "Google Scholar")</f>
        <v>Google Scholar</v>
      </c>
    </row>
    <row r="93" spans="1:8" x14ac:dyDescent="0.35">
      <c r="A93">
        <v>10579</v>
      </c>
      <c r="B93" t="s">
        <v>367</v>
      </c>
      <c r="C93" t="s">
        <v>368</v>
      </c>
      <c r="D93" t="s">
        <v>369</v>
      </c>
      <c r="E93">
        <v>1983</v>
      </c>
      <c r="G93" t="s">
        <v>3146</v>
      </c>
      <c r="H93" s="92" t="str">
        <f>HYPERLINK("https://scholar.google.com/scholar?hl=en&amp;as_q=&amp;as_oq=&amp;as_eq=&amp;as_sauthors=&amp;as_publication=&amp;as_ylo=&amp;as_yhi=&amp;as_occt=title&amp;as_sdt=0%2C5&amp;as_epq=%22Toxicity+and+Metabolism+Studies+with+EPA+%28Environmental+Protection+Agency%29+Priority+Pollutants+and+Related+C", "Google Scholar")</f>
        <v>Google Scholar</v>
      </c>
    </row>
    <row r="94" spans="1:8" x14ac:dyDescent="0.35">
      <c r="A94">
        <v>15275</v>
      </c>
      <c r="B94" t="s">
        <v>1597</v>
      </c>
      <c r="C94" t="s">
        <v>1598</v>
      </c>
      <c r="D94" t="s">
        <v>1599</v>
      </c>
      <c r="E94">
        <v>1983</v>
      </c>
      <c r="G94" t="s">
        <v>3147</v>
      </c>
      <c r="H94" s="93" t="str">
        <f>HYPERLINK("https://scholar.google.com/scholar?hl=en&amp;as_q=&amp;as_oq=&amp;as_eq=&amp;as_sauthors=&amp;as_publication=&amp;as_ylo=&amp;as_yhi=&amp;as_occt=title&amp;as_sdt=0%2C5&amp;as_epq=%22Toxicity%2C+Bioconcentration%2C+and+Metabolism+of+the+Herbicide+Propanil+%283%27%2C4%27-Dichloropropionanilide%2", "Google Scholar")</f>
        <v>Google Scholar</v>
      </c>
    </row>
    <row r="95" spans="1:8" x14ac:dyDescent="0.35">
      <c r="A95">
        <v>12612</v>
      </c>
      <c r="B95" t="s">
        <v>1402</v>
      </c>
      <c r="C95" t="s">
        <v>1403</v>
      </c>
      <c r="D95" t="s">
        <v>1404</v>
      </c>
      <c r="E95">
        <v>1987</v>
      </c>
      <c r="G95" t="s">
        <v>3148</v>
      </c>
      <c r="H95" s="94" t="str">
        <f>HYPERLINK("https://scholar.google.com/scholar?hl=en&amp;as_q=&amp;as_oq=&amp;as_eq=&amp;as_sauthors=&amp;as_publication=&amp;as_ylo=&amp;as_yhi=&amp;as_occt=title&amp;as_sdt=0%2C5&amp;as_epq=%22Bromacil+and+Diuron+Herbicides%3A+Toxicity%2C+Uptake%2C+and+Elimination+in+Freshwater+Fish", "Google Scholar")</f>
        <v>Google Scholar</v>
      </c>
    </row>
    <row r="96" spans="1:8" x14ac:dyDescent="0.35">
      <c r="A96">
        <v>10635</v>
      </c>
      <c r="B96" t="s">
        <v>730</v>
      </c>
      <c r="C96" t="s">
        <v>731</v>
      </c>
      <c r="D96" t="s">
        <v>732</v>
      </c>
      <c r="E96">
        <v>1984</v>
      </c>
      <c r="G96" t="s">
        <v>3149</v>
      </c>
      <c r="H96" s="95" t="str">
        <f>HYPERLINK("https://scholar.google.com/scholar?hl=en&amp;as_q=&amp;as_oq=&amp;as_eq=&amp;as_sauthors=&amp;as_publication=&amp;as_ylo=&amp;as_yhi=&amp;as_occt=title&amp;as_sdt=0%2C5&amp;as_epq=%22Toxicity%2C+Uptake%2C+and+Elimination+of+the+Herbicides+Alachlor+and+Dinoseb+in+Freshwater+Fish", "Google Scholar")</f>
        <v>Google Scholar</v>
      </c>
    </row>
    <row r="97" spans="1:8" x14ac:dyDescent="0.35">
      <c r="A97">
        <v>4154</v>
      </c>
      <c r="B97" t="s">
        <v>138</v>
      </c>
      <c r="C97" t="s">
        <v>356</v>
      </c>
      <c r="D97" t="s">
        <v>357</v>
      </c>
      <c r="E97">
        <v>1981</v>
      </c>
      <c r="G97" t="s">
        <v>3150</v>
      </c>
      <c r="H97" s="96" t="str">
        <f>HYPERLINK("https://scholar.google.com/scholar?hl=en&amp;as_q=&amp;as_oq=&amp;as_eq=&amp;as_sauthors=&amp;as_publication=&amp;as_ylo=&amp;as_yhi=&amp;as_occt=title&amp;as_sdt=0%2C5&amp;as_epq=%22Estimates+of+%22No+Effect%22+Concentrations+of+Selected+Pesticides+in+Freshwater+Organisms", "Google Scholar")</f>
        <v>Google Scholar</v>
      </c>
    </row>
    <row r="98" spans="1:8" x14ac:dyDescent="0.35">
      <c r="A98">
        <v>5940</v>
      </c>
      <c r="B98" t="s">
        <v>138</v>
      </c>
      <c r="C98" t="s">
        <v>356</v>
      </c>
      <c r="D98" t="s">
        <v>1498</v>
      </c>
      <c r="E98">
        <v>1980</v>
      </c>
      <c r="G98" t="s">
        <v>3151</v>
      </c>
      <c r="H98" s="97" t="str">
        <f>HYPERLINK("https://scholar.google.com/scholar?hl=en&amp;as_q=&amp;as_oq=&amp;as_eq=&amp;as_sauthors=&amp;as_publication=&amp;as_ylo=&amp;as_yhi=&amp;as_occt=title&amp;as_sdt=0%2C5&amp;as_epq=%22Estimates+of+%22No+Effect%22+Concentrations+of+Selected+Pesticides+in+Freshwater+Organisms", "Google Scholar")</f>
        <v>Google Scholar</v>
      </c>
    </row>
    <row r="99" spans="1:8" x14ac:dyDescent="0.35">
      <c r="A99">
        <v>120926</v>
      </c>
      <c r="B99" t="s">
        <v>138</v>
      </c>
      <c r="C99" t="s">
        <v>139</v>
      </c>
      <c r="D99" t="s">
        <v>140</v>
      </c>
      <c r="E99">
        <v>1980</v>
      </c>
      <c r="G99" t="s">
        <v>3152</v>
      </c>
      <c r="H99" s="98" t="str">
        <f>HYPERLINK("https://scholar.google.com/scholar?hl=en&amp;as_q=&amp;as_oq=&amp;as_eq=&amp;as_sauthors=&amp;as_publication=&amp;as_ylo=&amp;as_yhi=&amp;as_occt=title&amp;as_sdt=0%2C5&amp;as_epq=%22Toxicity%2C+Bioconcentration%2C+and+Metabolism+of+Selected+Chemicals+in+Aquatic+Organisms", "Google Scholar")</f>
        <v>Google Scholar</v>
      </c>
    </row>
    <row r="100" spans="1:8" x14ac:dyDescent="0.35">
      <c r="A100">
        <v>120927</v>
      </c>
      <c r="B100" t="s">
        <v>138</v>
      </c>
      <c r="C100" t="s">
        <v>356</v>
      </c>
      <c r="D100" t="s">
        <v>573</v>
      </c>
      <c r="E100">
        <v>1980</v>
      </c>
      <c r="G100" t="s">
        <v>3153</v>
      </c>
      <c r="H100" s="99" t="str">
        <f>HYPERLINK("https://scholar.google.com/scholar?hl=en&amp;as_q=&amp;as_oq=&amp;as_eq=&amp;as_sauthors=&amp;as_publication=&amp;as_ylo=&amp;as_yhi=&amp;as_occt=title&amp;as_sdt=0%2C5&amp;as_epq=%22Estimates+of+%22No+Effect%22+Concentrations+of+Selected+Pesticides+in+Freshwater+Organisms", "Google Scholar")</f>
        <v>Google Scholar</v>
      </c>
    </row>
    <row r="101" spans="1:8" x14ac:dyDescent="0.35">
      <c r="A101">
        <v>14097</v>
      </c>
      <c r="B101" t="s">
        <v>120</v>
      </c>
      <c r="C101" t="s">
        <v>121</v>
      </c>
      <c r="D101" t="s">
        <v>122</v>
      </c>
      <c r="E101">
        <v>1989</v>
      </c>
      <c r="G101" t="s">
        <v>3154</v>
      </c>
      <c r="H101" s="100" t="str">
        <f>HYPERLINK("https://scholar.google.com/scholar?hl=en&amp;as_q=&amp;as_oq=&amp;as_eq=&amp;as_sauthors=&amp;as_publication=&amp;as_ylo=&amp;as_yhi=&amp;as_occt=title&amp;as_sdt=0%2C5&amp;as_epq=%22Toxicity+of+Selected+Uncoupling+and+Acetylcholinesterase-Inhibiting+Pesticides+to+the+Fathead+Minnow+%28Pimephal", "Google Scholar")</f>
        <v>Google Scholar</v>
      </c>
    </row>
    <row r="102" spans="1:8" x14ac:dyDescent="0.35">
      <c r="A102">
        <v>12122</v>
      </c>
      <c r="B102" t="s">
        <v>830</v>
      </c>
      <c r="C102" t="s">
        <v>831</v>
      </c>
      <c r="D102" t="s">
        <v>832</v>
      </c>
      <c r="E102">
        <v>1987</v>
      </c>
      <c r="F102" t="s">
        <v>3069</v>
      </c>
      <c r="G102" t="s">
        <v>3155</v>
      </c>
      <c r="H102" s="101" t="str">
        <f>HYPERLINK("https://scholar.google.com/scholar?hl=en&amp;as_q=&amp;as_oq=&amp;as_eq=&amp;as_sauthors=&amp;as_publication=&amp;as_ylo=&amp;as_yhi=&amp;as_occt=title&amp;as_sdt=0%2C5&amp;as_epq=%22Toxicity+of+3%2C4-Dichloroaniline+to+Fathead+Minnows%2C+Pimephales+promelas%2C+in+Acute+and+Early+Life-Stage+Exp", "Google Scholar")</f>
        <v>Google Scholar</v>
      </c>
    </row>
    <row r="103" spans="1:8" x14ac:dyDescent="0.35">
      <c r="A103">
        <v>838</v>
      </c>
      <c r="B103" t="s">
        <v>376</v>
      </c>
      <c r="C103" t="s">
        <v>1255</v>
      </c>
      <c r="D103" t="s">
        <v>1256</v>
      </c>
      <c r="E103">
        <v>1976</v>
      </c>
      <c r="G103" t="s">
        <v>3156</v>
      </c>
      <c r="H103" s="102" t="str">
        <f>HYPERLINK("https://scholar.google.com/scholar?hl=en&amp;as_q=&amp;as_oq=&amp;as_eq=&amp;as_sauthors=&amp;as_publication=&amp;as_ylo=&amp;as_yhi=&amp;as_occt=title&amp;as_sdt=0%2C5&amp;as_epq=%22Acute+Toxicity+of+Selected+Toxicants+to+Six+Species+of+Fish", "Google Scholar")</f>
        <v>Google Scholar</v>
      </c>
    </row>
    <row r="104" spans="1:8" x14ac:dyDescent="0.35">
      <c r="A104">
        <v>989</v>
      </c>
      <c r="B104" t="s">
        <v>376</v>
      </c>
      <c r="C104" t="s">
        <v>2644</v>
      </c>
      <c r="D104" t="s">
        <v>2645</v>
      </c>
      <c r="E104">
        <v>1977</v>
      </c>
      <c r="G104" t="s">
        <v>3157</v>
      </c>
      <c r="H104" s="103" t="str">
        <f>HYPERLINK("https://scholar.google.com/scholar?hl=en&amp;as_q=&amp;as_oq=&amp;as_eq=&amp;as_sauthors=&amp;as_publication=&amp;as_ylo=&amp;as_yhi=&amp;as_occt=title&amp;as_sdt=0%2C5&amp;as_epq=%22Acute+and+Chronic+Toxicity+of+Chlordane+to+Fish+and+Invertebrates", "Google Scholar")</f>
        <v>Google Scholar</v>
      </c>
    </row>
    <row r="105" spans="1:8" x14ac:dyDescent="0.35">
      <c r="A105">
        <v>2149</v>
      </c>
      <c r="B105" t="s">
        <v>376</v>
      </c>
      <c r="C105" t="s">
        <v>2070</v>
      </c>
      <c r="D105" t="s">
        <v>2071</v>
      </c>
      <c r="E105">
        <v>1976</v>
      </c>
      <c r="G105" t="s">
        <v>3158</v>
      </c>
      <c r="H105" s="104" t="str">
        <f>HYPERLINK("https://scholar.google.com/scholar?hl=en&amp;as_q=&amp;as_oq=&amp;as_eq=&amp;as_sauthors=&amp;as_publication=&amp;as_ylo=&amp;as_yhi=&amp;as_occt=title&amp;as_sdt=0%2C5&amp;as_epq=%22Acute+Toxicity+of+Selenium+Dioxide+to+Freshwater+Fishes", "Google Scholar")</f>
        <v>Google Scholar</v>
      </c>
    </row>
    <row r="106" spans="1:8" x14ac:dyDescent="0.35">
      <c r="A106">
        <v>2470</v>
      </c>
      <c r="B106" t="s">
        <v>376</v>
      </c>
      <c r="C106" t="s">
        <v>377</v>
      </c>
      <c r="D106" t="s">
        <v>378</v>
      </c>
      <c r="E106">
        <v>1978</v>
      </c>
      <c r="G106" t="s">
        <v>3159</v>
      </c>
      <c r="H106" s="105" t="str">
        <f>HYPERLINK("https://scholar.google.com/scholar?hl=en&amp;as_q=&amp;as_oq=&amp;as_eq=&amp;as_sauthors=&amp;as_publication=&amp;as_ylo=&amp;as_yhi=&amp;as_occt=title&amp;as_sdt=0%2C5&amp;as_epq=%22Acute+and+Chronic+Toxicity+of+Four+Organic+Chemicals+to+Fish", "Google Scholar")</f>
        <v>Google Scholar</v>
      </c>
    </row>
    <row r="107" spans="1:8" x14ac:dyDescent="0.35">
      <c r="A107">
        <v>5073</v>
      </c>
      <c r="B107" t="s">
        <v>321</v>
      </c>
      <c r="C107" t="s">
        <v>322</v>
      </c>
      <c r="D107" t="s">
        <v>323</v>
      </c>
      <c r="E107">
        <v>1972</v>
      </c>
      <c r="G107" t="s">
        <v>3160</v>
      </c>
      <c r="H107" s="106" t="str">
        <f>HYPERLINK("https://scholar.google.com/scholar?hl=en&amp;as_q=&amp;as_oq=&amp;as_eq=&amp;as_sauthors=&amp;as_publication=&amp;as_ylo=&amp;as_yhi=&amp;as_occt=title&amp;as_sdt=0%2C5&amp;as_epq=%22Effects+of+Long-Term+Exposure+to+Carbaryl+%28Sevin%29+on+Survival%2C+Growth%2C+and+Reproduction+of+the+Fathead+M", "Google Scholar")</f>
        <v>Google Scholar</v>
      </c>
    </row>
    <row r="108" spans="1:8" x14ac:dyDescent="0.35">
      <c r="A108">
        <v>12123</v>
      </c>
      <c r="B108" t="s">
        <v>321</v>
      </c>
      <c r="C108" t="s">
        <v>1175</v>
      </c>
      <c r="D108" t="s">
        <v>1176</v>
      </c>
      <c r="E108">
        <v>1987</v>
      </c>
      <c r="G108" t="s">
        <v>3161</v>
      </c>
      <c r="H108" s="107" t="str">
        <f>HYPERLINK("https://scholar.google.com/scholar?hl=en&amp;as_q=&amp;as_oq=&amp;as_eq=&amp;as_sauthors=&amp;as_publication=&amp;as_ylo=&amp;as_yhi=&amp;as_occt=title&amp;as_sdt=0%2C5&amp;as_epq=%22Effects+of+Lowered+Dissolved+Oxygen+Concentration+on+the+Toxicity+of+1%2C2%2C4-Trichlorobenzene+to+Fathead+Minno", "Google Scholar")</f>
        <v>Google Scholar</v>
      </c>
    </row>
    <row r="109" spans="1:8" x14ac:dyDescent="0.35">
      <c r="A109">
        <v>2124</v>
      </c>
      <c r="B109" t="s">
        <v>1691</v>
      </c>
      <c r="C109" t="s">
        <v>2134</v>
      </c>
      <c r="D109" t="s">
        <v>2135</v>
      </c>
      <c r="E109">
        <v>1986</v>
      </c>
      <c r="G109" t="s">
        <v>3162</v>
      </c>
      <c r="H109" s="108" t="str">
        <f>HYPERLINK("https://scholar.google.com/scholar?hl=en&amp;as_q=&amp;as_oq=&amp;as_eq=&amp;as_sauthors=&amp;as_publication=&amp;as_ylo=&amp;as_yhi=&amp;as_occt=title&amp;as_sdt=0%2C5&amp;as_epq=%22Evaluation+of+Site-Specific+Criteria+for+Copper+and+Zinc%3A+An+Integration+of+Metal+Addition+Toxicity%2C+Effluen", "Google Scholar")</f>
        <v>Google Scholar</v>
      </c>
    </row>
    <row r="110" spans="1:8" x14ac:dyDescent="0.35">
      <c r="A110">
        <v>12161</v>
      </c>
      <c r="B110" t="s">
        <v>1691</v>
      </c>
      <c r="C110" t="s">
        <v>1692</v>
      </c>
      <c r="D110" t="s">
        <v>1693</v>
      </c>
      <c r="E110">
        <v>1986</v>
      </c>
      <c r="G110" t="s">
        <v>3163</v>
      </c>
      <c r="H110" s="109" t="str">
        <f>HYPERLINK("https://scholar.google.com/scholar?hl=en&amp;as_q=&amp;as_oq=&amp;as_eq=&amp;as_sauthors=&amp;as_publication=&amp;as_ylo=&amp;as_yhi=&amp;as_occt=title&amp;as_sdt=0%2C5&amp;as_epq=%22Development+and+Validation+of+Site-Specific+Water+Quality+Criteria+for+Copper", "Google Scholar")</f>
        <v>Google Scholar</v>
      </c>
    </row>
    <row r="111" spans="1:8" x14ac:dyDescent="0.35">
      <c r="A111">
        <v>12124</v>
      </c>
      <c r="B111" t="s">
        <v>958</v>
      </c>
      <c r="C111" t="s">
        <v>959</v>
      </c>
      <c r="D111" t="s">
        <v>960</v>
      </c>
      <c r="E111">
        <v>1987</v>
      </c>
      <c r="F111" t="s">
        <v>3069</v>
      </c>
      <c r="G111" t="s">
        <v>3164</v>
      </c>
      <c r="H111" s="110" t="str">
        <f>HYPERLINK("https://scholar.google.com/scholar?hl=en&amp;as_q=&amp;as_oq=&amp;as_eq=&amp;as_sauthors=&amp;as_publication=&amp;as_ylo=&amp;as_yhi=&amp;as_occt=title&amp;as_sdt=0%2C5&amp;as_epq=%22Toxicity+of+Chlorinated+Benzenes+to+Fathead+Minnows+%28Pimephales+promelas%29", "Google Scholar")</f>
        <v>Google Scholar</v>
      </c>
    </row>
    <row r="112" spans="1:8" x14ac:dyDescent="0.35">
      <c r="A112">
        <v>3318</v>
      </c>
      <c r="B112" t="s">
        <v>2056</v>
      </c>
      <c r="C112" t="s">
        <v>2057</v>
      </c>
      <c r="D112" t="s">
        <v>2058</v>
      </c>
      <c r="E112">
        <v>1985</v>
      </c>
      <c r="G112" t="s">
        <v>3165</v>
      </c>
      <c r="H112" s="111" t="str">
        <f>HYPERLINK("https://scholar.google.com/scholar?hl=en&amp;as_q=&amp;as_oq=&amp;as_eq=&amp;as_sauthors=&amp;as_publication=&amp;as_ylo=&amp;as_yhi=&amp;as_occt=title&amp;as_sdt=0%2C5&amp;as_epq=%22Site-Specific+Water+Quality+Studies+of+the+Straight+River%2C+Minnesota%3A+Complex+Effluent+Toxicity%2C+Zinc+Toxi", "Google Scholar")</f>
        <v>Google Scholar</v>
      </c>
    </row>
    <row r="113" spans="1:8" x14ac:dyDescent="0.35">
      <c r="A113">
        <v>6156</v>
      </c>
      <c r="B113" t="s">
        <v>2505</v>
      </c>
      <c r="C113" t="s">
        <v>2506</v>
      </c>
      <c r="D113" t="s">
        <v>2507</v>
      </c>
      <c r="E113">
        <v>1988</v>
      </c>
      <c r="G113" t="s">
        <v>3166</v>
      </c>
      <c r="H113" s="112" t="str">
        <f>HYPERLINK("https://scholar.google.com/scholar?hl=en&amp;as_q=&amp;as_oq=&amp;as_eq=&amp;as_sauthors=&amp;as_publication=&amp;as_ylo=&amp;as_yhi=&amp;as_occt=title&amp;as_sdt=0%2C5&amp;as_epq=%22Reduction+in+Thermal+Tolerance+of+Notropis+lutrensis+and+Pimephales+promelas+Exposed+to+Cadmium", "Google Scholar")</f>
        <v>Google Scholar</v>
      </c>
    </row>
    <row r="114" spans="1:8" x14ac:dyDescent="0.35">
      <c r="A114">
        <v>180491</v>
      </c>
      <c r="B114" t="s">
        <v>633</v>
      </c>
      <c r="C114" t="s">
        <v>634</v>
      </c>
      <c r="D114" t="s">
        <v>635</v>
      </c>
      <c r="E114">
        <v>2000</v>
      </c>
      <c r="G114" t="s">
        <v>3167</v>
      </c>
      <c r="H114" s="113" t="str">
        <f>HYPERLINK("https://scholar.google.com/scholar?hl=en&amp;as_q=&amp;as_oq=&amp;as_eq=&amp;as_sauthors=&amp;as_publication=&amp;as_ylo=&amp;as_yhi=&amp;as_occt=title&amp;as_sdt=0%2C5&amp;as_epq=%22Exhibit+III%3A+Acute+Toxicity+of+Fourteen+Phthalate+Esters+to+Fathead+Minnows+%28Pimephales+promelas%29", "Google Scholar")</f>
        <v>Google Scholar</v>
      </c>
    </row>
    <row r="115" spans="1:8" x14ac:dyDescent="0.35">
      <c r="A115">
        <v>15155</v>
      </c>
      <c r="B115" t="s">
        <v>695</v>
      </c>
      <c r="C115" t="s">
        <v>696</v>
      </c>
      <c r="D115" t="s">
        <v>697</v>
      </c>
      <c r="E115">
        <v>1982</v>
      </c>
      <c r="G115" t="s">
        <v>3168</v>
      </c>
      <c r="H115" s="114" t="str">
        <f>HYPERLINK("https://scholar.google.com/scholar?hl=en&amp;as_q=&amp;as_oq=&amp;as_eq=&amp;as_sauthors=&amp;as_publication=&amp;as_ylo=&amp;as_yhi=&amp;as_occt=title&amp;as_sdt=0%2C5&amp;as_epq=%22Toxicity+of+Three+Preparations+of+Pentachlorophenol+to+Fathead+Minnows+-+a+Comparative+Study", "Google Scholar")</f>
        <v>Google Scholar</v>
      </c>
    </row>
    <row r="116" spans="1:8" x14ac:dyDescent="0.35">
      <c r="A116">
        <v>11702</v>
      </c>
      <c r="B116" t="s">
        <v>2907</v>
      </c>
      <c r="C116" t="s">
        <v>2908</v>
      </c>
      <c r="D116" t="s">
        <v>2909</v>
      </c>
      <c r="E116">
        <v>1986</v>
      </c>
      <c r="G116" t="s">
        <v>3169</v>
      </c>
      <c r="H116" s="115" t="str">
        <f>HYPERLINK("https://scholar.google.com/scholar?hl=en&amp;as_q=&amp;as_oq=&amp;as_eq=&amp;as_sauthors=&amp;as_publication=&amp;as_ylo=&amp;as_yhi=&amp;as_occt=title&amp;as_sdt=0%2C5&amp;as_epq=%22Toxicity+of+Five+Alkyl-Aryl+Phosphate+Ester+Chemicals+to+Four+Species+of+Freshwater+Fish", "Google Scholar")</f>
        <v>Google Scholar</v>
      </c>
    </row>
    <row r="117" spans="1:8" x14ac:dyDescent="0.35">
      <c r="A117">
        <v>2082</v>
      </c>
      <c r="B117" t="s">
        <v>618</v>
      </c>
      <c r="C117" t="s">
        <v>619</v>
      </c>
      <c r="D117" t="s">
        <v>620</v>
      </c>
      <c r="E117">
        <v>1960</v>
      </c>
      <c r="G117" t="s">
        <v>3170</v>
      </c>
      <c r="H117" s="116" t="str">
        <f>HYPERLINK("https://scholar.google.com/scholar?hl=en&amp;as_q=&amp;as_oq=&amp;as_eq=&amp;as_sauthors=&amp;as_publication=&amp;as_ylo=&amp;as_yhi=&amp;as_occt=title&amp;as_sdt=0%2C5&amp;as_epq=%22Effect+of+Fish+Poisons+on+Water+Supplies.++Part+1.++Removal+of+Toxic+Materials", "Google Scholar")</f>
        <v>Google Scholar</v>
      </c>
    </row>
    <row r="118" spans="1:8" x14ac:dyDescent="0.35">
      <c r="A118">
        <v>10117</v>
      </c>
      <c r="B118" t="s">
        <v>481</v>
      </c>
      <c r="C118" t="s">
        <v>482</v>
      </c>
      <c r="D118" t="s">
        <v>483</v>
      </c>
      <c r="E118">
        <v>1983</v>
      </c>
      <c r="G118" t="s">
        <v>3171</v>
      </c>
      <c r="H118" s="117" t="str">
        <f>HYPERLINK("https://scholar.google.com/scholar?hl=en&amp;as_q=&amp;as_oq=&amp;as_eq=&amp;as_sauthors=&amp;as_publication=&amp;as_ylo=&amp;as_yhi=&amp;as_occt=title&amp;as_sdt=0%2C5&amp;as_epq=%22Environmental+Fate+and+Effects+of+Ethylene+Oxide", "Google Scholar")</f>
        <v>Google Scholar</v>
      </c>
    </row>
    <row r="119" spans="1:8" x14ac:dyDescent="0.35">
      <c r="A119">
        <v>48385</v>
      </c>
      <c r="B119" t="s">
        <v>231</v>
      </c>
      <c r="C119" t="s">
        <v>232</v>
      </c>
      <c r="D119" t="s">
        <v>233</v>
      </c>
      <c r="E119">
        <v>2000</v>
      </c>
      <c r="G119" t="s">
        <v>3172</v>
      </c>
      <c r="H119" s="118" t="str">
        <f>HYPERLINK("https://scholar.google.com/scholar?hl=en&amp;as_q=&amp;as_oq=&amp;as_eq=&amp;as_sauthors=&amp;as_publication=&amp;as_ylo=&amp;as_yhi=&amp;as_occt=title&amp;as_sdt=0%2C5&amp;as_epq=%22Comparative+Measures+of+the+Toxicity+of+Component+Chemicals+in+Aircraft+Deicing+Fluid", "Google Scholar")</f>
        <v>Google Scholar</v>
      </c>
    </row>
    <row r="120" spans="1:8" x14ac:dyDescent="0.35">
      <c r="A120">
        <v>177136</v>
      </c>
      <c r="B120" t="s">
        <v>496</v>
      </c>
      <c r="C120" t="s">
        <v>497</v>
      </c>
      <c r="D120" t="s">
        <v>498</v>
      </c>
      <c r="E120">
        <v>2017</v>
      </c>
      <c r="G120" t="s">
        <v>3173</v>
      </c>
      <c r="H120" s="119" t="str">
        <f>HYPERLINK("https://scholar.google.com/scholar?hl=en&amp;as_q=&amp;as_oq=&amp;as_eq=&amp;as_sauthors=&amp;as_publication=&amp;as_ylo=&amp;as_yhi=&amp;as_occt=title&amp;as_sdt=0%2C5&amp;as_epq=%22Toward+the+Design+of+Less+Hazardous+Chemicals%3A+Exploring+Comparative+Oxidative+Stress+in+Two+Common+Animal+Mod", "Google Scholar")</f>
        <v>Google Scholar</v>
      </c>
    </row>
    <row r="121" spans="1:8" x14ac:dyDescent="0.35">
      <c r="A121">
        <v>115482</v>
      </c>
      <c r="B121" t="s">
        <v>1225</v>
      </c>
      <c r="C121" t="s">
        <v>1226</v>
      </c>
      <c r="D121" t="s">
        <v>1227</v>
      </c>
      <c r="E121">
        <v>2009</v>
      </c>
      <c r="G121" t="s">
        <v>3174</v>
      </c>
      <c r="H121" s="120" t="str">
        <f>HYPERLINK("https://scholar.google.com/scholar?hl=en&amp;as_q=&amp;as_oq=&amp;as_eq=&amp;as_sauthors=&amp;as_publication=&amp;as_ylo=&amp;as_yhi=&amp;as_occt=title&amp;as_sdt=0%2C5&amp;as_epq=%22Aquatic+Toxicity+of+Airfield-Pavement+Deicer+Materials+and+Implications+for+Airport+Runoff", "Google Scholar")</f>
        <v>Google Scholar</v>
      </c>
    </row>
    <row r="122" spans="1:8" x14ac:dyDescent="0.35">
      <c r="A122">
        <v>2966</v>
      </c>
      <c r="B122" t="s">
        <v>304</v>
      </c>
      <c r="C122" t="s">
        <v>305</v>
      </c>
      <c r="D122" t="s">
        <v>306</v>
      </c>
      <c r="E122">
        <v>1981</v>
      </c>
      <c r="G122" t="s">
        <v>3175</v>
      </c>
      <c r="H122" s="121" t="str">
        <f>HYPERLINK("https://scholar.google.com/scholar?hl=en&amp;as_q=&amp;as_oq=&amp;as_eq=&amp;as_sauthors=&amp;as_publication=&amp;as_ylo=&amp;as_yhi=&amp;as_occt=title&amp;as_sdt=0%2C5&amp;as_epq=%22Aquatic+Toxicity+Testing+As+Fundament+for+a+Spill+Prevention+Program", "Google Scholar")</f>
        <v>Google Scholar</v>
      </c>
    </row>
    <row r="123" spans="1:8" x14ac:dyDescent="0.35">
      <c r="A123">
        <v>875</v>
      </c>
      <c r="B123" t="s">
        <v>818</v>
      </c>
      <c r="C123" t="s">
        <v>819</v>
      </c>
      <c r="D123" t="s">
        <v>820</v>
      </c>
      <c r="E123">
        <v>1979</v>
      </c>
      <c r="G123" t="s">
        <v>3176</v>
      </c>
      <c r="H123" s="122" t="str">
        <f>HYPERLINK("https://scholar.google.com/scholar?hl=en&amp;as_q=&amp;as_oq=&amp;as_eq=&amp;as_sauthors=&amp;as_publication=&amp;as_ylo=&amp;as_yhi=&amp;as_occt=title&amp;as_sdt=0%2C5&amp;as_epq=%22Acute+Toxicity+of+12+Industrial+Chemicals+to+Freshwater+and+Saltwater+Organisms", "Google Scholar")</f>
        <v>Google Scholar</v>
      </c>
    </row>
    <row r="124" spans="1:8" x14ac:dyDescent="0.35">
      <c r="A124">
        <v>5735</v>
      </c>
      <c r="B124" t="s">
        <v>818</v>
      </c>
      <c r="C124" t="s">
        <v>821</v>
      </c>
      <c r="D124" t="s">
        <v>822</v>
      </c>
      <c r="E124">
        <v>1978</v>
      </c>
      <c r="G124" t="s">
        <v>3177</v>
      </c>
      <c r="H124" s="123" t="str">
        <f>HYPERLINK("https://scholar.google.com/scholar?hl=en&amp;as_q=&amp;as_oq=&amp;as_eq=&amp;as_sauthors=&amp;as_publication=&amp;as_ylo=&amp;as_yhi=&amp;as_occt=title&amp;as_sdt=0%2C5&amp;as_epq=%22Aquatic+Toxicity+of+Substances+Proposed+for+Spill+Prevention+Regulation", "Google Scholar")</f>
        <v>Google Scholar</v>
      </c>
    </row>
    <row r="125" spans="1:8" x14ac:dyDescent="0.35">
      <c r="A125">
        <v>2965</v>
      </c>
      <c r="B125" t="s">
        <v>268</v>
      </c>
      <c r="C125" t="s">
        <v>269</v>
      </c>
      <c r="D125" t="s">
        <v>270</v>
      </c>
      <c r="E125">
        <v>1981</v>
      </c>
      <c r="G125" t="s">
        <v>3178</v>
      </c>
      <c r="H125" s="124" t="str">
        <f>HYPERLINK("https://scholar.google.com/scholar?hl=en&amp;as_q=&amp;as_oq=&amp;as_eq=&amp;as_sauthors=&amp;as_publication=&amp;as_ylo=&amp;as_yhi=&amp;as_occt=title&amp;as_sdt=0%2C5&amp;as_epq=%22Aquatic+Toxicity+of+Forty+Industrial+Chemicals%3A+Testing+in+Support+of+Hazardous+Substance+Spill+Prevention+Reg", "Google Scholar")</f>
        <v>Google Scholar</v>
      </c>
    </row>
    <row r="126" spans="1:8" x14ac:dyDescent="0.35">
      <c r="A126">
        <v>18326</v>
      </c>
      <c r="B126" t="s">
        <v>896</v>
      </c>
      <c r="C126" t="s">
        <v>897</v>
      </c>
      <c r="D126" t="s">
        <v>898</v>
      </c>
      <c r="E126">
        <v>1997</v>
      </c>
      <c r="G126" t="s">
        <v>3179</v>
      </c>
      <c r="H126" s="125" t="str">
        <f>HYPERLINK("https://scholar.google.com/scholar?hl=en&amp;as_q=&amp;as_oq=&amp;as_eq=&amp;as_sauthors=&amp;as_publication=&amp;as_ylo=&amp;as_yhi=&amp;as_occt=title&amp;as_sdt=0%2C5&amp;as_epq=%22Ecotoxicity+Hazard+Assessment+of+Styrene", "Google Scholar")</f>
        <v>Google Scholar</v>
      </c>
    </row>
    <row r="127" spans="1:8" x14ac:dyDescent="0.35">
      <c r="A127">
        <v>180440</v>
      </c>
      <c r="B127" t="s">
        <v>593</v>
      </c>
      <c r="C127" t="s">
        <v>594</v>
      </c>
      <c r="D127" t="s">
        <v>595</v>
      </c>
      <c r="E127">
        <v>1992</v>
      </c>
      <c r="G127" t="s">
        <v>3180</v>
      </c>
      <c r="H127" s="126" t="str">
        <f>HYPERLINK("https://scholar.google.com/scholar?hl=en&amp;as_q=&amp;as_oq=&amp;as_eq=&amp;as_sauthors=&amp;as_publication=&amp;as_ylo=&amp;as_yhi=&amp;as_occt=title&amp;as_sdt=0%2C5&amp;as_epq=%22Tetrabromobisphenol+A%3A+Report+of+Analytical+Results+-+CAM+Bioassay+Screen+in+Pimephales+promelas+and+Fathead+M", "Google Scholar")</f>
        <v>Google Scholar</v>
      </c>
    </row>
    <row r="128" spans="1:8" x14ac:dyDescent="0.35">
      <c r="A128">
        <v>3687</v>
      </c>
      <c r="B128" t="s">
        <v>1661</v>
      </c>
      <c r="C128" t="s">
        <v>1662</v>
      </c>
      <c r="D128" t="s">
        <v>1663</v>
      </c>
      <c r="E128">
        <v>1982</v>
      </c>
      <c r="G128" t="s">
        <v>3181</v>
      </c>
      <c r="H128" s="127" t="str">
        <f>HYPERLINK("https://scholar.google.com/scholar?hl=en&amp;as_q=&amp;as_oq=&amp;as_eq=&amp;as_sauthors=&amp;as_publication=&amp;as_ylo=&amp;as_yhi=&amp;as_occt=title&amp;as_sdt=0%2C5&amp;as_epq=%22Arsenic+%28V%29+Test+Results", "Google Scholar")</f>
        <v>Google Scholar</v>
      </c>
    </row>
    <row r="129" spans="1:8" x14ac:dyDescent="0.35">
      <c r="A129">
        <v>169751</v>
      </c>
      <c r="B129" t="s">
        <v>2971</v>
      </c>
      <c r="C129" t="s">
        <v>2972</v>
      </c>
      <c r="D129" t="s">
        <v>2973</v>
      </c>
      <c r="E129">
        <v>2015</v>
      </c>
      <c r="G129" t="s">
        <v>3182</v>
      </c>
      <c r="H129" s="128" t="str">
        <f>HYPERLINK("https://scholar.google.com/scholar?hl=en&amp;as_q=&amp;as_oq=&amp;as_eq=&amp;as_sauthors=&amp;as_publication=&amp;as_ylo=&amp;as_yhi=&amp;as_occt=title&amp;as_sdt=0%2C5&amp;as_epq=%22Assessing+the+Fate+and+Effects+of+an+Insecticidal+Formulation", "Google Scholar")</f>
        <v>Google Scholar</v>
      </c>
    </row>
    <row r="130" spans="1:8" x14ac:dyDescent="0.35">
      <c r="A130">
        <v>173368</v>
      </c>
      <c r="B130" t="s">
        <v>3032</v>
      </c>
      <c r="C130" t="s">
        <v>3033</v>
      </c>
      <c r="D130" t="s">
        <v>3034</v>
      </c>
      <c r="E130">
        <v>2015</v>
      </c>
      <c r="G130" t="s">
        <v>3183</v>
      </c>
      <c r="H130" s="129" t="str">
        <f>HYPERLINK("https://scholar.google.com/scholar?hl=en&amp;as_q=&amp;as_oq=&amp;as_eq=&amp;as_sauthors=&amp;as_publication=&amp;as_ylo=&amp;as_yhi=&amp;as_occt=title&amp;as_sdt=0%2C5&amp;as_epq=%22Fate+and+Effects+of+Clothianidin+in+Fields+Using+Conservation+Practices", "Google Scholar")</f>
        <v>Google Scholar</v>
      </c>
    </row>
    <row r="131" spans="1:8" x14ac:dyDescent="0.35">
      <c r="A131">
        <v>180793</v>
      </c>
      <c r="B131" t="s">
        <v>639</v>
      </c>
      <c r="C131" t="s">
        <v>640</v>
      </c>
      <c r="D131" t="s">
        <v>641</v>
      </c>
      <c r="E131">
        <v>1990</v>
      </c>
      <c r="G131" t="s">
        <v>3184</v>
      </c>
      <c r="H131" s="130" t="str">
        <f>HYPERLINK("https://scholar.google.com/scholar?hl=en&amp;as_q=&amp;as_oq=&amp;as_eq=&amp;as_sauthors=&amp;as_publication=&amp;as_ylo=&amp;as_yhi=&amp;as_occt=title&amp;as_sdt=0%2C5&amp;as_epq=%22Solubility+and+Toxicity+of+Eight+Phthalate+Esters+to+Four+Aquatic+Organisms", "Google Scholar")</f>
        <v>Google Scholar</v>
      </c>
    </row>
    <row r="132" spans="1:8" x14ac:dyDescent="0.35">
      <c r="A132">
        <v>569</v>
      </c>
      <c r="B132" t="s">
        <v>811</v>
      </c>
      <c r="C132" t="s">
        <v>812</v>
      </c>
      <c r="D132" t="s">
        <v>813</v>
      </c>
      <c r="E132">
        <v>1980</v>
      </c>
      <c r="G132" t="s">
        <v>3185</v>
      </c>
      <c r="H132" s="131" t="str">
        <f>HYPERLINK("https://scholar.google.com/scholar?hl=en&amp;as_q=&amp;as_oq=&amp;as_eq=&amp;as_sauthors=&amp;as_publication=&amp;as_ylo=&amp;as_yhi=&amp;as_occt=title&amp;as_sdt=0%2C5&amp;as_epq=%22Acute+and+Embryo-Larval+Toxicity+of+Phenolic+Compounds+to+Aquatic+Biota", "Google Scholar")</f>
        <v>Google Scholar</v>
      </c>
    </row>
    <row r="133" spans="1:8" x14ac:dyDescent="0.35">
      <c r="A133">
        <v>17889</v>
      </c>
      <c r="B133" t="s">
        <v>756</v>
      </c>
      <c r="C133" t="s">
        <v>757</v>
      </c>
      <c r="D133" t="s">
        <v>758</v>
      </c>
      <c r="E133">
        <v>1982</v>
      </c>
      <c r="G133" t="s">
        <v>3186</v>
      </c>
      <c r="H133" s="132" t="str">
        <f>HYPERLINK("https://scholar.google.com/scholar?hl=en&amp;as_q=&amp;as_oq=&amp;as_eq=&amp;as_sauthors=&amp;as_publication=&amp;as_ylo=&amp;as_yhi=&amp;as_occt=title&amp;as_sdt=0%2C5&amp;as_epq=%22Effects+of+Naphthalene+and+Benzene+on+Fathead+Minnows+and+Rainbow+Trout", "Google Scholar")</f>
        <v>Google Scholar</v>
      </c>
    </row>
    <row r="134" spans="1:8" x14ac:dyDescent="0.35">
      <c r="A134">
        <v>492</v>
      </c>
      <c r="B134" t="s">
        <v>1041</v>
      </c>
      <c r="C134" t="s">
        <v>1042</v>
      </c>
      <c r="D134" t="s">
        <v>1043</v>
      </c>
      <c r="E134">
        <v>1980</v>
      </c>
      <c r="G134" t="s">
        <v>3187</v>
      </c>
      <c r="H134" s="133" t="str">
        <f>HYPERLINK("https://scholar.google.com/scholar?hl=en&amp;as_q=&amp;as_oq=&amp;as_eq=&amp;as_sauthors=&amp;as_publication=&amp;as_ylo=&amp;as_yhi=&amp;as_occt=title&amp;as_sdt=0%2C5&amp;as_epq=%22Toxicity+of+Underground+Coal+Gasification+Condenser+Water+and+Selected+Constituents+to+Aquatic+Biota", "Google Scholar")</f>
        <v>Google Scholar</v>
      </c>
    </row>
    <row r="135" spans="1:8" x14ac:dyDescent="0.35">
      <c r="A135">
        <v>88468</v>
      </c>
      <c r="B135" t="s">
        <v>2545</v>
      </c>
      <c r="C135" t="s">
        <v>2546</v>
      </c>
      <c r="D135" t="s">
        <v>2547</v>
      </c>
      <c r="E135">
        <v>1987</v>
      </c>
      <c r="G135" t="s">
        <v>3188</v>
      </c>
      <c r="H135" s="134" t="str">
        <f>HYPERLINK("https://scholar.google.com/scholar?hl=en&amp;as_q=&amp;as_oq=&amp;as_eq=&amp;as_sauthors=&amp;as_publication=&amp;as_ylo=&amp;as_yhi=&amp;as_occt=title&amp;as_sdt=0%2C5&amp;as_epq=%22The+Effect+of+Temperature+on+the+Acute+and+Chronic+Toxicity+of+Un-ionized+Ammonia+to+Fathead+Minnows+and+Channel", "Google Scholar")</f>
        <v>Google Scholar</v>
      </c>
    </row>
    <row r="136" spans="1:8" x14ac:dyDescent="0.35">
      <c r="A136">
        <v>5894</v>
      </c>
      <c r="B136" t="s">
        <v>507</v>
      </c>
      <c r="C136" t="s">
        <v>508</v>
      </c>
      <c r="D136" t="s">
        <v>509</v>
      </c>
      <c r="E136">
        <v>1979</v>
      </c>
      <c r="G136" t="s">
        <v>3189</v>
      </c>
      <c r="H136" s="135" t="str">
        <f>HYPERLINK("https://scholar.google.com/scholar?hl=en&amp;as_q=&amp;as_oq=&amp;as_eq=&amp;as_sauthors=&amp;as_publication=&amp;as_ylo=&amp;as_yhi=&amp;as_occt=title&amp;as_sdt=0%2C5&amp;as_epq=%22Chemical+Degradation+of+Military+Standard+Formulations+of+Organophosphorus+and+Carbamate+Pesticides.++II.++Degra", "Google Scholar")</f>
        <v>Google Scholar</v>
      </c>
    </row>
    <row r="137" spans="1:8" x14ac:dyDescent="0.35">
      <c r="A137">
        <v>866</v>
      </c>
      <c r="B137" t="s">
        <v>511</v>
      </c>
      <c r="C137" t="s">
        <v>512</v>
      </c>
      <c r="D137" t="s">
        <v>513</v>
      </c>
      <c r="E137">
        <v>1979</v>
      </c>
      <c r="G137" t="s">
        <v>3190</v>
      </c>
      <c r="H137" s="136" t="str">
        <f>HYPERLINK("https://scholar.google.com/scholar?hl=en&amp;as_q=&amp;as_oq=&amp;as_eq=&amp;as_sauthors=&amp;as_publication=&amp;as_ylo=&amp;as_yhi=&amp;as_occt=title&amp;as_sdt=0%2C5&amp;as_epq=%22Degradation+of+Diazinon+by+Sodium+Hypochlorite.+Chemistry+and+Aquatic+Toxicity", "Google Scholar")</f>
        <v>Google Scholar</v>
      </c>
    </row>
    <row r="138" spans="1:8" x14ac:dyDescent="0.35">
      <c r="A138">
        <v>68197</v>
      </c>
      <c r="B138" t="s">
        <v>1424</v>
      </c>
      <c r="C138" t="s">
        <v>1425</v>
      </c>
      <c r="D138" t="s">
        <v>1426</v>
      </c>
      <c r="E138">
        <v>2003</v>
      </c>
      <c r="G138" t="s">
        <v>3191</v>
      </c>
      <c r="H138" s="137" t="str">
        <f>HYPERLINK("https://scholar.google.com/scholar?hl=en&amp;as_q=&amp;as_oq=&amp;as_eq=&amp;as_sauthors=&amp;as_publication=&amp;as_ylo=&amp;as_yhi=&amp;as_occt=title&amp;as_sdt=0%2C5&amp;as_epq=%22Joint+Acute+Toxicity+of+Esfenvalerate+and+Diazinon+to+Larval+Fathead+Minnows+%28Pimephales+promelas%29", "Google Scholar")</f>
        <v>Google Scholar</v>
      </c>
    </row>
    <row r="139" spans="1:8" x14ac:dyDescent="0.35">
      <c r="A139">
        <v>12405</v>
      </c>
      <c r="B139" t="s">
        <v>1024</v>
      </c>
      <c r="C139" t="s">
        <v>1025</v>
      </c>
      <c r="D139" t="s">
        <v>1026</v>
      </c>
      <c r="E139">
        <v>1982</v>
      </c>
      <c r="G139" t="s">
        <v>3192</v>
      </c>
      <c r="H139" s="138" t="str">
        <f>HYPERLINK("https://scholar.google.com/scholar?hl=en&amp;as_q=&amp;as_oq=&amp;as_eq=&amp;as_sauthors=&amp;as_publication=&amp;as_ylo=&amp;as_yhi=&amp;as_occt=title&amp;as_sdt=0%2C5&amp;as_epq=%22Developmental+Studies+on+the+Fathead+Minnow+%28Pimephales+promelas+Raf.%29%3A+I.+The+Prehatching+Development+of+", "Google Scholar")</f>
        <v>Google Scholar</v>
      </c>
    </row>
    <row r="140" spans="1:8" x14ac:dyDescent="0.35">
      <c r="A140">
        <v>97384</v>
      </c>
      <c r="B140" t="s">
        <v>1024</v>
      </c>
      <c r="C140" t="s">
        <v>1654</v>
      </c>
      <c r="D140" t="s">
        <v>1655</v>
      </c>
      <c r="E140">
        <v>2006</v>
      </c>
      <c r="G140" t="s">
        <v>3193</v>
      </c>
      <c r="H140" s="139" t="str">
        <f>HYPERLINK("https://scholar.google.com/scholar?hl=en&amp;as_q=&amp;as_oq=&amp;as_eq=&amp;as_sauthors=&amp;as_publication=&amp;as_ylo=&amp;as_yhi=&amp;as_occt=title&amp;as_sdt=0%2C5&amp;as_epq=%22Acute+Toxicity%2C+Uptake+and+Histopathology+of+Aqueous+Methyl+Mercury+to+Fathead+Minnow+Embryos", "Google Scholar")</f>
        <v>Google Scholar</v>
      </c>
    </row>
    <row r="141" spans="1:8" x14ac:dyDescent="0.35">
      <c r="A141">
        <v>15560</v>
      </c>
      <c r="B141" t="s">
        <v>1020</v>
      </c>
      <c r="C141" t="s">
        <v>1021</v>
      </c>
      <c r="D141" t="s">
        <v>1022</v>
      </c>
      <c r="E141">
        <v>1982</v>
      </c>
      <c r="G141" t="s">
        <v>3194</v>
      </c>
      <c r="H141" s="140" t="str">
        <f>HYPERLINK("https://scholar.google.com/scholar?hl=en&amp;as_q=&amp;as_oq=&amp;as_eq=&amp;as_sauthors=&amp;as_publication=&amp;as_ylo=&amp;as_yhi=&amp;as_occt=title&amp;as_sdt=0%2C5&amp;as_epq=%22Acute+Toxicity+of+Toluene+to+Three+Age+Groups+of+Fathead+Minnows+%28Pimephales+promelas%29", "Google Scholar")</f>
        <v>Google Scholar</v>
      </c>
    </row>
    <row r="142" spans="1:8" x14ac:dyDescent="0.35">
      <c r="A142">
        <v>6510</v>
      </c>
      <c r="B142" t="s">
        <v>2565</v>
      </c>
      <c r="C142" t="s">
        <v>2566</v>
      </c>
      <c r="D142" t="s">
        <v>2567</v>
      </c>
      <c r="E142">
        <v>1993</v>
      </c>
      <c r="G142" t="s">
        <v>3195</v>
      </c>
      <c r="H142" s="141" t="str">
        <f>HYPERLINK("https://scholar.google.com/scholar?hl=en&amp;as_q=&amp;as_oq=&amp;as_eq=&amp;as_sauthors=&amp;as_publication=&amp;as_ylo=&amp;as_yhi=&amp;as_occt=title&amp;as_sdt=0%2C5&amp;as_epq=%22Derivation+of+Site-Specific+Ammonia+Criteria+for+an+Effluent-Dominated+Headwater+Stream", "Google Scholar")</f>
        <v>Google Scholar</v>
      </c>
    </row>
    <row r="143" spans="1:8" x14ac:dyDescent="0.35">
      <c r="A143">
        <v>19043</v>
      </c>
      <c r="B143" t="s">
        <v>1351</v>
      </c>
      <c r="C143" t="s">
        <v>1352</v>
      </c>
      <c r="D143" t="s">
        <v>1353</v>
      </c>
      <c r="E143">
        <v>1995</v>
      </c>
      <c r="G143" t="s">
        <v>3196</v>
      </c>
      <c r="H143" s="142" t="str">
        <f>HYPERLINK("https://scholar.google.com/scholar?hl=en&amp;as_q=&amp;as_oq=&amp;as_eq=&amp;as_sauthors=&amp;as_publication=&amp;as_ylo=&amp;as_yhi=&amp;as_occt=title&amp;as_sdt=0%2C5&amp;as_epq=%22Characterization+of+Acute+and+Chronic+Toxicity+of+Fluoranthene+and+the+Potential+for+Acquisition+Enhanced+Tolera", "Google Scholar")</f>
        <v>Google Scholar</v>
      </c>
    </row>
    <row r="144" spans="1:8" x14ac:dyDescent="0.35">
      <c r="A144">
        <v>10120</v>
      </c>
      <c r="B144" t="s">
        <v>1774</v>
      </c>
      <c r="C144" t="s">
        <v>1775</v>
      </c>
      <c r="D144" t="s">
        <v>1776</v>
      </c>
      <c r="E144">
        <v>1982</v>
      </c>
      <c r="G144" t="s">
        <v>3197</v>
      </c>
      <c r="H144" s="143" t="str">
        <f>HYPERLINK("https://scholar.google.com/scholar?hl=en&amp;as_q=&amp;as_oq=&amp;as_eq=&amp;as_sauthors=&amp;as_publication=&amp;as_ylo=&amp;as_yhi=&amp;as_occt=title&amp;as_sdt=0%2C5&amp;as_epq=%22Comparison+of+the+Toxicities+of+Biphenyl%2C+Monochlorobiphenyl%2C+and+2%2C2%27%2C4%2C4%27-Tetrachlorobiphenyl+to", "Google Scholar")</f>
        <v>Google Scholar</v>
      </c>
    </row>
    <row r="145" spans="1:8" x14ac:dyDescent="0.35">
      <c r="A145">
        <v>12567</v>
      </c>
      <c r="B145" t="s">
        <v>473</v>
      </c>
      <c r="C145" t="s">
        <v>474</v>
      </c>
      <c r="D145" t="s">
        <v>475</v>
      </c>
      <c r="E145">
        <v>1987</v>
      </c>
      <c r="F145" t="s">
        <v>3069</v>
      </c>
      <c r="G145" t="s">
        <v>3198</v>
      </c>
      <c r="H145" s="144" t="str">
        <f>HYPERLINK("https://scholar.google.com/scholar?hl=en&amp;as_q=&amp;as_oq=&amp;as_eq=&amp;as_sauthors=&amp;as_publication=&amp;as_ylo=&amp;as_yhi=&amp;as_occt=title&amp;as_sdt=0%2C5&amp;as_epq=%22Toxicity+of+Methylene+Chloride+to+Life+Stages+of+the+Fathead+Minnow%2C+Pimephales+promelas+Rafinesque", "Google Scholar")</f>
        <v>Google Scholar</v>
      </c>
    </row>
    <row r="146" spans="1:8" x14ac:dyDescent="0.35">
      <c r="A146">
        <v>5741</v>
      </c>
      <c r="B146" t="s">
        <v>485</v>
      </c>
      <c r="C146" t="s">
        <v>486</v>
      </c>
      <c r="D146" t="s">
        <v>487</v>
      </c>
      <c r="E146">
        <v>1980</v>
      </c>
      <c r="G146" t="s">
        <v>3199</v>
      </c>
      <c r="H146" s="145" t="str">
        <f>HYPERLINK("https://scholar.google.com/scholar?hl=en&amp;as_q=&amp;as_oq=&amp;as_eq=&amp;as_sauthors=&amp;as_publication=&amp;as_ylo=&amp;as_yhi=&amp;as_occt=title&amp;as_sdt=0%2C5&amp;as_epq=%22Toxicity+of+1%2C1-Dichloroethylene+%28Vinylidene+Chloride%29+to+Aquatic+Organisms", "Google Scholar")</f>
        <v>Google Scholar</v>
      </c>
    </row>
    <row r="147" spans="1:8" x14ac:dyDescent="0.35">
      <c r="A147">
        <v>78794</v>
      </c>
      <c r="B147" t="s">
        <v>1748</v>
      </c>
      <c r="C147" t="s">
        <v>1749</v>
      </c>
      <c r="D147" t="s">
        <v>1750</v>
      </c>
      <c r="E147">
        <v>1992</v>
      </c>
      <c r="G147" t="s">
        <v>3200</v>
      </c>
      <c r="H147" s="146" t="str">
        <f>HYPERLINK("https://scholar.google.com/scholar?hl=en&amp;as_q=&amp;as_oq=&amp;as_eq=&amp;as_sauthors=&amp;as_publication=&amp;as_ylo=&amp;as_yhi=&amp;as_occt=title&amp;as_sdt=0%2C5&amp;as_epq=%22Chronic+Toxicity+to+the+Fathead+Minnow+%28Pimephales+promelas%29+During+a+Full+Life-Cycle+Exposure", "Google Scholar")</f>
        <v>Google Scholar</v>
      </c>
    </row>
    <row r="148" spans="1:8" x14ac:dyDescent="0.35">
      <c r="A148">
        <v>12660</v>
      </c>
      <c r="B148" t="s">
        <v>2385</v>
      </c>
      <c r="C148" t="s">
        <v>2386</v>
      </c>
      <c r="D148" t="s">
        <v>2387</v>
      </c>
      <c r="E148">
        <v>1987</v>
      </c>
      <c r="G148" t="s">
        <v>3201</v>
      </c>
      <c r="H148" s="147" t="str">
        <f>HYPERLINK("https://scholar.google.com/scholar?hl=en&amp;as_q=&amp;as_oq=&amp;as_eq=&amp;as_sauthors=&amp;as_publication=&amp;as_ylo=&amp;as_yhi=&amp;as_occt=title&amp;as_sdt=0%2C5&amp;as_epq=%22Hexavalent+Chromium+as+a+Reference+Toxicant+in+Effluent+Toxicity+Tests", "Google Scholar")</f>
        <v>Google Scholar</v>
      </c>
    </row>
    <row r="149" spans="1:8" x14ac:dyDescent="0.35">
      <c r="A149">
        <v>20415</v>
      </c>
      <c r="B149" t="s">
        <v>2009</v>
      </c>
      <c r="C149" t="s">
        <v>2010</v>
      </c>
      <c r="D149" t="s">
        <v>2011</v>
      </c>
      <c r="E149">
        <v>1993</v>
      </c>
      <c r="G149" t="s">
        <v>3202</v>
      </c>
      <c r="H149" s="148" t="str">
        <f>HYPERLINK("https://scholar.google.com/scholar?hl=en&amp;as_q=&amp;as_oq=&amp;as_eq=&amp;as_sauthors=&amp;as_publication=&amp;as_ylo=&amp;as_yhi=&amp;as_occt=title&amp;as_sdt=0%2C5&amp;as_epq=%22Assessing+the+Aquatic+Hazard+of+Some+Branched+and+Linear+Nonionic+Surfactants+by+Biodegradation+and+Toxicity", "Google Scholar")</f>
        <v>Google Scholar</v>
      </c>
    </row>
    <row r="150" spans="1:8" x14ac:dyDescent="0.35">
      <c r="A150">
        <v>2152</v>
      </c>
      <c r="B150" t="s">
        <v>1313</v>
      </c>
      <c r="C150" t="s">
        <v>1314</v>
      </c>
      <c r="D150" t="s">
        <v>1315</v>
      </c>
      <c r="E150">
        <v>1956</v>
      </c>
      <c r="G150" t="s">
        <v>3203</v>
      </c>
      <c r="H150" s="149" t="str">
        <f>HYPERLINK("https://scholar.google.com/scholar?hl=en&amp;as_q=&amp;as_oq=&amp;as_eq=&amp;as_sauthors=&amp;as_publication=&amp;as_ylo=&amp;as_yhi=&amp;as_occt=title&amp;as_sdt=0%2C5&amp;as_epq=%22Some+Experiments+on+the+Toxicity+of+Complex+Cyanide+to+Fish", "Google Scholar")</f>
        <v>Google Scholar</v>
      </c>
    </row>
    <row r="151" spans="1:8" x14ac:dyDescent="0.35">
      <c r="A151">
        <v>177257</v>
      </c>
      <c r="B151" t="s">
        <v>1214</v>
      </c>
      <c r="C151" t="s">
        <v>1215</v>
      </c>
      <c r="D151" t="s">
        <v>1216</v>
      </c>
      <c r="E151">
        <v>1989</v>
      </c>
      <c r="G151" t="s">
        <v>3204</v>
      </c>
      <c r="H151" s="150" t="str">
        <f>HYPERLINK("https://scholar.google.com/scholar?hl=en&amp;as_q=&amp;as_oq=&amp;as_eq=&amp;as_sauthors=&amp;as_publication=&amp;as_ylo=&amp;as_yhi=&amp;as_occt=title&amp;as_sdt=0%2C5&amp;as_epq=%22Summaries+of+Environmental+Data+on+Phenol%2C+1%2C4-Dioxane+and+Acrylonitrile+with+Attached+Reports+and+Cover+Let", "Google Scholar")</f>
        <v>Google Scholar</v>
      </c>
    </row>
    <row r="152" spans="1:8" x14ac:dyDescent="0.35">
      <c r="A152">
        <v>6925</v>
      </c>
      <c r="B152" t="s">
        <v>382</v>
      </c>
      <c r="C152" t="s">
        <v>582</v>
      </c>
      <c r="D152" t="s">
        <v>583</v>
      </c>
      <c r="E152">
        <v>1976</v>
      </c>
      <c r="G152" t="s">
        <v>3205</v>
      </c>
      <c r="H152" s="151" t="str">
        <f>HYPERLINK("https://scholar.google.com/scholar?hl=en&amp;as_q=&amp;as_oq=&amp;as_eq=&amp;as_sauthors=&amp;as_publication=&amp;as_ylo=&amp;as_yhi=&amp;as_occt=title&amp;as_sdt=0%2C5&amp;as_epq=%22Environmental+Behavior+of+Aqueous+Acrylamide%3A+Biodegradability+and+Fish+Toxicity", "Google Scholar")</f>
        <v>Google Scholar</v>
      </c>
    </row>
    <row r="153" spans="1:8" x14ac:dyDescent="0.35">
      <c r="A153">
        <v>91316</v>
      </c>
      <c r="B153" t="s">
        <v>382</v>
      </c>
      <c r="C153" t="s">
        <v>956</v>
      </c>
      <c r="D153" t="s">
        <v>957</v>
      </c>
      <c r="E153">
        <v>1982</v>
      </c>
      <c r="G153" t="s">
        <v>3206</v>
      </c>
      <c r="H153" s="152" t="str">
        <f>HYPERLINK("https://scholar.google.com/scholar?hl=en&amp;as_q=&amp;as_oq=&amp;as_eq=&amp;as_sauthors=&amp;as_publication=&amp;as_ylo=&amp;as_yhi=&amp;as_occt=title&amp;as_sdt=0%2C5&amp;as_epq=%22A+Study+to+Assess+the+Influence+of+Age+on+the+Response+of+Fathead+Minnows+in+Static+Acute+Toxicity+Tests+with+Co", "Google Scholar")</f>
        <v>Google Scholar</v>
      </c>
    </row>
    <row r="154" spans="1:8" x14ac:dyDescent="0.35">
      <c r="A154">
        <v>96222</v>
      </c>
      <c r="B154" t="s">
        <v>382</v>
      </c>
      <c r="C154" t="s">
        <v>768</v>
      </c>
      <c r="D154" t="s">
        <v>769</v>
      </c>
      <c r="E154">
        <v>1983</v>
      </c>
      <c r="G154" t="s">
        <v>3207</v>
      </c>
      <c r="H154" s="153" t="str">
        <f>HYPERLINK("https://scholar.google.com/scholar?hl=en&amp;as_q=&amp;as_oq=&amp;as_eq=&amp;as_sauthors=&amp;as_publication=&amp;as_ylo=&amp;as_yhi=&amp;as_occt=title&amp;as_sdt=0%2C5&amp;as_epq=%22Static+Acute+Fish+Toxicities+Comparison", "Google Scholar")</f>
        <v>Google Scholar</v>
      </c>
    </row>
    <row r="155" spans="1:8" x14ac:dyDescent="0.35">
      <c r="A155">
        <v>107093</v>
      </c>
      <c r="B155" t="s">
        <v>382</v>
      </c>
      <c r="C155" t="s">
        <v>2817</v>
      </c>
      <c r="D155" t="s">
        <v>2818</v>
      </c>
      <c r="E155">
        <v>1985</v>
      </c>
      <c r="G155" t="s">
        <v>3208</v>
      </c>
      <c r="H155" s="154" t="str">
        <f>HYPERLINK("https://scholar.google.com/scholar?hl=en&amp;as_q=&amp;as_oq=&amp;as_eq=&amp;as_sauthors=&amp;as_publication=&amp;as_ylo=&amp;as_yhi=&amp;as_occt=title&amp;as_sdt=0%2C5&amp;as_epq=%22Initial+Submission%3A++2-%28Decylthio%29Ethanamine+Hydrochloride%3A++Embryo-Larval+Toxicity+Test+w+Fathead+Minno", "Google Scholar")</f>
        <v>Google Scholar</v>
      </c>
    </row>
    <row r="156" spans="1:8" x14ac:dyDescent="0.35">
      <c r="A156">
        <v>163462</v>
      </c>
      <c r="B156" t="s">
        <v>382</v>
      </c>
      <c r="C156" t="s">
        <v>383</v>
      </c>
      <c r="D156" t="s">
        <v>384</v>
      </c>
      <c r="E156">
        <v>1987</v>
      </c>
      <c r="G156" t="s">
        <v>3209</v>
      </c>
      <c r="H156" s="155" t="str">
        <f>HYPERLINK("https://scholar.google.com/scholar?hl=en&amp;as_q=&amp;as_oq=&amp;as_eq=&amp;as_sauthors=&amp;as_publication=&amp;as_ylo=&amp;as_yhi=&amp;as_occt=title&amp;as_sdt=0%2C5&amp;as_epq=%22Study+to+Assess+the+Influence+of+Age+on+the+Response+of+Fathead+Minnows+in+Static+Acute+Toxicity+Tests", "Google Scholar")</f>
        <v>Google Scholar</v>
      </c>
    </row>
    <row r="157" spans="1:8" x14ac:dyDescent="0.35">
      <c r="A157">
        <v>177338</v>
      </c>
      <c r="B157" t="s">
        <v>382</v>
      </c>
      <c r="C157" t="s">
        <v>433</v>
      </c>
      <c r="D157" t="s">
        <v>434</v>
      </c>
      <c r="E157">
        <v>1976</v>
      </c>
      <c r="G157" t="s">
        <v>3210</v>
      </c>
      <c r="H157" s="156" t="str">
        <f>HYPERLINK("https://scholar.google.com/scholar?hl=en&amp;as_q=&amp;as_oq=&amp;as_eq=&amp;as_sauthors=&amp;as_publication=&amp;as_ylo=&amp;as_yhi=&amp;as_occt=title&amp;as_sdt=0%2C5&amp;as_epq=%22Acute+Fish+Toxicity+of+Five+Chlorinated+Solvents", "Google Scholar")</f>
        <v>Google Scholar</v>
      </c>
    </row>
    <row r="158" spans="1:8" x14ac:dyDescent="0.35">
      <c r="A158">
        <v>479</v>
      </c>
      <c r="B158" t="s">
        <v>163</v>
      </c>
      <c r="C158" t="s">
        <v>164</v>
      </c>
      <c r="D158" t="s">
        <v>165</v>
      </c>
      <c r="E158">
        <v>1979</v>
      </c>
      <c r="G158" t="s">
        <v>3211</v>
      </c>
      <c r="H158" s="157" t="str">
        <f>HYPERLINK("https://scholar.google.com/scholar?hl=en&amp;as_q=&amp;as_oq=&amp;as_eq=&amp;as_sauthors=&amp;as_publication=&amp;as_ylo=&amp;as_yhi=&amp;as_occt=title&amp;as_sdt=0%2C5&amp;as_epq=%22Measurement+of+the+Aquatic+Toxicity+of+Volatile+Nitrosamines", "Google Scholar")</f>
        <v>Google Scholar</v>
      </c>
    </row>
    <row r="159" spans="1:8" x14ac:dyDescent="0.35">
      <c r="A159">
        <v>82108</v>
      </c>
      <c r="B159" t="s">
        <v>2191</v>
      </c>
      <c r="C159" t="s">
        <v>2192</v>
      </c>
      <c r="D159" t="s">
        <v>2193</v>
      </c>
      <c r="E159">
        <v>1981</v>
      </c>
      <c r="G159" t="s">
        <v>3212</v>
      </c>
      <c r="H159" s="158" t="str">
        <f>HYPERLINK("https://scholar.google.com/scholar?hl=en&amp;as_q=&amp;as_oq=&amp;as_eq=&amp;as_sauthors=&amp;as_publication=&amp;as_ylo=&amp;as_yhi=&amp;as_occt=title&amp;as_sdt=0%2C5&amp;as_epq=%22The+Toxicity+of+Zinc+to+the+Fathead+Minnow+in+Soft%2C+Hard%2C+and+Very+Hard+Waters", "Google Scholar")</f>
        <v>Google Scholar</v>
      </c>
    </row>
    <row r="160" spans="1:8" x14ac:dyDescent="0.35">
      <c r="A160">
        <v>180423</v>
      </c>
      <c r="B160" t="s">
        <v>1831</v>
      </c>
      <c r="C160" t="s">
        <v>1832</v>
      </c>
      <c r="D160" t="s">
        <v>1833</v>
      </c>
      <c r="E160">
        <v>2000</v>
      </c>
      <c r="G160" t="s">
        <v>3213</v>
      </c>
      <c r="H160" s="159" t="str">
        <f>HYPERLINK("https://scholar.google.com/scholar?hl=en&amp;as_q=&amp;as_oq=&amp;as_eq=&amp;as_sauthors=&amp;as_publication=&amp;as_ylo=&amp;as_yhi=&amp;as_occt=title&amp;as_sdt=0%2C5&amp;as_epq=%22PFOS%3A+A+96-Hour+Static+Acute+Toxicity+Test+with+the+Fathead+Minnow+%28Pimephales+promelas%29", "Google Scholar")</f>
        <v>Google Scholar</v>
      </c>
    </row>
    <row r="161" spans="1:8" x14ac:dyDescent="0.35">
      <c r="A161">
        <v>81380</v>
      </c>
      <c r="B161" t="s">
        <v>334</v>
      </c>
      <c r="C161" t="s">
        <v>335</v>
      </c>
      <c r="D161" t="s">
        <v>336</v>
      </c>
      <c r="E161">
        <v>2005</v>
      </c>
      <c r="G161" t="s">
        <v>3214</v>
      </c>
      <c r="H161" s="160" t="str">
        <f>HYPERLINK("https://scholar.google.com/scholar?hl=en&amp;as_q=&amp;as_oq=&amp;as_eq=&amp;as_sauthors=&amp;as_publication=&amp;as_ylo=&amp;as_yhi=&amp;as_occt=title&amp;as_sdt=0%2C5&amp;as_epq=%22Assessing+Contaminant+Sensitivity+of+Endangered+and+Threatened+Aquatic+Species%3A+Part+I.+Acute+Toxicity+of+Five", "Google Scholar")</f>
        <v>Google Scholar</v>
      </c>
    </row>
    <row r="162" spans="1:8" x14ac:dyDescent="0.35">
      <c r="A162">
        <v>73668</v>
      </c>
      <c r="B162" t="s">
        <v>314</v>
      </c>
      <c r="C162" t="s">
        <v>315</v>
      </c>
      <c r="D162" t="s">
        <v>316</v>
      </c>
      <c r="E162">
        <v>1995</v>
      </c>
      <c r="G162" t="s">
        <v>3215</v>
      </c>
      <c r="H162" s="161" t="str">
        <f>HYPERLINK("https://scholar.google.com/scholar?hl=en&amp;as_q=&amp;as_oq=&amp;as_eq=&amp;as_sauthors=&amp;as_publication=&amp;as_ylo=&amp;as_yhi=&amp;as_occt=title&amp;as_sdt=0%2C5&amp;as_epq=%22Use+of+Surrogate+Species+in+Assessing+Contaminant+Risk+to+Endangered+and+Threatened+Fishes", "Google Scholar")</f>
        <v>Google Scholar</v>
      </c>
    </row>
    <row r="163" spans="1:8" x14ac:dyDescent="0.35">
      <c r="A163">
        <v>7266</v>
      </c>
      <c r="B163" t="s">
        <v>2000</v>
      </c>
      <c r="C163" t="s">
        <v>2001</v>
      </c>
      <c r="D163" t="s">
        <v>2002</v>
      </c>
      <c r="E163">
        <v>1993</v>
      </c>
      <c r="G163" t="s">
        <v>3216</v>
      </c>
      <c r="H163" s="162" t="str">
        <f>HYPERLINK("https://scholar.google.com/scholar?hl=en&amp;as_q=&amp;as_oq=&amp;as_eq=&amp;as_sauthors=&amp;as_publication=&amp;as_ylo=&amp;as_yhi=&amp;as_occt=title&amp;as_sdt=0%2C5&amp;as_epq=%22Synthesis+and+Accumulation+of+Stress+Proteins+in+Tissues+of+Arsenite-Exposed+Fathead+Minnows+%28Pimephales+prome", "Google Scholar")</f>
        <v>Google Scholar</v>
      </c>
    </row>
    <row r="164" spans="1:8" x14ac:dyDescent="0.35">
      <c r="A164">
        <v>45073</v>
      </c>
      <c r="B164" t="s">
        <v>242</v>
      </c>
      <c r="C164" t="s">
        <v>243</v>
      </c>
      <c r="D164" t="s">
        <v>244</v>
      </c>
      <c r="E164">
        <v>1993</v>
      </c>
      <c r="G164" t="s">
        <v>3217</v>
      </c>
      <c r="H164" s="163" t="str">
        <f>HYPERLINK("https://scholar.google.com/scholar?hl=en&amp;as_q=&amp;as_oq=&amp;as_eq=&amp;as_sauthors=&amp;as_publication=&amp;as_ylo=&amp;as_yhi=&amp;as_occt=title&amp;as_sdt=0%2C5&amp;as_epq=%22A+Laboratory+Evaluation+of+the+Use+of+Stress+Proteins+in+Fish+to+Detect+Changes+in+Water+Quality", "Google Scholar")</f>
        <v>Google Scholar</v>
      </c>
    </row>
    <row r="165" spans="1:8" x14ac:dyDescent="0.35">
      <c r="A165">
        <v>14379</v>
      </c>
      <c r="B165" t="s">
        <v>525</v>
      </c>
      <c r="C165" t="s">
        <v>2363</v>
      </c>
      <c r="D165" t="s">
        <v>2364</v>
      </c>
      <c r="E165">
        <v>1979</v>
      </c>
      <c r="G165" t="s">
        <v>3218</v>
      </c>
      <c r="H165" s="164" t="str">
        <f>HYPERLINK("https://scholar.google.com/scholar?hl=en&amp;as_q=&amp;as_oq=&amp;as_eq=&amp;as_sauthors=&amp;as_publication=&amp;as_ylo=&amp;as_yhi=&amp;as_occt=title&amp;as_sdt=0%2C5&amp;as_epq=%22The+Acute+Toxicity+of+Various+Silver+Compounds+to+the+Fathead+Minnow+%28Pimephales+promelas%29", "Google Scholar")</f>
        <v>Google Scholar</v>
      </c>
    </row>
    <row r="166" spans="1:8" x14ac:dyDescent="0.35">
      <c r="A166">
        <v>17136</v>
      </c>
      <c r="B166" t="s">
        <v>525</v>
      </c>
      <c r="C166" t="s">
        <v>526</v>
      </c>
      <c r="D166" t="s">
        <v>527</v>
      </c>
      <c r="E166">
        <v>1977</v>
      </c>
      <c r="G166" t="s">
        <v>3219</v>
      </c>
      <c r="H166" s="165" t="str">
        <f>HYPERLINK("https://scholar.google.com/scholar?hl=en&amp;as_q=&amp;as_oq=&amp;as_eq=&amp;as_sauthors=&amp;as_publication=&amp;as_ylo=&amp;as_yhi=&amp;as_occt=title&amp;as_sdt=0%2C5&amp;as_epq=%22Acute+Toxicity+of+Hexachlorocyclopentadiene+to+Bluegill+%28Lepomis+macrochirus%29%2C+Channel+Catfish+%28Ictaluru", "Google Scholar")</f>
        <v>Google Scholar</v>
      </c>
    </row>
    <row r="167" spans="1:8" x14ac:dyDescent="0.35">
      <c r="A167">
        <v>177359</v>
      </c>
      <c r="B167" t="s">
        <v>436</v>
      </c>
      <c r="C167" t="s">
        <v>1229</v>
      </c>
      <c r="D167" t="s">
        <v>1230</v>
      </c>
      <c r="E167">
        <v>1977</v>
      </c>
      <c r="G167" t="s">
        <v>3220</v>
      </c>
      <c r="H167" s="166" t="str">
        <f>HYPERLINK("https://scholar.google.com/scholar?hl=en&amp;as_q=&amp;as_oq=&amp;as_eq=&amp;as_sauthors=&amp;as_publication=&amp;as_ylo=&amp;as_yhi=&amp;as_occt=title&amp;as_sdt=0%2C5&amp;as_epq=%2296+Hour+LC50+to+Fathead+Minnows", "Google Scholar")</f>
        <v>Google Scholar</v>
      </c>
    </row>
    <row r="168" spans="1:8" x14ac:dyDescent="0.35">
      <c r="A168">
        <v>180478</v>
      </c>
      <c r="B168" t="s">
        <v>436</v>
      </c>
      <c r="C168" t="s">
        <v>437</v>
      </c>
      <c r="D168" t="s">
        <v>438</v>
      </c>
      <c r="E168">
        <v>1982</v>
      </c>
      <c r="G168" t="s">
        <v>3221</v>
      </c>
      <c r="H168" s="167" t="str">
        <f>HYPERLINK("https://scholar.google.com/scholar?hl=en&amp;as_q=&amp;as_oq=&amp;as_eq=&amp;as_sauthors=&amp;as_publication=&amp;as_ylo=&amp;as_yhi=&amp;as_occt=title&amp;as_sdt=0%2C5&amp;as_epq=%2296-Hour+LC50+to+Fathead+Minnows", "Google Scholar")</f>
        <v>Google Scholar</v>
      </c>
    </row>
    <row r="169" spans="1:8" x14ac:dyDescent="0.35">
      <c r="A169">
        <v>60011</v>
      </c>
      <c r="B169" t="s">
        <v>2535</v>
      </c>
      <c r="C169" t="s">
        <v>2536</v>
      </c>
      <c r="D169" t="s">
        <v>2537</v>
      </c>
      <c r="E169">
        <v>1985</v>
      </c>
      <c r="G169" t="s">
        <v>3222</v>
      </c>
      <c r="H169" s="168" t="str">
        <f>HYPERLINK("https://scholar.google.com/scholar?hl=en&amp;as_q=&amp;as_oq=&amp;as_eq=&amp;as_sauthors=&amp;as_publication=&amp;as_ylo=&amp;as_yhi=&amp;as_occt=title&amp;as_sdt=0%2C5&amp;as_epq=%22Proposed+Modified+Effluent+Limitations+for+Ammonia%3A+Application+for+a+301+%28g%29+Demonstration+for+the+Sparro", "Google Scholar")</f>
        <v>Google Scholar</v>
      </c>
    </row>
    <row r="170" spans="1:8" x14ac:dyDescent="0.35">
      <c r="A170">
        <v>165478</v>
      </c>
      <c r="B170" t="s">
        <v>2097</v>
      </c>
      <c r="C170" t="s">
        <v>2098</v>
      </c>
      <c r="D170" t="s">
        <v>2099</v>
      </c>
      <c r="E170">
        <v>1998</v>
      </c>
      <c r="G170" t="s">
        <v>3223</v>
      </c>
      <c r="H170" s="169" t="str">
        <f>HYPERLINK("https://scholar.google.com/scholar?hl=en&amp;as_q=&amp;as_oq=&amp;as_eq=&amp;as_sauthors=&amp;as_publication=&amp;as_ylo=&amp;as_yhi=&amp;as_occt=title&amp;as_sdt=0%2C5&amp;as_epq=%22Results+of+Acute+and+Chronic+Toxicity+Testing+with+Sodium+Perchlorate", "Google Scholar")</f>
        <v>Google Scholar</v>
      </c>
    </row>
    <row r="171" spans="1:8" x14ac:dyDescent="0.35">
      <c r="A171">
        <v>179719</v>
      </c>
      <c r="B171" t="s">
        <v>1134</v>
      </c>
      <c r="C171" t="s">
        <v>1135</v>
      </c>
      <c r="D171" t="s">
        <v>1136</v>
      </c>
      <c r="E171">
        <v>2000</v>
      </c>
      <c r="G171" t="s">
        <v>3224</v>
      </c>
      <c r="H171" s="170" t="str">
        <f>HYPERLINK("https://scholar.google.com/scholar?hl=en&amp;as_q=&amp;as_oq=&amp;as_eq=&amp;as_sauthors=&amp;as_publication=&amp;as_ylo=&amp;as_yhi=&amp;as_occt=title&amp;as_sdt=0%2C5&amp;as_epq=%22Technical+and+Toxicological+Information+on+Various+Materials+from+the+FMC+Corp", "Google Scholar")</f>
        <v>Google Scholar</v>
      </c>
    </row>
    <row r="172" spans="1:8" x14ac:dyDescent="0.35">
      <c r="A172">
        <v>151657</v>
      </c>
      <c r="B172" t="s">
        <v>1898</v>
      </c>
      <c r="C172" t="s">
        <v>1899</v>
      </c>
      <c r="D172" t="s">
        <v>1900</v>
      </c>
      <c r="E172">
        <v>1990</v>
      </c>
      <c r="G172" t="s">
        <v>3225</v>
      </c>
      <c r="H172" s="171" t="str">
        <f>HYPERLINK("https://scholar.google.com/scholar?hl=en&amp;as_q=&amp;as_oq=&amp;as_eq=&amp;as_sauthors=&amp;as_publication=&amp;as_ylo=&amp;as_yhi=&amp;as_occt=title&amp;as_sdt=0%2C5&amp;as_epq=%22Letter+Submitting+Three+Acute+Aquatic+Studies+and+One+Ready+Biodegradability+Study+as+Required+by+the+Testing+Co", "Google Scholar")</f>
        <v>Google Scholar</v>
      </c>
    </row>
    <row r="173" spans="1:8" x14ac:dyDescent="0.35">
      <c r="A173">
        <v>640</v>
      </c>
      <c r="B173" t="s">
        <v>1187</v>
      </c>
      <c r="C173" t="s">
        <v>1188</v>
      </c>
      <c r="D173" t="s">
        <v>1189</v>
      </c>
      <c r="E173">
        <v>1970</v>
      </c>
      <c r="G173" t="s">
        <v>3226</v>
      </c>
      <c r="H173" s="172" t="str">
        <f>HYPERLINK("https://scholar.google.com/scholar?hl=en&amp;as_q=&amp;as_oq=&amp;as_eq=&amp;as_sauthors=&amp;as_publication=&amp;as_ylo=&amp;as_yhi=&amp;as_occt=title&amp;as_sdt=0%2C5&amp;as_epq=%22Chronic+Malathion+Toxicity+to+the+Bluegill+%28Lepomis+macrochirus+Rafinesque%29", "Google Scholar")</f>
        <v>Google Scholar</v>
      </c>
    </row>
    <row r="174" spans="1:8" x14ac:dyDescent="0.35">
      <c r="A174">
        <v>158449</v>
      </c>
      <c r="B174" t="s">
        <v>2145</v>
      </c>
      <c r="C174" t="s">
        <v>2146</v>
      </c>
      <c r="D174" t="s">
        <v>2147</v>
      </c>
      <c r="E174">
        <v>2011</v>
      </c>
      <c r="G174" t="s">
        <v>3227</v>
      </c>
      <c r="H174" s="173" t="str">
        <f>HYPERLINK("https://scholar.google.com/scholar?hl=en&amp;as_q=&amp;as_oq=&amp;as_eq=&amp;as_sauthors=&amp;as_publication=&amp;as_ylo=&amp;as_yhi=&amp;as_occt=title&amp;as_sdt=0%2C5&amp;as_epq=%22Chronic+Toxicity+of+Chloride+to+Freshwater+Species%3A++Effects+of+Hardness+and+Implications+for+Water+Quality+Gu", "Google Scholar")</f>
        <v>Google Scholar</v>
      </c>
    </row>
    <row r="175" spans="1:8" x14ac:dyDescent="0.35">
      <c r="A175">
        <v>152780</v>
      </c>
      <c r="B175" t="s">
        <v>2240</v>
      </c>
      <c r="C175" t="s">
        <v>2241</v>
      </c>
      <c r="D175" t="s">
        <v>2242</v>
      </c>
      <c r="E175">
        <v>1985</v>
      </c>
      <c r="G175" t="s">
        <v>3228</v>
      </c>
      <c r="H175" s="174" t="str">
        <f>HYPERLINK("https://scholar.google.com/scholar?hl=en&amp;as_q=&amp;as_oq=&amp;as_eq=&amp;as_sauthors=&amp;as_publication=&amp;as_ylo=&amp;as_yhi=&amp;as_occt=title&amp;as_sdt=0%2C5&amp;as_epq=%22Evaluation+of+a+Model+for+the+Prediction+of+the+Effect+of+Fluctuating+Concentrations+on+the+Lethality+of+Copper+", "Google Scholar")</f>
        <v>Google Scholar</v>
      </c>
    </row>
    <row r="176" spans="1:8" x14ac:dyDescent="0.35">
      <c r="A176">
        <v>17871</v>
      </c>
      <c r="B176" t="s">
        <v>2256</v>
      </c>
      <c r="C176" t="s">
        <v>2257</v>
      </c>
      <c r="D176" t="s">
        <v>2258</v>
      </c>
      <c r="E176">
        <v>1997</v>
      </c>
      <c r="G176" t="s">
        <v>3229</v>
      </c>
      <c r="H176" s="175" t="str">
        <f>HYPERLINK("https://scholar.google.com/scholar?hl=en&amp;as_q=&amp;as_oq=&amp;as_eq=&amp;as_sauthors=&amp;as_publication=&amp;as_ylo=&amp;as_yhi=&amp;as_occt=title&amp;as_sdt=0%2C5&amp;as_epq=%22Effect+of+Acclimation+Period+on+the+Relationship+of+Acute+Copper+Toxicity+to+Water+Hardness+for+Fathead+Minnows", "Google Scholar")</f>
        <v>Google Scholar</v>
      </c>
    </row>
    <row r="177" spans="1:8" x14ac:dyDescent="0.35">
      <c r="A177">
        <v>16342</v>
      </c>
      <c r="B177" t="s">
        <v>2220</v>
      </c>
      <c r="C177" t="s">
        <v>2221</v>
      </c>
      <c r="D177" t="s">
        <v>2222</v>
      </c>
      <c r="E177">
        <v>1996</v>
      </c>
      <c r="G177" t="s">
        <v>3230</v>
      </c>
      <c r="H177" s="176" t="str">
        <f>HYPERLINK("https://scholar.google.com/scholar?hl=en&amp;as_q=&amp;as_oq=&amp;as_eq=&amp;as_sauthors=&amp;as_publication=&amp;as_ylo=&amp;as_yhi=&amp;as_occt=title&amp;as_sdt=0%2C5&amp;as_epq=%22The+Effects+of+Water+Chemistry+on+the+Toxicity+of+Copper+to+Fathead+Minnows", "Google Scholar")</f>
        <v>Google Scholar</v>
      </c>
    </row>
    <row r="178" spans="1:8" x14ac:dyDescent="0.35">
      <c r="A178">
        <v>76238</v>
      </c>
      <c r="B178" t="s">
        <v>2233</v>
      </c>
      <c r="C178" t="s">
        <v>2234</v>
      </c>
      <c r="D178" t="s">
        <v>2235</v>
      </c>
      <c r="E178">
        <v>1996</v>
      </c>
      <c r="G178" t="s">
        <v>3231</v>
      </c>
      <c r="H178" s="177" t="str">
        <f>HYPERLINK("https://scholar.google.com/scholar?hl=en&amp;as_q=&amp;as_oq=&amp;as_eq=&amp;as_sauthors=&amp;as_publication=&amp;as_ylo=&amp;as_yhi=&amp;as_occt=title&amp;as_sdt=0%2C5&amp;as_epq=%22A+Prototype+Toxicity+Factors+Model+for+Site-Specific+Copper+Water+Quality+Criteria", "Google Scholar")</f>
        <v>Google Scholar</v>
      </c>
    </row>
    <row r="179" spans="1:8" x14ac:dyDescent="0.35">
      <c r="A179">
        <v>18938</v>
      </c>
      <c r="B179" t="s">
        <v>2334</v>
      </c>
      <c r="C179" t="s">
        <v>2335</v>
      </c>
      <c r="D179" t="s">
        <v>2336</v>
      </c>
      <c r="E179">
        <v>1998</v>
      </c>
      <c r="G179" t="s">
        <v>3232</v>
      </c>
      <c r="H179" s="178" t="str">
        <f>HYPERLINK("https://scholar.google.com/scholar?hl=en&amp;as_q=&amp;as_oq=&amp;as_eq=&amp;as_sauthors=&amp;as_publication=&amp;as_ylo=&amp;as_yhi=&amp;as_occt=title&amp;as_sdt=0%2C5&amp;as_epq=%22Effects+of+Laboratory+Test+Conditions+on+the+Toxicity+of+Silver+to+Aquatic+Organisms", "Google Scholar")</f>
        <v>Google Scholar</v>
      </c>
    </row>
    <row r="180" spans="1:8" x14ac:dyDescent="0.35">
      <c r="A180">
        <v>76100</v>
      </c>
      <c r="B180" t="s">
        <v>1471</v>
      </c>
      <c r="C180" t="s">
        <v>1472</v>
      </c>
      <c r="D180" t="s">
        <v>1473</v>
      </c>
      <c r="E180">
        <v>1998</v>
      </c>
      <c r="G180" t="s">
        <v>3233</v>
      </c>
      <c r="H180" s="179" t="str">
        <f>HYPERLINK("https://scholar.google.com/scholar?hl=en&amp;as_q=&amp;as_oq=&amp;as_eq=&amp;as_sauthors=&amp;as_publication=&amp;as_ylo=&amp;as_yhi=&amp;as_occt=title&amp;as_sdt=0%2C5&amp;as_epq=%22Evaluation+of+Toxicity%2C+Bioavailability+and+Speciation+of+Lead%2C+Zinc+and+Cadmium+in+Mine%2FMill+Wastewaters", "Google Scholar")</f>
        <v>Google Scholar</v>
      </c>
    </row>
    <row r="181" spans="1:8" x14ac:dyDescent="0.35">
      <c r="A181">
        <v>11951</v>
      </c>
      <c r="B181" t="s">
        <v>298</v>
      </c>
      <c r="C181" t="s">
        <v>299</v>
      </c>
      <c r="D181" t="s">
        <v>300</v>
      </c>
      <c r="E181">
        <v>1986</v>
      </c>
      <c r="G181" t="s">
        <v>3234</v>
      </c>
      <c r="H181" s="180" t="str">
        <f>HYPERLINK("https://scholar.google.com/scholar?hl=en&amp;as_q=&amp;as_oq=&amp;as_eq=&amp;as_sauthors=&amp;as_publication=&amp;as_ylo=&amp;as_yhi=&amp;as_occt=title&amp;as_sdt=0%2C5&amp;as_epq=%22Simultaneous+Evaluation+of+the+Acute+Effects+of+Chemicals+on+Seven+Aquatic+Species", "Google Scholar")</f>
        <v>Google Scholar</v>
      </c>
    </row>
    <row r="182" spans="1:8" x14ac:dyDescent="0.35">
      <c r="A182">
        <v>87170</v>
      </c>
      <c r="B182" t="s">
        <v>2619</v>
      </c>
      <c r="C182" t="s">
        <v>2620</v>
      </c>
      <c r="D182" t="s">
        <v>2621</v>
      </c>
      <c r="E182">
        <v>2005</v>
      </c>
      <c r="G182" t="s">
        <v>3235</v>
      </c>
      <c r="H182" s="181" t="str">
        <f>HYPERLINK("https://scholar.google.com/scholar?hl=en&amp;as_q=&amp;as_oq=&amp;as_eq=&amp;as_sauthors=&amp;as_publication=&amp;as_ylo=&amp;as_yhi=&amp;as_occt=title&amp;as_sdt=0%2C5&amp;as_epq=%22Chronic+Toxicity+of+Un-Ionized+Ammonia+to+Early+Life-Stages+of+Endangered+Colorado+Pikeminnow+%28Ptychocheilus+l", "Google Scholar")</f>
        <v>Google Scholar</v>
      </c>
    </row>
    <row r="183" spans="1:8" x14ac:dyDescent="0.35">
      <c r="A183">
        <v>9311</v>
      </c>
      <c r="B183" t="s">
        <v>2871</v>
      </c>
      <c r="C183" t="s">
        <v>2872</v>
      </c>
      <c r="D183" t="s">
        <v>2873</v>
      </c>
      <c r="E183">
        <v>1993</v>
      </c>
      <c r="G183" t="s">
        <v>3236</v>
      </c>
      <c r="H183" s="182" t="str">
        <f>HYPERLINK("https://scholar.google.com/scholar?hl=en&amp;as_q=&amp;as_oq=&amp;as_eq=&amp;as_sauthors=&amp;as_publication=&amp;as_ylo=&amp;as_yhi=&amp;as_occt=title&amp;as_sdt=0%2C5&amp;as_epq=%22Evaluation+of+a+Laboratory-Generated+NOEC+for+Linear+Alkylbenzene+Sulfonate+in+Outdoor+Experimental+Streams", "Google Scholar")</f>
        <v>Google Scholar</v>
      </c>
    </row>
    <row r="184" spans="1:8" x14ac:dyDescent="0.35">
      <c r="A184">
        <v>18386</v>
      </c>
      <c r="B184" t="s">
        <v>1977</v>
      </c>
      <c r="C184" t="s">
        <v>1978</v>
      </c>
      <c r="D184" t="s">
        <v>1979</v>
      </c>
      <c r="E184">
        <v>1998</v>
      </c>
      <c r="G184" t="s">
        <v>3237</v>
      </c>
      <c r="H184" s="183" t="str">
        <f>HYPERLINK("https://scholar.google.com/scholar?hl=en&amp;as_q=&amp;as_oq=&amp;as_eq=&amp;as_sauthors=&amp;as_publication=&amp;as_ylo=&amp;as_yhi=&amp;as_occt=title&amp;as_sdt=0%2C5&amp;as_epq=%22Acute+Toxicity+of+a+Didecyldimethylammonium+Chloride-Based+Wood+Preservative%2C+Bardac+2280%2C+to+Aquatic+Specie", "Google Scholar")</f>
        <v>Google Scholar</v>
      </c>
    </row>
    <row r="185" spans="1:8" x14ac:dyDescent="0.35">
      <c r="A185">
        <v>12260</v>
      </c>
      <c r="B185" t="s">
        <v>921</v>
      </c>
      <c r="C185" t="s">
        <v>922</v>
      </c>
      <c r="D185" t="s">
        <v>923</v>
      </c>
      <c r="E185">
        <v>1986</v>
      </c>
      <c r="G185" t="s">
        <v>3238</v>
      </c>
      <c r="H185" s="184" t="str">
        <f>HYPERLINK("https://scholar.google.com/scholar?hl=en&amp;as_q=&amp;as_oq=&amp;as_eq=&amp;as_sauthors=&amp;as_publication=&amp;as_ylo=&amp;as_yhi=&amp;as_occt=title&amp;as_sdt=0%2C5&amp;as_epq=%22Assessment+of+the+Safety+of+Dioctyl+Adipate+in+Freshwater+Environments", "Google Scholar")</f>
        <v>Google Scholar</v>
      </c>
    </row>
    <row r="186" spans="1:8" x14ac:dyDescent="0.35">
      <c r="A186">
        <v>12734</v>
      </c>
      <c r="B186" t="s">
        <v>2159</v>
      </c>
      <c r="C186" t="s">
        <v>2160</v>
      </c>
      <c r="D186" t="s">
        <v>2161</v>
      </c>
      <c r="E186">
        <v>1986</v>
      </c>
      <c r="G186" t="s">
        <v>3239</v>
      </c>
      <c r="H186" s="185" t="str">
        <f>HYPERLINK("https://scholar.google.com/scholar?hl=en&amp;as_q=&amp;as_oq=&amp;as_eq=&amp;as_sauthors=&amp;as_publication=&amp;as_ylo=&amp;as_yhi=&amp;as_occt=title&amp;as_sdt=0%2C5&amp;as_epq=%22Toxicity+of+Fluorides+to+Aquatic+Organisms%3A+Modeling+for+Water+Hardness+and+Temperature", "Google Scholar")</f>
        <v>Google Scholar</v>
      </c>
    </row>
    <row r="187" spans="1:8" x14ac:dyDescent="0.35">
      <c r="A187">
        <v>9512</v>
      </c>
      <c r="B187" t="s">
        <v>677</v>
      </c>
      <c r="C187" t="s">
        <v>678</v>
      </c>
      <c r="D187" t="s">
        <v>679</v>
      </c>
      <c r="E187">
        <v>1985</v>
      </c>
      <c r="G187" t="s">
        <v>3240</v>
      </c>
      <c r="H187" s="186" t="str">
        <f>HYPERLINK("https://scholar.google.com/scholar?hl=en&amp;as_q=&amp;as_oq=&amp;as_eq=&amp;as_sauthors=&amp;as_publication=&amp;as_ylo=&amp;as_yhi=&amp;as_occt=title&amp;as_sdt=0%2C5&amp;as_epq=%22Comparison+of+Laboratory+and+Field+Assessment+of+Fluorene+-+Part+1%3A+Effects+of+Fluorene+on+the+Survival%2C+Gro", "Google Scholar")</f>
        <v>Google Scholar</v>
      </c>
    </row>
    <row r="188" spans="1:8" x14ac:dyDescent="0.35">
      <c r="A188">
        <v>734</v>
      </c>
      <c r="B188" t="s">
        <v>1585</v>
      </c>
      <c r="C188" t="s">
        <v>1586</v>
      </c>
      <c r="D188" t="s">
        <v>1587</v>
      </c>
      <c r="E188">
        <v>1989</v>
      </c>
      <c r="G188" t="s">
        <v>3241</v>
      </c>
      <c r="H188" s="187" t="str">
        <f>HYPERLINK("https://scholar.google.com/scholar?hl=en&amp;as_q=&amp;as_oq=&amp;as_eq=&amp;as_sauthors=&amp;as_publication=&amp;as_ylo=&amp;as_yhi=&amp;as_occt=title&amp;as_sdt=0%2C5&amp;as_epq=%22Comparative+Acute+Toxicity+of+Diethyleneglycol+Dinitrate+to+Freshwater+Aquatic+Organisms", "Google Scholar")</f>
        <v>Google Scholar</v>
      </c>
    </row>
    <row r="189" spans="1:8" x14ac:dyDescent="0.35">
      <c r="A189">
        <v>5752</v>
      </c>
      <c r="B189" t="s">
        <v>2830</v>
      </c>
      <c r="C189" t="s">
        <v>2831</v>
      </c>
      <c r="D189" t="s">
        <v>2832</v>
      </c>
      <c r="E189">
        <v>1979</v>
      </c>
      <c r="G189" t="s">
        <v>3242</v>
      </c>
      <c r="H189" s="188" t="str">
        <f>HYPERLINK("https://scholar.google.com/scholar?hl=en&amp;as_q=&amp;as_oq=&amp;as_eq=&amp;as_sauthors=&amp;as_publication=&amp;as_ylo=&amp;as_yhi=&amp;as_occt=title&amp;as_sdt=0%2C5&amp;as_epq=%22Toxicity+of+the+Herbicide+Glyphosate+and+Several+of+Its+Formulations+to+Fish+and+Aquatic+Invertebrates", "Google Scholar")</f>
        <v>Google Scholar</v>
      </c>
    </row>
    <row r="190" spans="1:8" x14ac:dyDescent="0.35">
      <c r="A190">
        <v>83754</v>
      </c>
      <c r="B190" t="s">
        <v>2328</v>
      </c>
      <c r="C190" t="s">
        <v>2329</v>
      </c>
      <c r="D190" t="s">
        <v>2330</v>
      </c>
      <c r="E190">
        <v>1996</v>
      </c>
      <c r="G190" t="s">
        <v>3243</v>
      </c>
      <c r="H190" s="189" t="str">
        <f>HYPERLINK("https://scholar.google.com/scholar?hl=en&amp;as_q=&amp;as_oq=&amp;as_eq=&amp;as_sauthors=&amp;as_publication=&amp;as_ylo=&amp;as_yhi=&amp;as_occt=title&amp;as_sdt=0%2C5&amp;as_epq=%22Silver+in+a+Freshwater+Ecosystem%3A++Acute+Toxicity+and+Trophic+Transfer", "Google Scholar")</f>
        <v>Google Scholar</v>
      </c>
    </row>
    <row r="191" spans="1:8" x14ac:dyDescent="0.35">
      <c r="A191">
        <v>17382</v>
      </c>
      <c r="B191" t="s">
        <v>2793</v>
      </c>
      <c r="C191" t="s">
        <v>2794</v>
      </c>
      <c r="D191" t="s">
        <v>2795</v>
      </c>
      <c r="E191">
        <v>1996</v>
      </c>
      <c r="G191" t="s">
        <v>3244</v>
      </c>
      <c r="H191" s="190" t="str">
        <f>HYPERLINK("https://scholar.google.com/scholar?hl=en&amp;as_q=&amp;as_oq=&amp;as_eq=&amp;as_sauthors=&amp;as_publication=&amp;as_ylo=&amp;as_yhi=&amp;as_occt=title&amp;as_sdt=0%2C5&amp;as_epq=%22Acute+Toxicity+of+Firefighting+Chemical+Formulations+to+Four+Life+Stages+of+Fathead+Minnow", "Google Scholar")</f>
        <v>Google Scholar</v>
      </c>
    </row>
    <row r="192" spans="1:8" x14ac:dyDescent="0.35">
      <c r="A192">
        <v>9180</v>
      </c>
      <c r="B192" t="s">
        <v>1474</v>
      </c>
      <c r="C192" t="s">
        <v>1475</v>
      </c>
      <c r="D192" t="s">
        <v>1476</v>
      </c>
      <c r="E192">
        <v>1992</v>
      </c>
      <c r="G192" t="s">
        <v>3245</v>
      </c>
      <c r="H192" s="191" t="str">
        <f>HYPERLINK("https://scholar.google.com/scholar?hl=en&amp;as_q=&amp;as_oq=&amp;as_eq=&amp;as_sauthors=&amp;as_publication=&amp;as_ylo=&amp;as_yhi=&amp;as_occt=title&amp;as_sdt=0%2C5&amp;as_epq=%22An+Evaluation+of+the+Acute+Toxicity+of+Lead%2C+Zinc%2C+and+Cadmium+in+Missouri+Ozark+Groundwater", "Google Scholar")</f>
        <v>Google Scholar</v>
      </c>
    </row>
    <row r="193" spans="1:8" x14ac:dyDescent="0.35">
      <c r="A193">
        <v>2071</v>
      </c>
      <c r="B193" t="s">
        <v>2223</v>
      </c>
      <c r="C193" t="s">
        <v>2224</v>
      </c>
      <c r="D193" t="s">
        <v>2225</v>
      </c>
      <c r="E193">
        <v>1976</v>
      </c>
      <c r="G193" t="s">
        <v>3246</v>
      </c>
      <c r="H193" s="192" t="str">
        <f>HYPERLINK("https://scholar.google.com/scholar?hl=en&amp;as_q=&amp;as_oq=&amp;as_eq=&amp;as_sauthors=&amp;as_publication=&amp;as_ylo=&amp;as_yhi=&amp;as_occt=title&amp;as_sdt=0%2C5&amp;as_epq=%22Validity+of+Laboratory+Tests+for+Predicting+Copper+Toxicity+in+Streams", "Google Scholar")</f>
        <v>Google Scholar</v>
      </c>
    </row>
    <row r="194" spans="1:8" x14ac:dyDescent="0.35">
      <c r="A194">
        <v>12447</v>
      </c>
      <c r="B194" t="s">
        <v>141</v>
      </c>
      <c r="C194" t="s">
        <v>142</v>
      </c>
      <c r="D194" t="s">
        <v>143</v>
      </c>
      <c r="E194">
        <v>1985</v>
      </c>
      <c r="F194" t="s">
        <v>3129</v>
      </c>
      <c r="G194" t="s">
        <v>3247</v>
      </c>
      <c r="H194" s="193" t="str">
        <f>HYPERLINK("https://scholar.google.com/scholar?hl=en&amp;as_q=&amp;as_oq=&amp;as_eq=&amp;as_sauthors=&amp;as_publication=&amp;as_ylo=&amp;as_yhi=&amp;as_occt=title&amp;as_sdt=0%2C5&amp;as_epq=%22Acute+Toxicities+of+Organic+Chemicals+to+Fathead+Minnows+%28Pimephales+promelas%29%2C+Volume+II", "Google Scholar")</f>
        <v>Google Scholar</v>
      </c>
    </row>
    <row r="195" spans="1:8" x14ac:dyDescent="0.35">
      <c r="A195">
        <v>12859</v>
      </c>
      <c r="B195" t="s">
        <v>80</v>
      </c>
      <c r="C195" t="s">
        <v>81</v>
      </c>
      <c r="D195" t="s">
        <v>82</v>
      </c>
      <c r="E195">
        <v>1988</v>
      </c>
      <c r="F195" t="s">
        <v>3129</v>
      </c>
      <c r="G195" t="s">
        <v>3248</v>
      </c>
      <c r="H195" s="194" t="str">
        <f>HYPERLINK("https://scholar.google.com/scholar?hl=en&amp;as_q=&amp;as_oq=&amp;as_eq=&amp;as_sauthors=&amp;as_publication=&amp;as_ylo=&amp;as_yhi=&amp;as_occt=title&amp;as_sdt=0%2C5&amp;as_epq=%22Acute+Toxicities+of+Organic+Chemicals+to+Fathead+Minnows+%28Pimephales+promelas%29+Volume+IV", "Google Scholar")</f>
        <v>Google Scholar</v>
      </c>
    </row>
    <row r="196" spans="1:8" x14ac:dyDescent="0.35">
      <c r="A196">
        <v>3217</v>
      </c>
      <c r="B196" t="s">
        <v>75</v>
      </c>
      <c r="C196" t="s">
        <v>76</v>
      </c>
      <c r="D196" t="s">
        <v>77</v>
      </c>
      <c r="E196">
        <v>1990</v>
      </c>
      <c r="F196" t="s">
        <v>3129</v>
      </c>
      <c r="G196" t="s">
        <v>3249</v>
      </c>
      <c r="H196" s="195" t="str">
        <f>HYPERLINK("https://scholar.google.com/scholar?hl=en&amp;as_q=&amp;as_oq=&amp;as_eq=&amp;as_sauthors=&amp;as_publication=&amp;as_ylo=&amp;as_yhi=&amp;as_occt=title&amp;as_sdt=0%2C5&amp;as_epq=%22Acute+Toxicities+of+Organic+Chemicals+to+Fathead+Minnows+%28Pimephales+promelas%29%2C+Volume+V", "Google Scholar")</f>
        <v>Google Scholar</v>
      </c>
    </row>
    <row r="197" spans="1:8" x14ac:dyDescent="0.35">
      <c r="A197">
        <v>12858</v>
      </c>
      <c r="B197" t="s">
        <v>263</v>
      </c>
      <c r="C197" t="s">
        <v>264</v>
      </c>
      <c r="D197" t="s">
        <v>265</v>
      </c>
      <c r="E197">
        <v>1986</v>
      </c>
      <c r="F197" t="s">
        <v>3129</v>
      </c>
      <c r="G197" t="s">
        <v>3250</v>
      </c>
      <c r="H197" s="196" t="str">
        <f>HYPERLINK("https://scholar.google.com/scholar?hl=en&amp;as_q=&amp;as_oq=&amp;as_eq=&amp;as_sauthors=&amp;as_publication=&amp;as_ylo=&amp;as_yhi=&amp;as_occt=title&amp;as_sdt=0%2C5&amp;as_epq=%22Acute+Toxicities+of+Organic+Chemicals+to+Fathead+Minnows+%28Pimephales+promelas%29+Volume+III", "Google Scholar")</f>
        <v>Google Scholar</v>
      </c>
    </row>
    <row r="198" spans="1:8" x14ac:dyDescent="0.35">
      <c r="A198">
        <v>9390</v>
      </c>
      <c r="B198" t="s">
        <v>2375</v>
      </c>
      <c r="C198" t="s">
        <v>2376</v>
      </c>
      <c r="D198" t="s">
        <v>2377</v>
      </c>
      <c r="E198">
        <v>1993</v>
      </c>
      <c r="G198" t="s">
        <v>3251</v>
      </c>
      <c r="H198" s="197" t="str">
        <f>HYPERLINK("https://scholar.google.com/scholar?hl=en&amp;as_q=&amp;as_oq=&amp;as_eq=&amp;as_sauthors=&amp;as_publication=&amp;as_ylo=&amp;as_yhi=&amp;as_occt=title&amp;as_sdt=0%2C5&amp;as_epq=%22Toxicity+of+Hexavalent+Chromium+from+Aqueous+and+Sediment+Sources+to+Pimephales+promelas+and+Ictalurus+punctatus", "Google Scholar")</f>
        <v>Google Scholar</v>
      </c>
    </row>
    <row r="199" spans="1:8" x14ac:dyDescent="0.35">
      <c r="A199">
        <v>11961</v>
      </c>
      <c r="B199" t="s">
        <v>733</v>
      </c>
      <c r="C199" t="s">
        <v>734</v>
      </c>
      <c r="D199" t="s">
        <v>735</v>
      </c>
      <c r="E199">
        <v>1986</v>
      </c>
      <c r="G199" t="s">
        <v>3252</v>
      </c>
      <c r="H199" s="198" t="str">
        <f>HYPERLINK("https://scholar.google.com/scholar?hl=en&amp;as_q=&amp;as_oq=&amp;as_eq=&amp;as_sauthors=&amp;as_publication=&amp;as_ylo=&amp;as_yhi=&amp;as_occt=title&amp;as_sdt=0%2C5&amp;as_epq=%22Acute+Toxicity+Tests+with+Daphnia+magna+Straus+and+Pimephales+promelas+Rafinesque+in+Support+of+National+Polluta", "Google Scholar")</f>
        <v>Google Scholar</v>
      </c>
    </row>
    <row r="200" spans="1:8" x14ac:dyDescent="0.35">
      <c r="A200">
        <v>15277</v>
      </c>
      <c r="B200" t="s">
        <v>621</v>
      </c>
      <c r="C200" t="s">
        <v>622</v>
      </c>
      <c r="D200" t="s">
        <v>623</v>
      </c>
      <c r="E200">
        <v>1982</v>
      </c>
      <c r="G200" t="s">
        <v>3253</v>
      </c>
      <c r="H200" s="199" t="str">
        <f>HYPERLINK("https://scholar.google.com/scholar?hl=en&amp;as_q=&amp;as_oq=&amp;as_eq=&amp;as_sauthors=&amp;as_publication=&amp;as_ylo=&amp;as_yhi=&amp;as_occt=title&amp;as_sdt=0%2C5&amp;as_epq=%22Effects+of+an+Aquatic+Plant+and+Suspended+Clay+on+the+Activity+of+Fish+Toxicants", "Google Scholar")</f>
        <v>Google Scholar</v>
      </c>
    </row>
    <row r="201" spans="1:8" x14ac:dyDescent="0.35">
      <c r="A201">
        <v>15239</v>
      </c>
      <c r="B201" t="s">
        <v>653</v>
      </c>
      <c r="C201" t="s">
        <v>654</v>
      </c>
      <c r="D201" t="s">
        <v>655</v>
      </c>
      <c r="E201">
        <v>1980</v>
      </c>
      <c r="G201" t="s">
        <v>3254</v>
      </c>
      <c r="H201" s="200" t="str">
        <f>HYPERLINK("https://scholar.google.com/scholar?hl=en&amp;as_q=&amp;as_oq=&amp;as_eq=&amp;as_sauthors=&amp;as_publication=&amp;as_ylo=&amp;as_yhi=&amp;as_occt=title&amp;as_sdt=0%2C5&amp;as_epq=%22An+Environmental+Safety+Assessment+of+Butyl+Benzyl+Phthalate", "Google Scholar")</f>
        <v>Google Scholar</v>
      </c>
    </row>
    <row r="202" spans="1:8" x14ac:dyDescent="0.35">
      <c r="A202">
        <v>7341</v>
      </c>
      <c r="B202" t="s">
        <v>2203</v>
      </c>
      <c r="C202" t="s">
        <v>2204</v>
      </c>
      <c r="D202" t="s">
        <v>2205</v>
      </c>
      <c r="E202">
        <v>1978</v>
      </c>
      <c r="G202" t="s">
        <v>3255</v>
      </c>
      <c r="H202" s="201" t="str">
        <f>HYPERLINK("https://scholar.google.com/scholar?hl=en&amp;as_q=&amp;as_oq=&amp;as_eq=&amp;as_sauthors=&amp;as_publication=&amp;as_ylo=&amp;as_yhi=&amp;as_occt=title&amp;as_sdt=0%2C5&amp;as_epq=%22Water+Pollution+Studies", "Google Scholar")</f>
        <v>Google Scholar</v>
      </c>
    </row>
    <row r="203" spans="1:8" x14ac:dyDescent="0.35">
      <c r="A203">
        <v>8353</v>
      </c>
      <c r="B203" t="s">
        <v>1343</v>
      </c>
      <c r="C203" t="s">
        <v>1344</v>
      </c>
      <c r="D203" t="s">
        <v>1345</v>
      </c>
      <c r="E203">
        <v>1976</v>
      </c>
      <c r="G203" t="s">
        <v>3256</v>
      </c>
      <c r="H203" s="202" t="str">
        <f>HYPERLINK("https://scholar.google.com/scholar?hl=en&amp;as_q=&amp;as_oq=&amp;as_eq=&amp;as_sauthors=&amp;as_publication=&amp;as_ylo=&amp;as_yhi=&amp;as_occt=title&amp;as_sdt=0%2C5&amp;as_epq=%22Acute+Static+and+Subacute+Dynamic+Toxicity+Studies+Conducted+with+Free+and+Combined+Cyanide+in+Rainbow+Trout+and", "Google Scholar")</f>
        <v>Google Scholar</v>
      </c>
    </row>
    <row r="204" spans="1:8" x14ac:dyDescent="0.35">
      <c r="A204">
        <v>175095</v>
      </c>
      <c r="B204" t="s">
        <v>2481</v>
      </c>
      <c r="C204" t="s">
        <v>2482</v>
      </c>
      <c r="D204" t="s">
        <v>2483</v>
      </c>
      <c r="E204">
        <v>2015</v>
      </c>
      <c r="G204" t="s">
        <v>3257</v>
      </c>
      <c r="H204" s="203" t="str">
        <f>HYPERLINK("https://scholar.google.com/scholar?hl=en&amp;as_q=&amp;as_oq=&amp;as_eq=&amp;as_sauthors=&amp;as_publication=&amp;as_ylo=&amp;as_yhi=&amp;as_occt=title&amp;as_sdt=0%2C5&amp;as_epq=%22Impact+of+Environmentally+Based+Chemical+Hardness+on+Uranium+Speciation+and+Toxicity+in+Six+Aquatic+Species", "Google Scholar")</f>
        <v>Google Scholar</v>
      </c>
    </row>
    <row r="205" spans="1:8" x14ac:dyDescent="0.35">
      <c r="A205">
        <v>174085</v>
      </c>
      <c r="B205" t="s">
        <v>1708</v>
      </c>
      <c r="C205" t="s">
        <v>1709</v>
      </c>
      <c r="D205" t="s">
        <v>1710</v>
      </c>
      <c r="E205">
        <v>1992</v>
      </c>
      <c r="G205" t="s">
        <v>3258</v>
      </c>
      <c r="H205" s="204" t="str">
        <f>HYPERLINK("https://scholar.google.com/scholar?hl=en&amp;as_q=&amp;as_oq=&amp;as_eq=&amp;as_sauthors=&amp;as_publication=&amp;as_ylo=&amp;as_yhi=&amp;as_occt=title&amp;as_sdt=0%2C5&amp;as_epq=%22A+Comparison+of+the+Environmental+Cycling+and+Toxicity+of+Selenite+and+Selenomethionine", "Google Scholar")</f>
        <v>Google Scholar</v>
      </c>
    </row>
    <row r="206" spans="1:8" x14ac:dyDescent="0.35">
      <c r="A206">
        <v>180457</v>
      </c>
      <c r="B206" t="s">
        <v>590</v>
      </c>
      <c r="C206" t="s">
        <v>591</v>
      </c>
      <c r="D206" t="s">
        <v>592</v>
      </c>
      <c r="E206">
        <v>2000</v>
      </c>
      <c r="G206" t="s">
        <v>3259</v>
      </c>
      <c r="H206" s="205" t="str">
        <f>HYPERLINK("https://scholar.google.com/scholar?hl=en&amp;as_q=&amp;as_oq=&amp;as_eq=&amp;as_sauthors=&amp;as_publication=&amp;as_ylo=&amp;as_yhi=&amp;as_occt=title&amp;as_sdt=0%2C5&amp;as_epq=%22Acute+Toxicity+of+Tetrabromobisphenol+A+to+Fathead+Minnow+%28Pimephales+promelas%29+Under+Flow-Through+Condition", "Google Scholar")</f>
        <v>Google Scholar</v>
      </c>
    </row>
    <row r="207" spans="1:8" x14ac:dyDescent="0.35">
      <c r="A207">
        <v>18390</v>
      </c>
      <c r="B207" t="s">
        <v>996</v>
      </c>
      <c r="C207" t="s">
        <v>997</v>
      </c>
      <c r="D207" t="s">
        <v>998</v>
      </c>
      <c r="E207">
        <v>1997</v>
      </c>
      <c r="G207" t="s">
        <v>3260</v>
      </c>
      <c r="H207" s="206" t="str">
        <f>HYPERLINK("https://scholar.google.com/scholar?hl=en&amp;as_q=&amp;as_oq=&amp;as_eq=&amp;as_sauthors=&amp;as_publication=&amp;as_ylo=&amp;as_yhi=&amp;as_occt=title&amp;as_sdt=0%2C5&amp;as_epq=%22Toxicological+Mechanisms+of+a+Multicomponent+Agricultural+Seed+Protectant+in+the+Rainbow+Trout+%28Oncorhynchus+m", "Google Scholar")</f>
        <v>Google Scholar</v>
      </c>
    </row>
    <row r="208" spans="1:8" x14ac:dyDescent="0.35">
      <c r="A208">
        <v>120113</v>
      </c>
      <c r="B208" t="s">
        <v>2667</v>
      </c>
      <c r="C208" t="s">
        <v>2668</v>
      </c>
      <c r="D208" t="s">
        <v>2669</v>
      </c>
      <c r="E208">
        <v>2009</v>
      </c>
      <c r="G208" t="s">
        <v>3261</v>
      </c>
      <c r="H208" s="207" t="str">
        <f>HYPERLINK("https://scholar.google.com/scholar?hl=en&amp;as_q=&amp;as_oq=&amp;as_eq=&amp;as_sauthors=&amp;as_publication=&amp;as_ylo=&amp;as_yhi=&amp;as_occt=title&amp;as_sdt=0%2C5&amp;as_epq=%22Acute+and+Chronic+Toxicity+of+Nano-Scale+TiO2+Particles+to+Freshwater+Fish%2C+Cladocerans%2C+and+Green+Algae%2C+", "Google Scholar")</f>
        <v>Google Scholar</v>
      </c>
    </row>
    <row r="209" spans="1:8" x14ac:dyDescent="0.35">
      <c r="A209">
        <v>12267</v>
      </c>
      <c r="B209" t="s">
        <v>2213</v>
      </c>
      <c r="C209" t="s">
        <v>2214</v>
      </c>
      <c r="D209" t="s">
        <v>2215</v>
      </c>
      <c r="E209">
        <v>1986</v>
      </c>
      <c r="G209" t="s">
        <v>3262</v>
      </c>
      <c r="H209" s="208" t="str">
        <f>HYPERLINK("https://scholar.google.com/scholar?hl=en&amp;as_q=&amp;as_oq=&amp;as_eq=&amp;as_sauthors=&amp;as_publication=&amp;as_ylo=&amp;as_yhi=&amp;as_occt=title&amp;as_sdt=0%2C5&amp;as_epq=%22Effects+of+Suspended+Solids+on+the+Acute+Toxicity+of+Zinc+to+Daphnia+magna+and+Pimephales+promelas", "Google Scholar")</f>
        <v>Google Scholar</v>
      </c>
    </row>
    <row r="210" spans="1:8" x14ac:dyDescent="0.35">
      <c r="A210">
        <v>11956</v>
      </c>
      <c r="B210" t="s">
        <v>1260</v>
      </c>
      <c r="C210" t="s">
        <v>1261</v>
      </c>
      <c r="D210" t="s">
        <v>1262</v>
      </c>
      <c r="E210">
        <v>1986</v>
      </c>
      <c r="G210" t="s">
        <v>3263</v>
      </c>
      <c r="H210" s="209" t="str">
        <f>HYPERLINK("https://scholar.google.com/scholar?hl=en&amp;as_q=&amp;as_oq=&amp;as_eq=&amp;as_sauthors=&amp;as_publication=&amp;as_ylo=&amp;as_yhi=&amp;as_occt=title&amp;as_sdt=0%2C5&amp;as_epq=%22Acute+Toxicity+of+Cadmium+and+Sodium+Pentachlorophenate+to+Daphnids+and+Fish", "Google Scholar")</f>
        <v>Google Scholar</v>
      </c>
    </row>
    <row r="211" spans="1:8" x14ac:dyDescent="0.35">
      <c r="A211">
        <v>486</v>
      </c>
      <c r="B211" t="s">
        <v>2397</v>
      </c>
      <c r="C211" t="s">
        <v>2398</v>
      </c>
      <c r="D211" t="s">
        <v>2399</v>
      </c>
      <c r="E211">
        <v>1980</v>
      </c>
      <c r="G211" t="s">
        <v>3264</v>
      </c>
      <c r="H211" s="210" t="str">
        <f>HYPERLINK("https://scholar.google.com/scholar?hl=en&amp;as_q=&amp;as_oq=&amp;as_eq=&amp;as_sauthors=&amp;as_publication=&amp;as_ylo=&amp;as_yhi=&amp;as_occt=title&amp;as_sdt=0%2C5&amp;as_epq=%22Selenium+Toxicity+to+Daphnia+magna%2C+Hyallela+azteca%2C+and+the+Fathead+Minnow+in+Hard+Water", "Google Scholar")</f>
        <v>Google Scholar</v>
      </c>
    </row>
    <row r="212" spans="1:8" x14ac:dyDescent="0.35">
      <c r="A212">
        <v>12170</v>
      </c>
      <c r="B212" t="s">
        <v>2928</v>
      </c>
      <c r="C212" t="s">
        <v>2929</v>
      </c>
      <c r="D212" t="s">
        <v>2930</v>
      </c>
      <c r="E212">
        <v>1986</v>
      </c>
      <c r="G212" t="s">
        <v>3265</v>
      </c>
      <c r="H212" s="211" t="str">
        <f>HYPERLINK("https://scholar.google.com/scholar?hl=en&amp;as_q=&amp;as_oq=&amp;as_eq=&amp;as_sauthors=&amp;as_publication=&amp;as_ylo=&amp;as_yhi=&amp;as_occt=title&amp;as_sdt=0%2C5&amp;as_epq=%22Toxicity+of+Fluridone+to+Aquatic+Invertebrates+and+Fish", "Google Scholar")</f>
        <v>Google Scholar</v>
      </c>
    </row>
    <row r="213" spans="1:8" x14ac:dyDescent="0.35">
      <c r="A213">
        <v>121067</v>
      </c>
      <c r="B213" t="s">
        <v>2082</v>
      </c>
      <c r="C213" t="s">
        <v>2083</v>
      </c>
      <c r="D213" t="s">
        <v>2084</v>
      </c>
      <c r="E213">
        <v>1982</v>
      </c>
      <c r="G213" t="s">
        <v>3266</v>
      </c>
      <c r="H213" s="212" t="str">
        <f>HYPERLINK("https://scholar.google.com/scholar?hl=en&amp;as_q=&amp;as_oq=&amp;as_eq=&amp;as_sauthors=&amp;as_publication=&amp;as_ylo=&amp;as_yhi=&amp;as_occt=title&amp;as_sdt=0%2C5&amp;as_epq=%22Comparison+of+Copper%2C+Lead+and+Zinc+Toxicity+to+Four+Animal+Species+in+Laboratory+and+St.+Louis+River+Water", "Google Scholar")</f>
        <v>Google Scholar</v>
      </c>
    </row>
    <row r="214" spans="1:8" x14ac:dyDescent="0.35">
      <c r="A214">
        <v>81341</v>
      </c>
      <c r="B214" t="s">
        <v>2968</v>
      </c>
      <c r="C214" t="s">
        <v>2969</v>
      </c>
      <c r="D214" t="s">
        <v>2970</v>
      </c>
      <c r="E214">
        <v>1994</v>
      </c>
      <c r="G214" t="s">
        <v>3267</v>
      </c>
      <c r="H214" s="213" t="str">
        <f>HYPERLINK("https://scholar.google.com/scholar?hl=en&amp;as_q=&amp;as_oq=&amp;as_eq=&amp;as_sauthors=&amp;as_publication=&amp;as_ylo=&amp;as_yhi=&amp;as_occt=title&amp;as_sdt=0%2C5&amp;as_epq=%22Heat+and+Cold+Tolerance+of+the+Fathead+Minnow%2C+Pimephales+promelas%2C+Exposed+to+the+Synthetic+Pyrethroid+Cyfl", "Google Scholar")</f>
        <v>Google Scholar</v>
      </c>
    </row>
    <row r="215" spans="1:8" x14ac:dyDescent="0.35">
      <c r="A215">
        <v>11958</v>
      </c>
      <c r="B215" t="s">
        <v>688</v>
      </c>
      <c r="C215" t="s">
        <v>689</v>
      </c>
      <c r="D215" t="s">
        <v>690</v>
      </c>
      <c r="E215">
        <v>1986</v>
      </c>
      <c r="G215" t="s">
        <v>3268</v>
      </c>
      <c r="H215" s="214" t="str">
        <f>HYPERLINK("https://scholar.google.com/scholar?hl=en&amp;as_q=&amp;as_oq=&amp;as_eq=&amp;as_sauthors=&amp;as_publication=&amp;as_ylo=&amp;as_yhi=&amp;as_occt=title&amp;as_sdt=0%2C5&amp;as_epq=%22Toxicity+of+Pentachlorophenol+to+Aquatic+Organisms+Under+Naturally+Varying+and+Controlled+Environmental+Conditio", "Google Scholar")</f>
        <v>Google Scholar</v>
      </c>
    </row>
    <row r="216" spans="1:8" x14ac:dyDescent="0.35">
      <c r="A216">
        <v>17135</v>
      </c>
      <c r="B216" t="s">
        <v>528</v>
      </c>
      <c r="C216" t="s">
        <v>529</v>
      </c>
      <c r="D216" t="s">
        <v>530</v>
      </c>
      <c r="E216">
        <v>1956</v>
      </c>
      <c r="G216" t="s">
        <v>3269</v>
      </c>
      <c r="H216" s="215" t="str">
        <f>HYPERLINK("https://scholar.google.com/scholar?hl=en&amp;as_q=&amp;as_oq=&amp;as_eq=&amp;as_sauthors=&amp;as_publication=&amp;as_ylo=&amp;as_yhi=&amp;as_occt=title&amp;as_sdt=0%2C5&amp;as_epq=%22Bioassay+Investigations+for+International+Joint+Commmission", "Google Scholar")</f>
        <v>Google Scholar</v>
      </c>
    </row>
    <row r="217" spans="1:8" x14ac:dyDescent="0.35">
      <c r="A217">
        <v>923</v>
      </c>
      <c r="B217" t="s">
        <v>465</v>
      </c>
      <c r="C217" t="s">
        <v>466</v>
      </c>
      <c r="D217" t="s">
        <v>467</v>
      </c>
      <c r="E217">
        <v>1961</v>
      </c>
      <c r="G217" t="s">
        <v>3270</v>
      </c>
      <c r="H217" s="216" t="str">
        <f>HYPERLINK("https://scholar.google.com/scholar?hl=en&amp;as_q=&amp;as_oq=&amp;as_eq=&amp;as_sauthors=&amp;as_publication=&amp;as_ylo=&amp;as_yhi=&amp;as_occt=title&amp;as_sdt=0%2C5&amp;as_epq=%22The+Effect+of+Some+Organic+Cyanides+%28Nitriles%29+on+Fish", "Google Scholar")</f>
        <v>Google Scholar</v>
      </c>
    </row>
    <row r="218" spans="1:8" x14ac:dyDescent="0.35">
      <c r="A218">
        <v>878</v>
      </c>
      <c r="B218" t="s">
        <v>87</v>
      </c>
      <c r="C218" t="s">
        <v>88</v>
      </c>
      <c r="D218" t="s">
        <v>89</v>
      </c>
      <c r="E218">
        <v>1959</v>
      </c>
      <c r="G218" t="s">
        <v>3271</v>
      </c>
      <c r="H218" s="217" t="str">
        <f>HYPERLINK("https://scholar.google.com/scholar?hl=en&amp;as_q=&amp;as_oq=&amp;as_eq=&amp;as_sauthors=&amp;as_publication=&amp;as_ylo=&amp;as_yhi=&amp;as_occt=title&amp;as_sdt=0%2C5&amp;as_epq=%22Relative+Toxicity+of+Ten+Chlorinated+Hydrocarbon+Insecticides+to+Four+Species+of+Fish", "Google Scholar")</f>
        <v>Google Scholar</v>
      </c>
    </row>
    <row r="219" spans="1:8" x14ac:dyDescent="0.35">
      <c r="A219">
        <v>936</v>
      </c>
      <c r="B219" t="s">
        <v>87</v>
      </c>
      <c r="C219" t="s">
        <v>219</v>
      </c>
      <c r="D219" t="s">
        <v>220</v>
      </c>
      <c r="E219">
        <v>1960</v>
      </c>
      <c r="G219" t="s">
        <v>3272</v>
      </c>
      <c r="H219" s="218" t="str">
        <f>HYPERLINK("https://scholar.google.com/scholar?hl=en&amp;as_q=&amp;as_oq=&amp;as_eq=&amp;as_sauthors=&amp;as_publication=&amp;as_ylo=&amp;as_yhi=&amp;as_occt=title&amp;as_sdt=0%2C5&amp;as_epq=%22The+Toxicity+of+Organic+Phosphorus+and+Chlorinated+Hydrocarbon+Insecticides+to+Fish", "Google Scholar")</f>
        <v>Google Scholar</v>
      </c>
    </row>
    <row r="220" spans="1:8" x14ac:dyDescent="0.35">
      <c r="A220">
        <v>2155</v>
      </c>
      <c r="B220" t="s">
        <v>150</v>
      </c>
      <c r="C220" t="s">
        <v>151</v>
      </c>
      <c r="D220" t="s">
        <v>152</v>
      </c>
      <c r="E220">
        <v>1958</v>
      </c>
      <c r="G220" t="s">
        <v>3273</v>
      </c>
      <c r="H220" s="219" t="str">
        <f>HYPERLINK("https://scholar.google.com/scholar?hl=en&amp;as_q=&amp;as_oq=&amp;as_eq=&amp;as_sauthors=&amp;as_publication=&amp;as_ylo=&amp;as_yhi=&amp;as_occt=title&amp;as_sdt=0%2C5&amp;as_epq=%22Toxicity+of+Organic+Phosphorus+Insecticides+to+Fish", "Google Scholar")</f>
        <v>Google Scholar</v>
      </c>
    </row>
    <row r="221" spans="1:8" x14ac:dyDescent="0.35">
      <c r="A221">
        <v>8784</v>
      </c>
      <c r="B221" t="s">
        <v>2827</v>
      </c>
      <c r="C221" t="s">
        <v>2828</v>
      </c>
      <c r="D221" t="s">
        <v>2829</v>
      </c>
      <c r="E221">
        <v>1992</v>
      </c>
      <c r="G221" t="s">
        <v>3274</v>
      </c>
      <c r="H221" s="220" t="str">
        <f>HYPERLINK("https://scholar.google.com/scholar?hl=en&amp;as_q=&amp;as_oq=&amp;as_eq=&amp;as_sauthors=&amp;as_publication=&amp;as_ylo=&amp;as_yhi=&amp;as_occt=title&amp;as_sdt=0%2C5&amp;as_epq=%22Effects+of+Rodeo+Herbicide+on+Aquatic+Invertebrates+and+Fathead+Minnows", "Google Scholar")</f>
        <v>Google Scholar</v>
      </c>
    </row>
    <row r="222" spans="1:8" x14ac:dyDescent="0.35">
      <c r="A222">
        <v>945</v>
      </c>
      <c r="B222" t="s">
        <v>1267</v>
      </c>
      <c r="C222" t="s">
        <v>1268</v>
      </c>
      <c r="D222" t="s">
        <v>1269</v>
      </c>
      <c r="E222">
        <v>1973</v>
      </c>
      <c r="G222" t="s">
        <v>3275</v>
      </c>
      <c r="H222" s="221" t="str">
        <f>HYPERLINK("https://scholar.google.com/scholar?hl=en&amp;as_q=&amp;as_oq=&amp;as_eq=&amp;as_sauthors=&amp;as_publication=&amp;as_ylo=&amp;as_yhi=&amp;as_occt=title&amp;as_sdt=0%2C5&amp;as_epq=%22Captan+Toxicity+to+Fathead+Minnows+%28Pimephales+promelas%29%2C+Bluegills+%28Lepomis+macrochirus%29%2C+and+Brook", "Google Scholar")</f>
        <v>Google Scholar</v>
      </c>
    </row>
    <row r="223" spans="1:8" x14ac:dyDescent="0.35">
      <c r="A223">
        <v>18647</v>
      </c>
      <c r="B223" t="s">
        <v>692</v>
      </c>
      <c r="C223" t="s">
        <v>693</v>
      </c>
      <c r="D223" t="s">
        <v>694</v>
      </c>
      <c r="E223">
        <v>1998</v>
      </c>
      <c r="G223" t="s">
        <v>3276</v>
      </c>
      <c r="H223" s="222" t="str">
        <f>HYPERLINK("https://scholar.google.com/scholar?hl=en&amp;as_q=&amp;as_oq=&amp;as_eq=&amp;as_sauthors=&amp;as_publication=&amp;as_ylo=&amp;as_yhi=&amp;as_occt=title&amp;as_sdt=0%2C5&amp;as_epq=%22Toxicity+Changes+During+the+UV+Treatment+of+Pentachlorophenol+in+Dilute+Aqueous+Solution", "Google Scholar")</f>
        <v>Google Scholar</v>
      </c>
    </row>
    <row r="224" spans="1:8" x14ac:dyDescent="0.35">
      <c r="A224">
        <v>150469</v>
      </c>
      <c r="B224" t="s">
        <v>2127</v>
      </c>
      <c r="C224" t="s">
        <v>2128</v>
      </c>
      <c r="D224" t="s">
        <v>2129</v>
      </c>
      <c r="E224">
        <v>1986</v>
      </c>
      <c r="G224" t="s">
        <v>3277</v>
      </c>
      <c r="H224" s="223" t="str">
        <f>HYPERLINK("https://scholar.google.com/scholar?hl=en&amp;as_q=&amp;as_oq=&amp;as_eq=&amp;as_sauthors=&amp;as_publication=&amp;as_ylo=&amp;as_yhi=&amp;as_occt=title&amp;as_sdt=0%2C5&amp;as_epq=%22Acclimation-Induced+Changes+in+Toxicity+and+Induction+of+Metallothionein-Like+Proteins+in+the+Fathead+Minnow+Fol", "Google Scholar")</f>
        <v>Google Scholar</v>
      </c>
    </row>
    <row r="225" spans="1:8" x14ac:dyDescent="0.35">
      <c r="A225">
        <v>678</v>
      </c>
      <c r="B225" t="s">
        <v>2052</v>
      </c>
      <c r="C225" t="s">
        <v>2053</v>
      </c>
      <c r="D225" t="s">
        <v>2054</v>
      </c>
      <c r="E225">
        <v>1989</v>
      </c>
      <c r="G225" t="s">
        <v>3278</v>
      </c>
      <c r="H225" s="224" t="str">
        <f>HYPERLINK("https://scholar.google.com/scholar?hl=en&amp;as_q=&amp;as_oq=&amp;as_eq=&amp;as_sauthors=&amp;as_publication=&amp;as_ylo=&amp;as_yhi=&amp;as_occt=title&amp;as_sdt=0%2C5&amp;as_epq=%22Acclimation-Induced+Changes+in+Toxicity+and+Induction+of+Metallothionein-Like+Proteins+in+the+Fathead+Minnow+Fol", "Google Scholar")</f>
        <v>Google Scholar</v>
      </c>
    </row>
    <row r="226" spans="1:8" x14ac:dyDescent="0.35">
      <c r="A226">
        <v>161077</v>
      </c>
      <c r="B226" t="s">
        <v>1823</v>
      </c>
      <c r="C226" t="s">
        <v>1824</v>
      </c>
      <c r="D226" t="s">
        <v>1825</v>
      </c>
      <c r="E226">
        <v>2012</v>
      </c>
      <c r="G226" t="s">
        <v>3279</v>
      </c>
      <c r="H226" s="225" t="str">
        <f>HYPERLINK("https://scholar.google.com/scholar?hl=en&amp;as_q=&amp;as_oq=&amp;as_eq=&amp;as_sauthors=&amp;as_publication=&amp;as_ylo=&amp;as_yhi=&amp;as_occt=title&amp;as_sdt=0%2C5&amp;as_epq=%22Comparative+Acute+Freshwater+Hazard+Assessment+and+Preliminary+PNEC+Development+for+Eight+Fluorinated+Acids", "Google Scholar")</f>
        <v>Google Scholar</v>
      </c>
    </row>
    <row r="227" spans="1:8" x14ac:dyDescent="0.35">
      <c r="A227">
        <v>56473</v>
      </c>
      <c r="B227" t="s">
        <v>943</v>
      </c>
      <c r="C227" t="s">
        <v>944</v>
      </c>
      <c r="D227" t="s">
        <v>945</v>
      </c>
      <c r="E227">
        <v>1987</v>
      </c>
      <c r="G227" t="s">
        <v>3280</v>
      </c>
      <c r="H227" s="226" t="str">
        <f>HYPERLINK("https://scholar.google.com/scholar?hl=en&amp;as_q=&amp;as_oq=&amp;as_eq=&amp;as_sauthors=&amp;as_publication=&amp;as_ylo=&amp;as_yhi=&amp;as_occt=title&amp;as_sdt=0%2C5&amp;as_epq=%22Memorandum+to+N.Thomas%2C+C.+Stephan%2C+B.+Spehar+and+S.+Broderius%2C+U.S.+EPA.+March+2%2C+1987.+2%2C4-Dimethylp", "Google Scholar")</f>
        <v>Google Scholar</v>
      </c>
    </row>
    <row r="228" spans="1:8" x14ac:dyDescent="0.35">
      <c r="A228">
        <v>12665</v>
      </c>
      <c r="B228" t="s">
        <v>144</v>
      </c>
      <c r="C228" t="s">
        <v>145</v>
      </c>
      <c r="D228" t="s">
        <v>146</v>
      </c>
      <c r="E228">
        <v>1987</v>
      </c>
      <c r="F228" t="s">
        <v>3069</v>
      </c>
      <c r="G228" t="s">
        <v>3281</v>
      </c>
      <c r="H228" s="227" t="str">
        <f>HYPERLINK("https://scholar.google.com/scholar?hl=en&amp;as_q=&amp;as_oq=&amp;as_eq=&amp;as_sauthors=&amp;as_publication=&amp;as_ylo=&amp;as_yhi=&amp;as_occt=title&amp;as_sdt=0%2C5&amp;as_epq=%22Simultaneous+Multiple+Species+Testing%3A+Acute+Toxicity+of+13+Chemicals+to+12+Diverse+Freshwater+Amphibian%2C+Fi", "Google Scholar")</f>
        <v>Google Scholar</v>
      </c>
    </row>
    <row r="229" spans="1:8" x14ac:dyDescent="0.35">
      <c r="A229">
        <v>10954</v>
      </c>
      <c r="B229" t="s">
        <v>258</v>
      </c>
      <c r="C229" t="s">
        <v>259</v>
      </c>
      <c r="D229" t="s">
        <v>260</v>
      </c>
      <c r="E229">
        <v>1984</v>
      </c>
      <c r="F229" t="s">
        <v>3069</v>
      </c>
      <c r="G229" t="s">
        <v>3282</v>
      </c>
      <c r="H229" s="228" t="str">
        <f>HYPERLINK("https://scholar.google.com/scholar?hl=en&amp;as_q=&amp;as_oq=&amp;as_eq=&amp;as_sauthors=&amp;as_publication=&amp;as_ylo=&amp;as_yhi=&amp;as_occt=title&amp;as_sdt=0%2C5&amp;as_epq=%22The+Acute+Toxicity+of+Selected+Substituted+Phenols%2C+Benzenes+and+Benzoic+Acid+Esters+to+Fathead+Minnows+Pimeph", "Google Scholar")</f>
        <v>Google Scholar</v>
      </c>
    </row>
    <row r="230" spans="1:8" x14ac:dyDescent="0.35">
      <c r="A230">
        <v>10536</v>
      </c>
      <c r="B230" t="s">
        <v>1127</v>
      </c>
      <c r="C230" t="s">
        <v>1128</v>
      </c>
      <c r="D230" t="s">
        <v>1129</v>
      </c>
      <c r="E230">
        <v>1982</v>
      </c>
      <c r="G230" t="s">
        <v>3283</v>
      </c>
      <c r="H230" s="229" t="str">
        <f>HYPERLINK("https://scholar.google.com/scholar?hl=en&amp;as_q=&amp;as_oq=&amp;as_eq=&amp;as_sauthors=&amp;as_publication=&amp;as_ylo=&amp;as_yhi=&amp;as_occt=title&amp;as_sdt=0%2C5&amp;as_epq=%22The+Acute+Toxicity+of+Kelthane%2C+Dursban%2C+Disulfoton%2C+Pydrin%2C+and+Permethrin+to+Fathead+Minnows+Pimephale", "Google Scholar")</f>
        <v>Google Scholar</v>
      </c>
    </row>
    <row r="231" spans="1:8" x14ac:dyDescent="0.35">
      <c r="A231">
        <v>10417</v>
      </c>
      <c r="B231" t="s">
        <v>611</v>
      </c>
      <c r="C231" t="s">
        <v>612</v>
      </c>
      <c r="D231" t="s">
        <v>613</v>
      </c>
      <c r="E231">
        <v>1983</v>
      </c>
      <c r="F231" t="s">
        <v>3069</v>
      </c>
      <c r="G231" t="s">
        <v>3284</v>
      </c>
      <c r="H231" s="230" t="str">
        <f>HYPERLINK("https://scholar.google.com/scholar?hl=en&amp;as_q=&amp;as_oq=&amp;as_eq=&amp;as_sauthors=&amp;as_publication=&amp;as_ylo=&amp;as_yhi=&amp;as_occt=title&amp;as_sdt=0%2C5&amp;as_epq=%22Toxicity+of+Selected+Priority+Pollutants+to+Various+Aquatic+Organisms", "Google Scholar")</f>
        <v>Google Scholar</v>
      </c>
    </row>
    <row r="232" spans="1:8" x14ac:dyDescent="0.35">
      <c r="A232">
        <v>475</v>
      </c>
      <c r="B232" t="s">
        <v>2868</v>
      </c>
      <c r="C232" t="s">
        <v>2869</v>
      </c>
      <c r="D232" t="s">
        <v>2870</v>
      </c>
      <c r="E232">
        <v>1980</v>
      </c>
      <c r="G232" t="s">
        <v>3285</v>
      </c>
      <c r="H232" s="231" t="str">
        <f>HYPERLINK("https://scholar.google.com/scholar?hl=en&amp;as_q=&amp;as_oq=&amp;as_eq=&amp;as_sauthors=&amp;as_publication=&amp;as_ylo=&amp;as_yhi=&amp;as_occt=title&amp;as_sdt=0%2C5&amp;as_epq=%22An+Aquatic+Safety+Assessment+of+Linear+Alkylbenzene+Sulfonate+%28LAS%29%3A+Chronic+Effects+on+Fathead+Minnows", "Google Scholar")</f>
        <v>Google Scholar</v>
      </c>
    </row>
    <row r="233" spans="1:8" x14ac:dyDescent="0.35">
      <c r="A233">
        <v>14396</v>
      </c>
      <c r="B233" t="s">
        <v>1348</v>
      </c>
      <c r="C233" t="s">
        <v>1349</v>
      </c>
      <c r="D233" t="s">
        <v>1350</v>
      </c>
      <c r="E233">
        <v>1983</v>
      </c>
      <c r="G233" t="s">
        <v>3286</v>
      </c>
      <c r="H233" s="232" t="str">
        <f>HYPERLINK("https://scholar.google.com/scholar?hl=en&amp;as_q=&amp;as_oq=&amp;as_eq=&amp;as_sauthors=&amp;as_publication=&amp;as_ylo=&amp;as_yhi=&amp;as_occt=title&amp;as_sdt=0%2C5&amp;as_epq=%22Aquatic+Toxicity+Studies+of+Six+Priority+Pollutants", "Google Scholar")</f>
        <v>Google Scholar</v>
      </c>
    </row>
    <row r="234" spans="1:8" x14ac:dyDescent="0.35">
      <c r="A234">
        <v>6010</v>
      </c>
      <c r="B234" t="s">
        <v>2420</v>
      </c>
      <c r="C234" t="s">
        <v>2421</v>
      </c>
      <c r="D234" t="s">
        <v>2422</v>
      </c>
      <c r="E234">
        <v>1974</v>
      </c>
      <c r="G234" t="s">
        <v>3287</v>
      </c>
      <c r="H234" s="233" t="str">
        <f>HYPERLINK("https://scholar.google.com/scholar?hl=en&amp;as_q=&amp;as_oq=&amp;as_eq=&amp;as_sauthors=&amp;as_publication=&amp;as_ylo=&amp;as_yhi=&amp;as_occt=title&amp;as_sdt=0%2C5&amp;as_epq=%22Acute+Toxicity+of+Phos-Check+%28Trade+Name%29+202+and+Diammonium+Phosphate+to+Fathead+Minnows", "Google Scholar")</f>
        <v>Google Scholar</v>
      </c>
    </row>
    <row r="235" spans="1:8" x14ac:dyDescent="0.35">
      <c r="A235">
        <v>8678</v>
      </c>
      <c r="B235" t="s">
        <v>518</v>
      </c>
      <c r="C235" t="s">
        <v>519</v>
      </c>
      <c r="D235" t="s">
        <v>520</v>
      </c>
      <c r="E235">
        <v>1988</v>
      </c>
      <c r="G235" t="s">
        <v>3288</v>
      </c>
      <c r="H235" s="234" t="str">
        <f>HYPERLINK("https://scholar.google.com/scholar?hl=en&amp;as_q=&amp;as_oq=&amp;as_eq=&amp;as_sauthors=&amp;as_publication=&amp;as_ylo=&amp;as_yhi=&amp;as_occt=title&amp;as_sdt=0%2C5&amp;as_epq=%22Acute+and+Chronic+Toxicity+of+Triphenyltin+Hydroxide+to+Fathead+Minnows+%28Pimephales+promelas%29+Following+Brie", "Google Scholar")</f>
        <v>Google Scholar</v>
      </c>
    </row>
    <row r="236" spans="1:8" x14ac:dyDescent="0.35">
      <c r="A236">
        <v>12885</v>
      </c>
      <c r="B236" t="s">
        <v>442</v>
      </c>
      <c r="C236" t="s">
        <v>443</v>
      </c>
      <c r="D236" t="s">
        <v>444</v>
      </c>
      <c r="E236">
        <v>1988</v>
      </c>
      <c r="G236" t="s">
        <v>3289</v>
      </c>
      <c r="H236" s="235" t="str">
        <f>HYPERLINK("https://scholar.google.com/scholar?hl=en&amp;as_q=&amp;as_oq=&amp;as_eq=&amp;as_sauthors=&amp;as_publication=&amp;as_ylo=&amp;as_yhi=&amp;as_occt=title&amp;as_sdt=0%2C5&amp;as_epq=%22Toxicity+of+Chlorpyrifos%2C+Endrin%2C+or+Fenvalerate+to+Fathead+Minnows+Following+Episodic+or+Continuous+Exposur", "Google Scholar")</f>
        <v>Google Scholar</v>
      </c>
    </row>
    <row r="237" spans="1:8" x14ac:dyDescent="0.35">
      <c r="A237">
        <v>15462</v>
      </c>
      <c r="B237" t="s">
        <v>1377</v>
      </c>
      <c r="C237" t="s">
        <v>1378</v>
      </c>
      <c r="D237" t="s">
        <v>1379</v>
      </c>
      <c r="E237">
        <v>1982</v>
      </c>
      <c r="G237" t="s">
        <v>3290</v>
      </c>
      <c r="H237" s="236" t="str">
        <f>HYPERLINK("https://scholar.google.com/scholar?hl=en&amp;as_q=&amp;as_oq=&amp;as_eq=&amp;as_sauthors=&amp;as_publication=&amp;as_ylo=&amp;as_yhi=&amp;as_occt=title&amp;as_sdt=0%2C5&amp;as_epq=%22Toxicity+of+Selected+Controlled+Release+and+Corresponding+Unformulated+Technical+Grade+Pesticides+to+the+Fathead", "Google Scholar")</f>
        <v>Google Scholar</v>
      </c>
    </row>
    <row r="238" spans="1:8" x14ac:dyDescent="0.35">
      <c r="A238">
        <v>115858</v>
      </c>
      <c r="B238" t="s">
        <v>2298</v>
      </c>
      <c r="C238" t="s">
        <v>2299</v>
      </c>
      <c r="D238" t="s">
        <v>2300</v>
      </c>
      <c r="E238">
        <v>2008</v>
      </c>
      <c r="G238" t="s">
        <v>3291</v>
      </c>
      <c r="H238" s="237" t="str">
        <f>HYPERLINK("https://scholar.google.com/scholar?hl=en&amp;as_q=&amp;as_oq=&amp;as_eq=&amp;as_sauthors=&amp;as_publication=&amp;as_ylo=&amp;as_yhi=&amp;as_occt=title&amp;as_sdt=0%2C5&amp;as_epq=%22Responses+of+Lepomis+macrochirus%2C+Pimephales+promelas%2C+Hyalella+azteca%2C+Ceriodaphnia+dubia%2C+and+Daphnia+", "Google Scholar")</f>
        <v>Google Scholar</v>
      </c>
    </row>
    <row r="239" spans="1:8" x14ac:dyDescent="0.35">
      <c r="A239">
        <v>155180</v>
      </c>
      <c r="B239" t="s">
        <v>2900</v>
      </c>
      <c r="C239" t="s">
        <v>2901</v>
      </c>
      <c r="D239" t="s">
        <v>2902</v>
      </c>
      <c r="E239">
        <v>2004</v>
      </c>
      <c r="G239" t="s">
        <v>3292</v>
      </c>
      <c r="H239" s="238" t="str">
        <f>HYPERLINK("https://scholar.google.com/scholar?hl=en&amp;as_q=&amp;as_oq=&amp;as_eq=&amp;as_sauthors=&amp;as_publication=&amp;as_ylo=&amp;as_yhi=&amp;as_occt=title&amp;as_sdt=0%2C5&amp;as_epq=%22Risk+Assessment+of+Selective+Serotonin+Reuptake+Inhibitors%3A++Comparing+Methods+in+Tiered+Environmental+Risk+As", "Google Scholar")</f>
        <v>Google Scholar</v>
      </c>
    </row>
    <row r="240" spans="1:8" x14ac:dyDescent="0.35">
      <c r="A240">
        <v>491</v>
      </c>
      <c r="B240" t="s">
        <v>2441</v>
      </c>
      <c r="C240" t="s">
        <v>2442</v>
      </c>
      <c r="D240" t="s">
        <v>2443</v>
      </c>
      <c r="E240">
        <v>1980</v>
      </c>
      <c r="G240" t="s">
        <v>3293</v>
      </c>
      <c r="H240" s="239" t="str">
        <f>HYPERLINK("https://scholar.google.com/scholar?hl=en&amp;as_q=&amp;as_oq=&amp;as_eq=&amp;as_sauthors=&amp;as_publication=&amp;as_ylo=&amp;as_yhi=&amp;as_occt=title&amp;as_sdt=0%2C5&amp;as_epq=%22Acute+Toxicity+of+Toxaphene+to+Fathead+Minnows%2C+Channel+Catfish%2C+and+Bluegills", "Google Scholar")</f>
        <v>Google Scholar</v>
      </c>
    </row>
    <row r="241" spans="1:8" x14ac:dyDescent="0.35">
      <c r="A241">
        <v>687</v>
      </c>
      <c r="B241" t="s">
        <v>2916</v>
      </c>
      <c r="C241" t="s">
        <v>2917</v>
      </c>
      <c r="D241" t="s">
        <v>2918</v>
      </c>
      <c r="E241">
        <v>1977</v>
      </c>
      <c r="G241" t="s">
        <v>3294</v>
      </c>
      <c r="H241" s="240" t="str">
        <f>HYPERLINK("https://scholar.google.com/scholar?hl=en&amp;as_q=&amp;as_oq=&amp;as_eq=&amp;as_sauthors=&amp;as_publication=&amp;as_ylo=&amp;as_yhi=&amp;as_occt=title&amp;as_sdt=0%2C5&amp;as_epq=%22Chemical+Forest+Fire+Retardants%3A+Acute+Toxicity+to+Five+Freshwater+Fishes+and+a+Scud", "Google Scholar")</f>
        <v>Google Scholar</v>
      </c>
    </row>
    <row r="242" spans="1:8" x14ac:dyDescent="0.35">
      <c r="A242">
        <v>81782</v>
      </c>
      <c r="B242" t="s">
        <v>1745</v>
      </c>
      <c r="C242" t="s">
        <v>1746</v>
      </c>
      <c r="D242" t="s">
        <v>1747</v>
      </c>
      <c r="E242">
        <v>1991</v>
      </c>
      <c r="G242" t="s">
        <v>3295</v>
      </c>
      <c r="H242" s="241" t="str">
        <f>HYPERLINK("https://scholar.google.com/scholar?hl=en&amp;as_q=&amp;as_oq=&amp;as_eq=&amp;as_sauthors=&amp;as_publication=&amp;as_ylo=&amp;as_yhi=&amp;as_occt=title&amp;as_sdt=0%2C5&amp;as_epq=%22%28Atrazine+Technical%29+-+Acute+Toxicity+to+Fathead+Minnows+%28Pimephales+promelas%29+Under+Static+Conditions", "Google Scholar")</f>
        <v>Google Scholar</v>
      </c>
    </row>
    <row r="243" spans="1:8" x14ac:dyDescent="0.35">
      <c r="A243">
        <v>7772</v>
      </c>
      <c r="B243" t="s">
        <v>2435</v>
      </c>
      <c r="C243" t="s">
        <v>2436</v>
      </c>
      <c r="D243" t="s">
        <v>2437</v>
      </c>
      <c r="E243">
        <v>1986</v>
      </c>
      <c r="G243" t="s">
        <v>3296</v>
      </c>
      <c r="H243" s="242" t="str">
        <f>HYPERLINK("https://scholar.google.com/scholar?hl=en&amp;as_q=&amp;as_oq=&amp;as_eq=&amp;as_sauthors=&amp;as_publication=&amp;as_ylo=&amp;as_yhi=&amp;as_occt=title&amp;as_sdt=0%2C5&amp;as_epq=%22Use+of+Hexavalent+Chromium+as+a+Reference+Toxicant+in+Aquatic+Toxicity+Tests", "Google Scholar")</f>
        <v>Google Scholar</v>
      </c>
    </row>
    <row r="244" spans="1:8" x14ac:dyDescent="0.35">
      <c r="A244">
        <v>12721</v>
      </c>
      <c r="B244" t="s">
        <v>2382</v>
      </c>
      <c r="C244" t="s">
        <v>2383</v>
      </c>
      <c r="D244" t="s">
        <v>2384</v>
      </c>
      <c r="E244">
        <v>1987</v>
      </c>
      <c r="G244" t="s">
        <v>3297</v>
      </c>
      <c r="H244" s="243" t="str">
        <f>HYPERLINK("https://scholar.google.com/scholar?hl=en&amp;as_q=&amp;as_oq=&amp;as_eq=&amp;as_sauthors=&amp;as_publication=&amp;as_ylo=&amp;as_yhi=&amp;as_occt=title&amp;as_sdt=0%2C5&amp;as_epq=%22Comparative+Toxicity+and+Speciation+of+Two+Hexavalent+Chromium+Salts+in+Acute+Toxicity+Tests", "Google Scholar")</f>
        <v>Google Scholar</v>
      </c>
    </row>
    <row r="245" spans="1:8" x14ac:dyDescent="0.35">
      <c r="A245">
        <v>2114</v>
      </c>
      <c r="B245" t="s">
        <v>2209</v>
      </c>
      <c r="C245" t="s">
        <v>2210</v>
      </c>
      <c r="D245" t="s">
        <v>2211</v>
      </c>
      <c r="E245">
        <v>1979</v>
      </c>
      <c r="G245" t="s">
        <v>3298</v>
      </c>
      <c r="H245" s="244" t="str">
        <f>HYPERLINK("https://scholar.google.com/scholar?hl=en&amp;as_q=&amp;as_oq=&amp;as_eq=&amp;as_sauthors=&amp;as_publication=&amp;as_ylo=&amp;as_yhi=&amp;as_occt=title&amp;as_sdt=0%2C5&amp;as_epq=%22Effects+of+Calcium+Addition+as+Ca%28NO3%292+on+Zinc+Toxicity+to+Fathead+Minnows%2C+%28Pimephales+promelas%29", "Google Scholar")</f>
        <v>Google Scholar</v>
      </c>
    </row>
    <row r="246" spans="1:8" x14ac:dyDescent="0.35">
      <c r="A246">
        <v>939</v>
      </c>
      <c r="B246" t="s">
        <v>962</v>
      </c>
      <c r="C246" t="s">
        <v>963</v>
      </c>
      <c r="D246" t="s">
        <v>964</v>
      </c>
      <c r="E246">
        <v>1978</v>
      </c>
      <c r="G246" t="s">
        <v>3299</v>
      </c>
      <c r="H246" s="245" t="str">
        <f>HYPERLINK("https://scholar.google.com/scholar?hl=en&amp;as_q=&amp;as_oq=&amp;as_eq=&amp;as_sauthors=&amp;as_publication=&amp;as_ylo=&amp;as_yhi=&amp;as_occt=title&amp;as_sdt=0%2C5&amp;as_epq=%22Toxicity+of+the+IGR%2C+Diflubenzuron%2C+to+Freshwater+Invertebrates+and+Fishes", "Google Scholar")</f>
        <v>Google Scholar</v>
      </c>
    </row>
    <row r="247" spans="1:8" x14ac:dyDescent="0.35">
      <c r="A247">
        <v>6667</v>
      </c>
      <c r="B247" t="s">
        <v>710</v>
      </c>
      <c r="C247" t="s">
        <v>711</v>
      </c>
      <c r="D247" t="s">
        <v>712</v>
      </c>
      <c r="E247">
        <v>1985</v>
      </c>
      <c r="G247" t="s">
        <v>3300</v>
      </c>
      <c r="H247" s="246" t="str">
        <f>HYPERLINK("https://scholar.google.com/scholar?hl=en&amp;as_q=&amp;as_oq=&amp;as_eq=&amp;as_sauthors=&amp;as_publication=&amp;as_ylo=&amp;as_yhi=&amp;as_occt=title&amp;as_sdt=0%2C5&amp;as_epq=%223-Trifluoromethyl-4-Nitrophenol+%28TFM%29+Control+of+Tadpoles+in+Culture+Ponds", "Google Scholar")</f>
        <v>Google Scholar</v>
      </c>
    </row>
    <row r="248" spans="1:8" x14ac:dyDescent="0.35">
      <c r="A248">
        <v>19218</v>
      </c>
      <c r="B248" t="s">
        <v>2325</v>
      </c>
      <c r="C248" t="s">
        <v>2326</v>
      </c>
      <c r="D248" t="s">
        <v>2327</v>
      </c>
      <c r="E248">
        <v>1999</v>
      </c>
      <c r="G248" t="s">
        <v>3301</v>
      </c>
      <c r="H248" s="247" t="str">
        <f>HYPERLINK("https://scholar.google.com/scholar?hl=en&amp;as_q=&amp;as_oq=&amp;as_eq=&amp;as_sauthors=&amp;as_publication=&amp;as_ylo=&amp;as_yhi=&amp;as_occt=title&amp;as_sdt=0%2C5&amp;as_epq=%22Influence+of+Water+Quality+on+Silver+Toxicity+to+Rainbow+Trout+%28Oncorhynchus+mykiss%29%2C+Fathead+Minnows+%28P", "Google Scholar")</f>
        <v>Google Scholar</v>
      </c>
    </row>
    <row r="249" spans="1:8" x14ac:dyDescent="0.35">
      <c r="A249">
        <v>674</v>
      </c>
      <c r="B249" t="s">
        <v>2951</v>
      </c>
      <c r="C249" t="s">
        <v>2952</v>
      </c>
      <c r="D249" t="s">
        <v>2953</v>
      </c>
      <c r="E249">
        <v>1988</v>
      </c>
      <c r="G249" t="s">
        <v>3302</v>
      </c>
      <c r="H249" s="248" t="str">
        <f>HYPERLINK("https://scholar.google.com/scholar?hl=en&amp;as_q=&amp;as_oq=&amp;as_eq=&amp;as_sauthors=&amp;as_publication=&amp;as_ylo=&amp;as_yhi=&amp;as_occt=title&amp;as_sdt=0%2C5&amp;as_epq=%22Effect+of+Temperature+on+the+Chronic+Toxicity+of+Hydrothol-191+to+the+Fathead+Minnow+%28Pimephales+promelas%29", "Google Scholar")</f>
        <v>Google Scholar</v>
      </c>
    </row>
    <row r="250" spans="1:8" x14ac:dyDescent="0.35">
      <c r="A250">
        <v>92379</v>
      </c>
      <c r="B250" t="s">
        <v>2881</v>
      </c>
      <c r="C250" t="s">
        <v>2882</v>
      </c>
      <c r="D250" t="s">
        <v>2883</v>
      </c>
      <c r="E250">
        <v>1984</v>
      </c>
      <c r="G250" t="s">
        <v>3303</v>
      </c>
      <c r="H250" s="249" t="str">
        <f>HYPERLINK("https://scholar.google.com/scholar?hl=en&amp;as_q=&amp;as_oq=&amp;as_eq=&amp;as_sauthors=&amp;as_publication=&amp;as_ylo=&amp;as_yhi=&amp;as_occt=title&amp;as_sdt=0%2C5&amp;as_epq=%22Acute+and+Environmental+Toxicity+Studies+with+Hexazinone", "Google Scholar")</f>
        <v>Google Scholar</v>
      </c>
    </row>
    <row r="251" spans="1:8" x14ac:dyDescent="0.35">
      <c r="A251">
        <v>167639</v>
      </c>
      <c r="B251" t="s">
        <v>2066</v>
      </c>
      <c r="C251" t="s">
        <v>2067</v>
      </c>
      <c r="D251" t="s">
        <v>2068</v>
      </c>
      <c r="E251">
        <v>1976</v>
      </c>
      <c r="G251" t="s">
        <v>3304</v>
      </c>
      <c r="H251" s="250" t="str">
        <f>HYPERLINK("https://scholar.google.com/scholar?hl=en&amp;as_q=&amp;as_oq=&amp;as_eq=&amp;as_sauthors=&amp;as_publication=&amp;as_ylo=&amp;as_yhi=&amp;as_occt=title&amp;as_sdt=0%2C5&amp;as_epq=%22The+Effect+of+Selected+Concentrations+of+Selenium+Dioxide+on+the+Acute+Toxicity+of+Mercuric+Chloride+to+the+Fath", "Google Scholar")</f>
        <v>Google Scholar</v>
      </c>
    </row>
    <row r="252" spans="1:8" x14ac:dyDescent="0.35">
      <c r="A252">
        <v>3783</v>
      </c>
      <c r="B252" t="s">
        <v>197</v>
      </c>
      <c r="C252" t="s">
        <v>198</v>
      </c>
      <c r="D252" t="s">
        <v>199</v>
      </c>
      <c r="E252">
        <v>1978</v>
      </c>
      <c r="G252" t="s">
        <v>3305</v>
      </c>
      <c r="H252" s="251" t="str">
        <f>HYPERLINK("https://scholar.google.com/scholar?hl=en&amp;as_q=&amp;as_oq=&amp;as_eq=&amp;as_sauthors=&amp;as_publication=&amp;as_ylo=&amp;as_yhi=&amp;as_occt=title&amp;as_sdt=0%2C5&amp;as_epq=%22The+Effects+of+Lesser+Known+Metals+and+One+Organic+to+Fathead+Minnows+%28Pimephales+promelas%29+and+Daphnia+magn", "Google Scholar")</f>
        <v>Google Scholar</v>
      </c>
    </row>
    <row r="253" spans="1:8" x14ac:dyDescent="0.35">
      <c r="A253">
        <v>20261</v>
      </c>
      <c r="B253" t="s">
        <v>1994</v>
      </c>
      <c r="C253" t="s">
        <v>1995</v>
      </c>
      <c r="D253" t="s">
        <v>1996</v>
      </c>
      <c r="E253">
        <v>1996</v>
      </c>
      <c r="G253" t="s">
        <v>3306</v>
      </c>
      <c r="H253" s="252" t="str">
        <f>HYPERLINK("https://scholar.google.com/scholar?hl=en&amp;as_q=&amp;as_oq=&amp;as_eq=&amp;as_sauthors=&amp;as_publication=&amp;as_ylo=&amp;as_yhi=&amp;as_occt=title&amp;as_sdt=0%2C5&amp;as_epq=%22Influence+of+Water+Quality+Parameters+on+Silver+Toxicity%3A++Preliminary+Result", "Google Scholar")</f>
        <v>Google Scholar</v>
      </c>
    </row>
    <row r="254" spans="1:8" x14ac:dyDescent="0.35">
      <c r="A254">
        <v>11272</v>
      </c>
      <c r="B254" t="s">
        <v>1122</v>
      </c>
      <c r="C254" t="s">
        <v>1123</v>
      </c>
      <c r="D254" t="s">
        <v>1124</v>
      </c>
      <c r="E254">
        <v>1984</v>
      </c>
      <c r="G254" t="s">
        <v>3307</v>
      </c>
      <c r="H254" s="253" t="str">
        <f>HYPERLINK("https://scholar.google.com/scholar?hl=en&amp;as_q=&amp;as_oq=&amp;as_eq=&amp;as_sauthors=&amp;as_publication=&amp;as_ylo=&amp;as_yhi=&amp;as_occt=title&amp;as_sdt=0%2C5&amp;as_epq=%22Toxicity+of+Fenitrothion+to+Fathead+Minnows+%28Pimephales+promelas%29+and+Alternative+Exposure+Duration+Studies+", "Google Scholar")</f>
        <v>Google Scholar</v>
      </c>
    </row>
    <row r="255" spans="1:8" x14ac:dyDescent="0.35">
      <c r="A255">
        <v>16780</v>
      </c>
      <c r="B255" t="s">
        <v>2980</v>
      </c>
      <c r="C255" t="s">
        <v>2981</v>
      </c>
      <c r="D255" t="s">
        <v>2982</v>
      </c>
      <c r="E255">
        <v>1996</v>
      </c>
      <c r="G255" t="s">
        <v>3308</v>
      </c>
      <c r="H255" s="254" t="str">
        <f>HYPERLINK("https://scholar.google.com/scholar?hl=en&amp;as_q=&amp;as_oq=&amp;as_eq=&amp;as_sauthors=&amp;as_publication=&amp;as_ylo=&amp;as_yhi=&amp;as_occt=title&amp;as_sdt=0%2C5&amp;as_epq=%22Effects+of+a+Nonionic+Surfactant+%28C14-15+AE-7%29+on+Fish+Survival%2C+Growth+and+Reproduction+in+the+Laboratory", "Google Scholar")</f>
        <v>Google Scholar</v>
      </c>
    </row>
    <row r="256" spans="1:8" x14ac:dyDescent="0.35">
      <c r="A256">
        <v>3080</v>
      </c>
      <c r="B256" t="s">
        <v>2197</v>
      </c>
      <c r="C256" t="s">
        <v>2198</v>
      </c>
      <c r="D256" t="s">
        <v>2199</v>
      </c>
      <c r="E256">
        <v>1989</v>
      </c>
      <c r="G256" t="s">
        <v>3309</v>
      </c>
      <c r="H256" s="255" t="str">
        <f>HYPERLINK("https://scholar.google.com/scholar?hl=en&amp;as_q=&amp;as_oq=&amp;as_eq=&amp;as_sauthors=&amp;as_publication=&amp;as_ylo=&amp;as_yhi=&amp;as_occt=title&amp;as_sdt=0%2C5&amp;as_epq=%22Zinc+Avoidance+by+Fathead+Minnows+%28Pimephales+promelas%29%3A+Computerized+Tracking+and+Greater+Ecological+Rele", "Google Scholar")</f>
        <v>Google Scholar</v>
      </c>
    </row>
    <row r="257" spans="1:8" x14ac:dyDescent="0.35">
      <c r="A257">
        <v>12290</v>
      </c>
      <c r="B257" t="s">
        <v>579</v>
      </c>
      <c r="C257" t="s">
        <v>580</v>
      </c>
      <c r="D257" t="s">
        <v>581</v>
      </c>
      <c r="E257">
        <v>1986</v>
      </c>
      <c r="G257" t="s">
        <v>3310</v>
      </c>
      <c r="H257" s="256" t="str">
        <f>HYPERLINK("https://scholar.google.com/scholar?hl=en&amp;as_q=&amp;as_oq=&amp;as_eq=&amp;as_sauthors=&amp;as_publication=&amp;as_ylo=&amp;as_yhi=&amp;as_occt=title&amp;as_sdt=0%2C5&amp;as_epq=%22Acute+Aquatic+Toxicity+Tests+with+Acrylamide+Monomer+and+Macroinvertebrates+and+Fish", "Google Scholar")</f>
        <v>Google Scholar</v>
      </c>
    </row>
    <row r="258" spans="1:8" x14ac:dyDescent="0.35">
      <c r="A258">
        <v>71675</v>
      </c>
      <c r="B258" t="s">
        <v>972</v>
      </c>
      <c r="C258" t="s">
        <v>973</v>
      </c>
      <c r="D258" t="s">
        <v>974</v>
      </c>
      <c r="E258">
        <v>2003</v>
      </c>
      <c r="G258" t="s">
        <v>3311</v>
      </c>
      <c r="H258" s="257" t="str">
        <f>HYPERLINK("https://scholar.google.com/scholar?hl=en&amp;as_q=&amp;as_oq=&amp;as_eq=&amp;as_sauthors=&amp;as_publication=&amp;as_ylo=&amp;as_yhi=&amp;as_occt=title&amp;as_sdt=0%2C5&amp;as_epq=%22Derivation+of+Aquatic+Screening+Benchmarks+for+1%2C2-Dibromoethane", "Google Scholar")</f>
        <v>Google Scholar</v>
      </c>
    </row>
    <row r="259" spans="1:8" x14ac:dyDescent="0.35">
      <c r="A259">
        <v>80820</v>
      </c>
      <c r="B259" t="s">
        <v>191</v>
      </c>
      <c r="C259" t="s">
        <v>192</v>
      </c>
      <c r="D259" t="s">
        <v>193</v>
      </c>
      <c r="E259">
        <v>2005</v>
      </c>
      <c r="G259" t="s">
        <v>3312</v>
      </c>
      <c r="H259" s="258" t="str">
        <f>HYPERLINK("https://scholar.google.com/scholar?hl=en&amp;as_q=&amp;as_oq=&amp;as_eq=&amp;as_sauthors=&amp;as_publication=&amp;as_ylo=&amp;as_yhi=&amp;as_occt=title&amp;as_sdt=0%2C5&amp;as_epq=%22Aquatic+Toxicity+of+Nitrogen+Mustard+to+Ceriodaphina+dubia%2C+Daphnia+magna%2C+and+Pimephales+promelas", "Google Scholar")</f>
        <v>Google Scholar</v>
      </c>
    </row>
    <row r="260" spans="1:8" x14ac:dyDescent="0.35">
      <c r="A260">
        <v>12578</v>
      </c>
      <c r="B260" t="s">
        <v>1362</v>
      </c>
      <c r="C260" t="s">
        <v>1363</v>
      </c>
      <c r="D260" t="s">
        <v>1364</v>
      </c>
      <c r="E260">
        <v>1987</v>
      </c>
      <c r="G260" t="s">
        <v>3313</v>
      </c>
      <c r="H260" s="259" t="str">
        <f>HYPERLINK("https://scholar.google.com/scholar?hl=en&amp;as_q=&amp;as_oq=&amp;as_eq=&amp;as_sauthors=&amp;as_publication=&amp;as_ylo=&amp;as_yhi=&amp;as_occt=title&amp;as_sdt=0%2C5&amp;as_epq=%22Laboratory+Assessment+of+Environmental+Impact+of+Phthalazine", "Google Scholar")</f>
        <v>Google Scholar</v>
      </c>
    </row>
    <row r="261" spans="1:8" x14ac:dyDescent="0.35">
      <c r="A261">
        <v>17753</v>
      </c>
      <c r="B261" t="s">
        <v>1257</v>
      </c>
      <c r="C261" t="s">
        <v>1258</v>
      </c>
      <c r="D261" t="s">
        <v>1259</v>
      </c>
      <c r="E261">
        <v>1989</v>
      </c>
      <c r="G261" t="s">
        <v>3314</v>
      </c>
      <c r="H261" s="260" t="str">
        <f>HYPERLINK("https://scholar.google.com/scholar?hl=en&amp;as_q=&amp;as_oq=&amp;as_eq=&amp;as_sauthors=&amp;as_publication=&amp;as_ylo=&amp;as_yhi=&amp;as_occt=title&amp;as_sdt=0%2C5&amp;as_epq=%22Feeding+and+Nutritional+Considerations+in+Aquatic+Toxicology", "Google Scholar")</f>
        <v>Google Scholar</v>
      </c>
    </row>
    <row r="262" spans="1:8" x14ac:dyDescent="0.35">
      <c r="A262">
        <v>6917</v>
      </c>
      <c r="B262" t="s">
        <v>2719</v>
      </c>
      <c r="C262" t="s">
        <v>2720</v>
      </c>
      <c r="D262" t="s">
        <v>2721</v>
      </c>
      <c r="E262">
        <v>1979</v>
      </c>
      <c r="G262" t="s">
        <v>3315</v>
      </c>
      <c r="H262" s="261" t="str">
        <f>HYPERLINK("https://scholar.google.com/scholar?hl=en&amp;as_q=&amp;as_oq=&amp;as_eq=&amp;as_sauthors=&amp;as_publication=&amp;as_ylo=&amp;as_yhi=&amp;as_occt=title&amp;as_sdt=0%2C5&amp;as_epq=%22Influences+of+Selected+Environmental+Factors+on+the+Activity+of+a+Prospective+Fish+Toxicant%2C+2-%28Digeranylami", "Google Scholar")</f>
        <v>Google Scholar</v>
      </c>
    </row>
    <row r="263" spans="1:8" x14ac:dyDescent="0.35">
      <c r="A263">
        <v>10538</v>
      </c>
      <c r="B263" t="s">
        <v>2353</v>
      </c>
      <c r="C263" t="s">
        <v>2354</v>
      </c>
      <c r="D263" t="s">
        <v>2355</v>
      </c>
      <c r="E263">
        <v>1984</v>
      </c>
      <c r="G263" t="s">
        <v>3316</v>
      </c>
      <c r="H263" s="262" t="str">
        <f>HYPERLINK("https://scholar.google.com/scholar?hl=en&amp;as_q=&amp;as_oq=&amp;as_eq=&amp;as_sauthors=&amp;as_publication=&amp;as_ylo=&amp;as_yhi=&amp;as_occt=title&amp;as_sdt=0%2C5&amp;as_epq=%22The+Influence+of+Speciation+on+the+Toxicity+of+Silver+to+Fathead+Minnow+%28Pimephales+promelas%29", "Google Scholar")</f>
        <v>Google Scholar</v>
      </c>
    </row>
    <row r="264" spans="1:8" x14ac:dyDescent="0.35">
      <c r="A264">
        <v>10427</v>
      </c>
      <c r="B264" t="s">
        <v>2074</v>
      </c>
      <c r="C264" t="s">
        <v>2075</v>
      </c>
      <c r="D264" t="s">
        <v>2076</v>
      </c>
      <c r="E264">
        <v>1984</v>
      </c>
      <c r="G264" t="s">
        <v>3317</v>
      </c>
      <c r="H264" s="263" t="str">
        <f>HYPERLINK("https://scholar.google.com/scholar?hl=en&amp;as_q=&amp;as_oq=&amp;as_eq=&amp;as_sauthors=&amp;as_publication=&amp;as_ylo=&amp;as_yhi=&amp;as_occt=title&amp;as_sdt=0%2C5&amp;as_epq=%22Antimony+and+Thallium+Toxicity+to+Embryos+and+Larvae+of+Fathead+Minnows+%28Pimephales+promelas%29", "Google Scholar")</f>
        <v>Google Scholar</v>
      </c>
    </row>
    <row r="265" spans="1:8" x14ac:dyDescent="0.35">
      <c r="A265">
        <v>9479</v>
      </c>
      <c r="B265" t="s">
        <v>771</v>
      </c>
      <c r="C265" t="s">
        <v>1117</v>
      </c>
      <c r="D265" t="s">
        <v>1118</v>
      </c>
      <c r="E265">
        <v>1981</v>
      </c>
      <c r="G265" t="s">
        <v>3318</v>
      </c>
      <c r="H265" s="264" t="str">
        <f>HYPERLINK("https://scholar.google.com/scholar?hl=en&amp;as_q=&amp;as_oq=&amp;as_eq=&amp;as_sauthors=&amp;as_publication=&amp;as_ylo=&amp;as_yhi=&amp;as_occt=title&amp;as_sdt=0%2C5&amp;as_epq=%22Interlaboratory+Comparison+Acute+Testing+Set", "Google Scholar")</f>
        <v>Google Scholar</v>
      </c>
    </row>
    <row r="266" spans="1:8" x14ac:dyDescent="0.35">
      <c r="A266">
        <v>17728</v>
      </c>
      <c r="B266" t="s">
        <v>771</v>
      </c>
      <c r="C266" t="s">
        <v>772</v>
      </c>
      <c r="D266" t="s">
        <v>773</v>
      </c>
      <c r="E266">
        <v>1973</v>
      </c>
      <c r="G266" t="s">
        <v>3319</v>
      </c>
      <c r="H266" s="265" t="str">
        <f>HYPERLINK("https://scholar.google.com/scholar?hl=en&amp;as_q=&amp;as_oq=&amp;as_eq=&amp;as_sauthors=&amp;as_publication=&amp;as_ylo=&amp;as_yhi=&amp;as_occt=title&amp;as_sdt=0%2C5&amp;as_epq=%22Static+Bioassays+with+Benzidine", "Google Scholar")</f>
        <v>Google Scholar</v>
      </c>
    </row>
    <row r="267" spans="1:8" x14ac:dyDescent="0.35">
      <c r="A267">
        <v>2530</v>
      </c>
      <c r="B267" t="s">
        <v>2875</v>
      </c>
      <c r="C267" t="s">
        <v>2876</v>
      </c>
      <c r="D267" t="s">
        <v>2877</v>
      </c>
      <c r="E267">
        <v>1983</v>
      </c>
      <c r="G267" t="s">
        <v>3320</v>
      </c>
      <c r="H267" s="266" t="str">
        <f>HYPERLINK("https://scholar.google.com/scholar?hl=en&amp;as_q=&amp;as_oq=&amp;as_eq=&amp;as_sauthors=&amp;as_publication=&amp;as_ylo=&amp;as_yhi=&amp;as_occt=title&amp;as_sdt=0%2C5&amp;as_epq=%22Comparative+Acute+Toxicities+of+Surfactants+to+Aquatic+Invertebrates", "Google Scholar")</f>
        <v>Google Scholar</v>
      </c>
    </row>
    <row r="268" spans="1:8" x14ac:dyDescent="0.35">
      <c r="A268">
        <v>15327</v>
      </c>
      <c r="B268" t="s">
        <v>2331</v>
      </c>
      <c r="C268" t="s">
        <v>2332</v>
      </c>
      <c r="D268" t="s">
        <v>2333</v>
      </c>
      <c r="E268">
        <v>1982</v>
      </c>
      <c r="F268" t="s">
        <v>3069</v>
      </c>
      <c r="G268" t="s">
        <v>3321</v>
      </c>
      <c r="H268" s="267" t="str">
        <f>HYPERLINK("https://scholar.google.com/scholar?hl=en&amp;as_q=&amp;as_oq=&amp;as_eq=&amp;as_sauthors=&amp;as_publication=&amp;as_ylo=&amp;as_yhi=&amp;as_occt=title&amp;as_sdt=0%2C5&amp;as_epq=%22Acute+Toxicity+of+Silver+to+Selected+Fish+and+Invertebrates", "Google Scholar")</f>
        <v>Google Scholar</v>
      </c>
    </row>
    <row r="269" spans="1:8" x14ac:dyDescent="0.35">
      <c r="A269">
        <v>10695</v>
      </c>
      <c r="B269" t="s">
        <v>2426</v>
      </c>
      <c r="C269" t="s">
        <v>2427</v>
      </c>
      <c r="D269" t="s">
        <v>2428</v>
      </c>
      <c r="E269">
        <v>1984</v>
      </c>
      <c r="G269" t="s">
        <v>3322</v>
      </c>
      <c r="H269" s="268" t="str">
        <f>HYPERLINK("https://scholar.google.com/scholar?hl=en&amp;as_q=&amp;as_oq=&amp;as_eq=&amp;as_sauthors=&amp;as_publication=&amp;as_ylo=&amp;as_yhi=&amp;as_occt=title&amp;as_sdt=0%2C5&amp;as_epq=%22Acute+and+Chronic+Toxicities+of+Arsenic%28III%29+to+Fathead+Minnows%2C+Flagfish%2C+Daphnids%2C+and+an+Amphipod", "Google Scholar")</f>
        <v>Google Scholar</v>
      </c>
    </row>
    <row r="270" spans="1:8" x14ac:dyDescent="0.35">
      <c r="A270">
        <v>5081</v>
      </c>
      <c r="B270" t="s">
        <v>2227</v>
      </c>
      <c r="C270" t="s">
        <v>2228</v>
      </c>
      <c r="D270" t="s">
        <v>2229</v>
      </c>
      <c r="E270">
        <v>1978</v>
      </c>
      <c r="G270" t="s">
        <v>3323</v>
      </c>
      <c r="H270" s="269" t="str">
        <f>HYPERLINK("https://scholar.google.com/scholar?hl=en&amp;as_q=&amp;as_oq=&amp;as_eq=&amp;as_sauthors=&amp;as_publication=&amp;as_ylo=&amp;as_yhi=&amp;as_occt=title&amp;as_sdt=0%2C5&amp;as_epq=%22Regional+Copper-Nickel+Study", "Google Scholar")</f>
        <v>Google Scholar</v>
      </c>
    </row>
    <row r="271" spans="1:8" x14ac:dyDescent="0.35">
      <c r="A271">
        <v>5789</v>
      </c>
      <c r="B271" t="s">
        <v>1243</v>
      </c>
      <c r="C271" t="s">
        <v>1244</v>
      </c>
      <c r="D271" t="s">
        <v>1245</v>
      </c>
      <c r="E271">
        <v>1974</v>
      </c>
      <c r="G271" t="s">
        <v>3324</v>
      </c>
      <c r="H271" s="270" t="str">
        <f>HYPERLINK("https://scholar.google.com/scholar?hl=en&amp;as_q=&amp;as_oq=&amp;as_eq=&amp;as_sauthors=&amp;as_publication=&amp;as_ylo=&amp;as_yhi=&amp;as_occt=title&amp;as_sdt=0%2C5&amp;as_epq=%22Acute+Toxicity+of+Selected+Commercial+Dyes+to+the+Fathead+Minnow+and+Evaluation+of+Biological+Treatment+for+Redu", "Google Scholar")</f>
        <v>Google Scholar</v>
      </c>
    </row>
    <row r="272" spans="1:8" x14ac:dyDescent="0.35">
      <c r="A272">
        <v>6969</v>
      </c>
      <c r="B272" t="s">
        <v>1246</v>
      </c>
      <c r="C272" t="s">
        <v>1247</v>
      </c>
      <c r="D272" t="s">
        <v>1248</v>
      </c>
      <c r="E272">
        <v>1973</v>
      </c>
      <c r="G272" t="s">
        <v>3325</v>
      </c>
      <c r="H272" s="271" t="str">
        <f>HYPERLINK("https://scholar.google.com/scholar?hl=en&amp;as_q=&amp;as_oq=&amp;as_eq=&amp;as_sauthors=&amp;as_publication=&amp;as_ylo=&amp;as_yhi=&amp;as_occt=title&amp;as_sdt=0%2C5&amp;as_epq=%22Acute+Toxicity+of+46+Selected+Dyes+to+the+Fathead+Minnow%2C+Pimephales+promelas", "Google Scholar")</f>
        <v>Google Scholar</v>
      </c>
    </row>
    <row r="273" spans="1:8" x14ac:dyDescent="0.35">
      <c r="A273">
        <v>5671</v>
      </c>
      <c r="B273" t="s">
        <v>715</v>
      </c>
      <c r="C273" t="s">
        <v>716</v>
      </c>
      <c r="D273" t="s">
        <v>717</v>
      </c>
      <c r="E273">
        <v>1977</v>
      </c>
      <c r="G273" t="s">
        <v>3326</v>
      </c>
      <c r="H273" s="272" t="str">
        <f>HYPERLINK("https://scholar.google.com/scholar?hl=en&amp;as_q=&amp;as_oq=&amp;as_eq=&amp;as_sauthors=&amp;as_publication=&amp;as_ylo=&amp;as_yhi=&amp;as_occt=title&amp;as_sdt=0%2C5&amp;as_epq=%22Acute+Toxicity+of+TNT+Wastewater+Components+to+the+Fathead+Minnow+%28Pimephales+promelas%29", "Google Scholar")</f>
        <v>Google Scholar</v>
      </c>
    </row>
    <row r="274" spans="1:8" x14ac:dyDescent="0.35">
      <c r="A274">
        <v>73461</v>
      </c>
      <c r="B274" t="s">
        <v>872</v>
      </c>
      <c r="C274" t="s">
        <v>873</v>
      </c>
      <c r="D274" t="s">
        <v>874</v>
      </c>
      <c r="E274">
        <v>1983</v>
      </c>
      <c r="G274" t="s">
        <v>3327</v>
      </c>
      <c r="H274" s="273" t="str">
        <f>HYPERLINK("https://scholar.google.com/scholar?hl=en&amp;as_q=&amp;as_oq=&amp;as_eq=&amp;as_sauthors=&amp;as_publication=&amp;as_ylo=&amp;as_yhi=&amp;as_occt=title&amp;as_sdt=0%2C5&amp;as_epq=%22Toxicity+of+TNT+Wastewaters+to+Aquatic+Organisms%3A++Final+Report.++Volume+I.++Acute+Toxicity+of+LAP+Wastewater+", "Google Scholar")</f>
        <v>Google Scholar</v>
      </c>
    </row>
    <row r="275" spans="1:8" x14ac:dyDescent="0.35">
      <c r="A275">
        <v>6021</v>
      </c>
      <c r="B275" t="s">
        <v>1151</v>
      </c>
      <c r="C275" t="s">
        <v>1152</v>
      </c>
      <c r="D275" t="s">
        <v>1153</v>
      </c>
      <c r="E275">
        <v>1976</v>
      </c>
      <c r="G275" t="s">
        <v>3328</v>
      </c>
      <c r="H275" s="274" t="str">
        <f>HYPERLINK("https://scholar.google.com/scholar?hl=en&amp;as_q=&amp;as_oq=&amp;as_eq=&amp;as_sauthors=&amp;as_publication=&amp;as_ylo=&amp;as_yhi=&amp;as_occt=title&amp;as_sdt=0%2C5&amp;as_epq=%22Toxicity+of+TNT+Wastewater+%28Pink+Water%29+to+Aquatic+Organisms", "Google Scholar")</f>
        <v>Google Scholar</v>
      </c>
    </row>
    <row r="276" spans="1:8" x14ac:dyDescent="0.35">
      <c r="A276">
        <v>19341</v>
      </c>
      <c r="B276" t="s">
        <v>2945</v>
      </c>
      <c r="C276" t="s">
        <v>2946</v>
      </c>
      <c r="D276" t="s">
        <v>2947</v>
      </c>
      <c r="E276">
        <v>1989</v>
      </c>
      <c r="G276" t="s">
        <v>3329</v>
      </c>
      <c r="H276" s="275" t="str">
        <f>HYPERLINK("https://scholar.google.com/scholar?hl=en&amp;as_q=&amp;as_oq=&amp;as_eq=&amp;as_sauthors=&amp;as_publication=&amp;as_ylo=&amp;as_yhi=&amp;as_occt=title&amp;as_sdt=0%2C5&amp;as_epq=%22Effects%2C+Persistence+and+Distribution+of+Esfenvalerate+in+Littoral+Enclosures", "Google Scholar")</f>
        <v>Google Scholar</v>
      </c>
    </row>
    <row r="277" spans="1:8" x14ac:dyDescent="0.35">
      <c r="A277">
        <v>631</v>
      </c>
      <c r="B277" t="s">
        <v>1751</v>
      </c>
      <c r="C277" t="s">
        <v>1752</v>
      </c>
      <c r="D277" t="s">
        <v>1753</v>
      </c>
      <c r="E277">
        <v>1976</v>
      </c>
      <c r="G277" t="s">
        <v>3330</v>
      </c>
      <c r="H277" s="276" t="str">
        <f>HYPERLINK("https://scholar.google.com/scholar?hl=en&amp;as_q=&amp;as_oq=&amp;as_eq=&amp;as_sauthors=&amp;as_publication=&amp;as_ylo=&amp;as_yhi=&amp;as_occt=title&amp;as_sdt=0%2C5&amp;as_epq=%22Chronic+Toxicity+of+Atrazine+to+Selected+Aquatic+Invertebrates+and+Fishes", "Google Scholar")</f>
        <v>Google Scholar</v>
      </c>
    </row>
    <row r="278" spans="1:8" x14ac:dyDescent="0.35">
      <c r="A278">
        <v>630</v>
      </c>
      <c r="B278" t="s">
        <v>249</v>
      </c>
      <c r="C278" t="s">
        <v>250</v>
      </c>
      <c r="D278" t="s">
        <v>251</v>
      </c>
      <c r="E278">
        <v>1976</v>
      </c>
      <c r="G278" t="s">
        <v>3331</v>
      </c>
      <c r="H278" s="277" t="str">
        <f>HYPERLINK("https://scholar.google.com/scholar?hl=en&amp;as_q=&amp;as_oq=&amp;as_eq=&amp;as_sauthors=&amp;as_publication=&amp;as_ylo=&amp;as_yhi=&amp;as_occt=title&amp;as_sdt=0%2C5&amp;as_epq=%22Chronic+Toxicity+of+Lindane+to+Selected+Aquatic+Invertebrates+and+Fishes", "Google Scholar")</f>
        <v>Google Scholar</v>
      </c>
    </row>
    <row r="279" spans="1:8" x14ac:dyDescent="0.35">
      <c r="A279">
        <v>2011</v>
      </c>
      <c r="B279" t="s">
        <v>111</v>
      </c>
      <c r="C279" t="s">
        <v>112</v>
      </c>
      <c r="D279" t="s">
        <v>113</v>
      </c>
      <c r="E279">
        <v>1970</v>
      </c>
      <c r="G279" t="s">
        <v>3332</v>
      </c>
      <c r="H279" s="278" t="str">
        <f>HYPERLINK("https://scholar.google.com/scholar?hl=en&amp;as_q=&amp;as_oq=&amp;as_eq=&amp;as_sauthors=&amp;as_publication=&amp;as_ylo=&amp;as_yhi=&amp;as_occt=title&amp;as_sdt=0%2C5&amp;as_epq=%22Biological+Variation+in+the+Susceptibility+of+Fish+and+Aquatic+Invertebrates+to+DDT", "Google Scholar")</f>
        <v>Google Scholar</v>
      </c>
    </row>
    <row r="280" spans="1:8" x14ac:dyDescent="0.35">
      <c r="A280">
        <v>505</v>
      </c>
      <c r="B280" t="s">
        <v>2470</v>
      </c>
      <c r="C280" t="s">
        <v>2471</v>
      </c>
      <c r="D280" t="s">
        <v>2472</v>
      </c>
      <c r="E280">
        <v>1973</v>
      </c>
      <c r="G280" t="s">
        <v>3333</v>
      </c>
      <c r="H280" s="279" t="str">
        <f>HYPERLINK("https://scholar.google.com/scholar?hl=en&amp;as_q=&amp;as_oq=&amp;as_eq=&amp;as_sauthors=&amp;as_publication=&amp;as_ylo=&amp;as_yhi=&amp;as_occt=title&amp;as_sdt=0%2C5&amp;as_epq=%22Survival+and+Gill+Condition+of+Bluegill+%28Lepomis+macrochirus%29+and+Fathead+Minnows+%28Pimephales+promelas%29+", "Google Scholar")</f>
        <v>Google Scholar</v>
      </c>
    </row>
    <row r="281" spans="1:8" x14ac:dyDescent="0.35">
      <c r="A281">
        <v>610</v>
      </c>
      <c r="B281" t="s">
        <v>108</v>
      </c>
      <c r="C281" t="s">
        <v>109</v>
      </c>
      <c r="D281" t="s">
        <v>110</v>
      </c>
      <c r="E281">
        <v>1970</v>
      </c>
      <c r="G281" t="s">
        <v>3334</v>
      </c>
      <c r="H281" s="280" t="str">
        <f>HYPERLINK("https://scholar.google.com/scholar?hl=en&amp;as_q=&amp;as_oq=&amp;as_eq=&amp;as_sauthors=&amp;as_publication=&amp;as_ylo=&amp;as_yhi=&amp;as_occt=title&amp;as_sdt=0%2C5&amp;as_epq=%22Insecticide+Susceptibility+of+Some+Common+Fish+Family+Representatives", "Google Scholar")</f>
        <v>Google Scholar</v>
      </c>
    </row>
    <row r="282" spans="1:8" x14ac:dyDescent="0.35">
      <c r="A282">
        <v>5933</v>
      </c>
      <c r="B282" t="s">
        <v>2977</v>
      </c>
      <c r="C282" t="s">
        <v>2978</v>
      </c>
      <c r="D282" t="s">
        <v>2979</v>
      </c>
      <c r="E282">
        <v>1979</v>
      </c>
      <c r="G282" t="s">
        <v>3335</v>
      </c>
      <c r="H282" s="281" t="str">
        <f>HYPERLINK("https://scholar.google.com/scholar?hl=en&amp;as_q=&amp;as_oq=&amp;as_eq=&amp;as_sauthors=&amp;as_publication=&amp;as_ylo=&amp;as_yhi=&amp;as_occt=title&amp;as_sdt=0%2C5&amp;as_epq=%22Reduction+of+Nonionic+Surfactant+Toxicity+Following+Secondary+Treatment", "Google Scholar")</f>
        <v>Google Scholar</v>
      </c>
    </row>
    <row r="283" spans="1:8" x14ac:dyDescent="0.35">
      <c r="A283">
        <v>4343</v>
      </c>
      <c r="B283" t="s">
        <v>777</v>
      </c>
      <c r="C283" t="s">
        <v>778</v>
      </c>
      <c r="D283" t="s">
        <v>779</v>
      </c>
      <c r="E283">
        <v>1993</v>
      </c>
      <c r="G283" t="s">
        <v>3336</v>
      </c>
      <c r="H283" s="282" t="str">
        <f>HYPERLINK("https://scholar.google.com/scholar?hl=en&amp;as_q=&amp;as_oq=&amp;as_eq=&amp;as_sauthors=&amp;as_publication=&amp;as_ylo=&amp;as_yhi=&amp;as_occt=title&amp;as_sdt=0%2C5&amp;as_epq=%22Comparison+of+the+Susceptibility+of+Daphnids+and+Fish+to+Benzene+Derivatives", "Google Scholar")</f>
        <v>Google Scholar</v>
      </c>
    </row>
    <row r="284" spans="1:8" x14ac:dyDescent="0.35">
      <c r="A284">
        <v>3910</v>
      </c>
      <c r="B284" t="s">
        <v>291</v>
      </c>
      <c r="C284" t="s">
        <v>292</v>
      </c>
      <c r="D284" t="s">
        <v>293</v>
      </c>
      <c r="E284">
        <v>1992</v>
      </c>
      <c r="G284" t="s">
        <v>3337</v>
      </c>
      <c r="H284" s="283" t="str">
        <f>HYPERLINK("https://scholar.google.com/scholar?hl=en&amp;as_q=&amp;as_oq=&amp;as_eq=&amp;as_sauthors=&amp;as_publication=&amp;as_ylo=&amp;as_yhi=&amp;as_occt=title&amp;as_sdt=0%2C5&amp;as_epq=%22Lethal+and+Sublethal+Toxicity+of+Benzene+Derivatives+to+the+Fathead+Minnow%2C+Using+a+Short-Term+Test", "Google Scholar")</f>
        <v>Google Scholar</v>
      </c>
    </row>
    <row r="285" spans="1:8" x14ac:dyDescent="0.35">
      <c r="A285">
        <v>150003</v>
      </c>
      <c r="B285" t="s">
        <v>556</v>
      </c>
      <c r="C285" t="s">
        <v>557</v>
      </c>
      <c r="D285" t="s">
        <v>558</v>
      </c>
      <c r="E285">
        <v>1981</v>
      </c>
      <c r="G285" t="s">
        <v>3338</v>
      </c>
      <c r="H285" s="284" t="str">
        <f>HYPERLINK("https://scholar.google.com/scholar?hl=en&amp;as_q=&amp;as_oq=&amp;as_eq=&amp;as_sauthors=&amp;as_publication=&amp;as_ylo=&amp;as_yhi=&amp;as_occt=title&amp;as_sdt=0%2C5&amp;as_epq=%22Flow-Through+Early-Life+Stage+Toxicity+Tests+with+Fathead+Minnows+%28Pimephales+promelas%29", "Google Scholar")</f>
        <v>Google Scholar</v>
      </c>
    </row>
    <row r="286" spans="1:8" x14ac:dyDescent="0.35">
      <c r="A286">
        <v>685</v>
      </c>
      <c r="B286" t="s">
        <v>2703</v>
      </c>
      <c r="C286" t="s">
        <v>2722</v>
      </c>
      <c r="D286" t="s">
        <v>2723</v>
      </c>
      <c r="E286">
        <v>1974</v>
      </c>
      <c r="G286" t="s">
        <v>3339</v>
      </c>
      <c r="H286" s="285" t="str">
        <f>HYPERLINK("https://scholar.google.com/scholar?hl=en&amp;as_q=&amp;as_oq=&amp;as_eq=&amp;as_sauthors=&amp;as_publication=&amp;as_ylo=&amp;as_yhi=&amp;as_occt=title&amp;as_sdt=0%2C5&amp;as_epq=%22Toxicity+of+2-%28Digeranylamino%29-Ethanol%2C+a+Candidate+Selective+Fish+Toxicant", "Google Scholar")</f>
        <v>Google Scholar</v>
      </c>
    </row>
    <row r="287" spans="1:8" x14ac:dyDescent="0.35">
      <c r="A287">
        <v>9128</v>
      </c>
      <c r="B287" t="s">
        <v>2703</v>
      </c>
      <c r="C287" t="s">
        <v>2704</v>
      </c>
      <c r="D287" t="s">
        <v>2705</v>
      </c>
      <c r="E287">
        <v>1972</v>
      </c>
      <c r="G287" t="s">
        <v>3340</v>
      </c>
      <c r="H287" s="286" t="str">
        <f>HYPERLINK("https://scholar.google.com/scholar?hl=en&amp;as_q=&amp;as_oq=&amp;as_eq=&amp;as_sauthors=&amp;as_publication=&amp;as_ylo=&amp;as_yhi=&amp;as_occt=title&amp;as_sdt=0%2C5&amp;as_epq=%22Salicylanilide+I%2C+an+Effective+Non-Persistent+Candidate+Piscicide", "Google Scholar")</f>
        <v>Google Scholar</v>
      </c>
    </row>
    <row r="288" spans="1:8" x14ac:dyDescent="0.35">
      <c r="A288">
        <v>9129</v>
      </c>
      <c r="B288" t="s">
        <v>1959</v>
      </c>
      <c r="C288" t="s">
        <v>1960</v>
      </c>
      <c r="D288" t="s">
        <v>1961</v>
      </c>
      <c r="E288">
        <v>1970</v>
      </c>
      <c r="G288" t="s">
        <v>3341</v>
      </c>
      <c r="H288" s="287" t="str">
        <f>HYPERLINK("https://scholar.google.com/scholar?hl=en&amp;as_q=&amp;as_oq=&amp;as_eq=&amp;as_sauthors=&amp;as_publication=&amp;as_ylo=&amp;as_yhi=&amp;as_occt=title&amp;as_sdt=0%2C5&amp;as_epq=%22Toxicity+of+33NCS+%283%27-Chloro-3-Nitrosalicylanilide%29+to+Freshwater+Fish+and+Sea+Lamprey", "Google Scholar")</f>
        <v>Google Scholar</v>
      </c>
    </row>
    <row r="289" spans="1:8" x14ac:dyDescent="0.35">
      <c r="A289">
        <v>7567</v>
      </c>
      <c r="B289" t="s">
        <v>2662</v>
      </c>
      <c r="C289" t="s">
        <v>2663</v>
      </c>
      <c r="D289" t="s">
        <v>2664</v>
      </c>
      <c r="E289">
        <v>1977</v>
      </c>
      <c r="G289" t="s">
        <v>3342</v>
      </c>
      <c r="H289" s="288" t="str">
        <f>HYPERLINK("https://scholar.google.com/scholar?hl=en&amp;as_q=&amp;as_oq=&amp;as_eq=&amp;as_sauthors=&amp;as_publication=&amp;as_ylo=&amp;as_yhi=&amp;as_occt=title&amp;as_sdt=0%2C5&amp;as_epq=%22Toxicity+of+Furanace+to+Fish%2C+Aquatic+Invertebrates%2C+and+Frog+Eggs+and+Larvae", "Google Scholar")</f>
        <v>Google Scholar</v>
      </c>
    </row>
    <row r="290" spans="1:8" x14ac:dyDescent="0.35">
      <c r="A290">
        <v>14052</v>
      </c>
      <c r="B290" t="s">
        <v>1698</v>
      </c>
      <c r="C290" t="s">
        <v>1699</v>
      </c>
      <c r="D290" t="s">
        <v>1700</v>
      </c>
      <c r="E290">
        <v>1967</v>
      </c>
      <c r="G290" t="s">
        <v>3343</v>
      </c>
      <c r="H290" s="289" t="str">
        <f>HYPERLINK("https://scholar.google.com/scholar?hl=en&amp;as_q=&amp;as_oq=&amp;as_eq=&amp;as_sauthors=&amp;as_publication=&amp;as_ylo=&amp;as_yhi=&amp;as_occt=title&amp;as_sdt=0%2C5&amp;as_epq=%22Toxicity+of+Bayer+73+to+Fish", "Google Scholar")</f>
        <v>Google Scholar</v>
      </c>
    </row>
    <row r="291" spans="1:8" x14ac:dyDescent="0.35">
      <c r="A291">
        <v>997</v>
      </c>
      <c r="B291" t="s">
        <v>707</v>
      </c>
      <c r="C291" t="s">
        <v>708</v>
      </c>
      <c r="D291" t="s">
        <v>709</v>
      </c>
      <c r="E291">
        <v>1975</v>
      </c>
      <c r="G291" t="s">
        <v>3344</v>
      </c>
      <c r="H291" s="290" t="str">
        <f>HYPERLINK("https://scholar.google.com/scholar?hl=en&amp;as_q=&amp;as_oq=&amp;as_eq=&amp;as_sauthors=&amp;as_publication=&amp;as_ylo=&amp;as_yhi=&amp;as_occt=title&amp;as_sdt=0%2C5&amp;as_epq=%22Toxicity+of+the+Lampricide+3-Trifluoromethyl-4-Nitrophenol+%28TFM%29+to+Nontarget+Fish+in+Static+Tests", "Google Scholar")</f>
        <v>Google Scholar</v>
      </c>
    </row>
    <row r="292" spans="1:8" x14ac:dyDescent="0.35">
      <c r="A292">
        <v>7853</v>
      </c>
      <c r="B292" t="s">
        <v>624</v>
      </c>
      <c r="C292" t="s">
        <v>625</v>
      </c>
      <c r="D292" t="s">
        <v>626</v>
      </c>
      <c r="E292">
        <v>1976</v>
      </c>
      <c r="G292" t="s">
        <v>3345</v>
      </c>
      <c r="H292" s="291" t="str">
        <f>HYPERLINK("https://scholar.google.com/scholar?hl=en&amp;as_q=&amp;as_oq=&amp;as_eq=&amp;as_sauthors=&amp;as_publication=&amp;as_ylo=&amp;as_yhi=&amp;as_occt=title&amp;as_sdt=0%2C5&amp;as_epq=%22Toxicity+of+Rotenone+to+Fish+in+Standardized+Laboratory+Tests", "Google Scholar")</f>
        <v>Google Scholar</v>
      </c>
    </row>
    <row r="293" spans="1:8" x14ac:dyDescent="0.35">
      <c r="A293">
        <v>10938</v>
      </c>
      <c r="B293" t="s">
        <v>624</v>
      </c>
      <c r="C293" t="s">
        <v>702</v>
      </c>
      <c r="D293" t="s">
        <v>703</v>
      </c>
      <c r="E293">
        <v>1985</v>
      </c>
      <c r="G293" t="s">
        <v>3346</v>
      </c>
      <c r="H293" s="292" t="str">
        <f>HYPERLINK("https://scholar.google.com/scholar?hl=en&amp;as_q=&amp;as_oq=&amp;as_eq=&amp;as_sauthors=&amp;as_publication=&amp;as_ylo=&amp;as_yhi=&amp;as_occt=title&amp;as_sdt=0%2C5&amp;as_epq=%22Effects+of+Contaminants+on+Toxicity+of+the+Lampricides+TFM+and+Bayer+73+to+Three+Species+of+Fish", "Google Scholar")</f>
        <v>Google Scholar</v>
      </c>
    </row>
    <row r="294" spans="1:8" x14ac:dyDescent="0.35">
      <c r="A294">
        <v>51911</v>
      </c>
      <c r="B294" t="s">
        <v>2019</v>
      </c>
      <c r="C294" t="s">
        <v>2020</v>
      </c>
      <c r="D294" t="s">
        <v>2021</v>
      </c>
      <c r="E294">
        <v>2000</v>
      </c>
      <c r="G294" t="s">
        <v>3347</v>
      </c>
      <c r="H294" s="293" t="str">
        <f>HYPERLINK("https://scholar.google.com/scholar?hl=en&amp;as_q=&amp;as_oq=&amp;as_eq=&amp;as_sauthors=&amp;as_publication=&amp;as_ylo=&amp;as_yhi=&amp;as_occt=title&amp;as_sdt=0%2C5&amp;as_epq=%22Effects+of+Several+Variables+on+Whole+Effluent+Toxicity+Test+Performance+and+Interpretation", "Google Scholar")</f>
        <v>Google Scholar</v>
      </c>
    </row>
    <row r="295" spans="1:8" x14ac:dyDescent="0.35">
      <c r="A295">
        <v>719</v>
      </c>
      <c r="B295" t="s">
        <v>338</v>
      </c>
      <c r="C295" t="s">
        <v>339</v>
      </c>
      <c r="D295" t="s">
        <v>340</v>
      </c>
      <c r="E295">
        <v>1976</v>
      </c>
      <c r="G295" t="s">
        <v>3348</v>
      </c>
      <c r="H295" s="294" t="str">
        <f>HYPERLINK("https://scholar.google.com/scholar?hl=en&amp;as_q=&amp;as_oq=&amp;as_eq=&amp;as_sauthors=&amp;as_publication=&amp;as_ylo=&amp;as_yhi=&amp;as_occt=title&amp;as_sdt=0%2C5&amp;as_epq=%22Acute+Toxicity+of+Selected+Organic+Compounds+to+Fathead+Minnows", "Google Scholar")</f>
        <v>Google Scholar</v>
      </c>
    </row>
    <row r="296" spans="1:8" x14ac:dyDescent="0.35">
      <c r="A296">
        <v>665</v>
      </c>
      <c r="B296" t="s">
        <v>1406</v>
      </c>
      <c r="C296" t="s">
        <v>1407</v>
      </c>
      <c r="D296" t="s">
        <v>1408</v>
      </c>
      <c r="E296">
        <v>1977</v>
      </c>
      <c r="G296" t="s">
        <v>3349</v>
      </c>
      <c r="H296" s="295" t="str">
        <f>HYPERLINK("https://scholar.google.com/scholar?hl=en&amp;as_q=&amp;as_oq=&amp;as_eq=&amp;as_sauthors=&amp;as_publication=&amp;as_ylo=&amp;as_yhi=&amp;as_occt=title&amp;as_sdt=0%2C5&amp;as_epq=%22Effects+of+Water+Quality+on+Deactivation+and+Toxicity+of+Mexacarbate+%28Zectran%29+to+Fish", "Google Scholar")</f>
        <v>Google Scholar</v>
      </c>
    </row>
    <row r="297" spans="1:8" x14ac:dyDescent="0.35">
      <c r="A297">
        <v>835</v>
      </c>
      <c r="B297" t="s">
        <v>2767</v>
      </c>
      <c r="C297" t="s">
        <v>2768</v>
      </c>
      <c r="D297" t="s">
        <v>2769</v>
      </c>
      <c r="E297">
        <v>1976</v>
      </c>
      <c r="G297" t="s">
        <v>3350</v>
      </c>
      <c r="H297" s="296" t="str">
        <f>HYPERLINK("https://scholar.google.com/scholar?hl=en&amp;as_q=&amp;as_oq=&amp;as_eq=&amp;as_sauthors=&amp;as_publication=&amp;as_ylo=&amp;as_yhi=&amp;as_occt=title&amp;as_sdt=0%2C5&amp;as_epq=%22Toxicity+of+Natural+Pyrethrins+and+Five+Pyrethroids+to+Fish", "Google Scholar")</f>
        <v>Google Scholar</v>
      </c>
    </row>
    <row r="298" spans="1:8" x14ac:dyDescent="0.35">
      <c r="A298">
        <v>153255</v>
      </c>
      <c r="B298" t="s">
        <v>317</v>
      </c>
      <c r="C298" t="s">
        <v>318</v>
      </c>
      <c r="D298" t="s">
        <v>319</v>
      </c>
      <c r="E298">
        <v>2008</v>
      </c>
      <c r="G298" t="s">
        <v>3351</v>
      </c>
      <c r="H298" s="297" t="str">
        <f>HYPERLINK("https://scholar.google.com/scholar?hl=en&amp;as_q=&amp;as_oq=&amp;as_eq=&amp;as_sauthors=&amp;as_publication=&amp;as_ylo=&amp;as_yhi=&amp;as_occt=title&amp;as_sdt=0%2C5&amp;as_epq=%22Endangered+Aquatic+Vertebrates%3A+Comparative+and+Probabilistic-Based+Toxicology", "Google Scholar")</f>
        <v>Google Scholar</v>
      </c>
    </row>
    <row r="299" spans="1:8" x14ac:dyDescent="0.35">
      <c r="A299">
        <v>2957</v>
      </c>
      <c r="B299" t="s">
        <v>1131</v>
      </c>
      <c r="C299" t="s">
        <v>1132</v>
      </c>
      <c r="D299" t="s">
        <v>1133</v>
      </c>
      <c r="E299">
        <v>1981</v>
      </c>
      <c r="G299" t="s">
        <v>3352</v>
      </c>
      <c r="H299" s="298" t="str">
        <f>HYPERLINK("https://scholar.google.com/scholar?hl=en&amp;as_q=&amp;as_oq=&amp;as_eq=&amp;as_sauthors=&amp;as_publication=&amp;as_ylo=&amp;as_yhi=&amp;as_occt=title&amp;as_sdt=0%2C5&amp;as_epq=%22Phosphate+Ester+Hydraulic+Fluids%3A+An+Aquatic+Environmental+Assessment+of+Pydrauls+50E+and+115E", "Google Scholar")</f>
        <v>Google Scholar</v>
      </c>
    </row>
    <row r="300" spans="1:8" x14ac:dyDescent="0.35">
      <c r="A300">
        <v>70421</v>
      </c>
      <c r="B300" t="s">
        <v>101</v>
      </c>
      <c r="C300" t="s">
        <v>102</v>
      </c>
      <c r="D300" t="s">
        <v>103</v>
      </c>
      <c r="E300">
        <v>1974</v>
      </c>
      <c r="G300" t="s">
        <v>3353</v>
      </c>
      <c r="H300" s="299" t="str">
        <f>HYPERLINK("https://scholar.google.com/scholar?hl=en&amp;as_q=&amp;as_oq=&amp;as_eq=&amp;as_sauthors=&amp;as_publication=&amp;as_ylo=&amp;as_yhi=&amp;as_occt=title&amp;as_sdt=0%2C5&amp;as_epq=%22Pesticides+as+Pollutants", "Google Scholar")</f>
        <v>Google Scholar</v>
      </c>
    </row>
    <row r="301" spans="1:8" x14ac:dyDescent="0.35">
      <c r="A301">
        <v>648</v>
      </c>
      <c r="B301" t="s">
        <v>2444</v>
      </c>
      <c r="C301" t="s">
        <v>2445</v>
      </c>
      <c r="D301" t="s">
        <v>2446</v>
      </c>
      <c r="E301">
        <v>1977</v>
      </c>
      <c r="G301" t="s">
        <v>3354</v>
      </c>
      <c r="H301" s="300" t="str">
        <f>HYPERLINK("https://scholar.google.com/scholar?hl=en&amp;as_q=&amp;as_oq=&amp;as_eq=&amp;as_sauthors=&amp;as_publication=&amp;as_ylo=&amp;as_yhi=&amp;as_occt=title&amp;as_sdt=0%2C5&amp;as_epq=%22Toxaphene%3A+Chronic+Toxicity+to+Fathead+Minnows+and+Channel+Catfish", "Google Scholar")</f>
        <v>Google Scholar</v>
      </c>
    </row>
    <row r="302" spans="1:8" x14ac:dyDescent="0.35">
      <c r="A302">
        <v>6797</v>
      </c>
      <c r="B302" t="s">
        <v>96</v>
      </c>
      <c r="C302" t="s">
        <v>97</v>
      </c>
      <c r="D302" t="s">
        <v>98</v>
      </c>
      <c r="E302">
        <v>1986</v>
      </c>
      <c r="F302" t="s">
        <v>3355</v>
      </c>
      <c r="G302" t="s">
        <v>3356</v>
      </c>
      <c r="H302" s="301" t="str">
        <f>HYPERLINK("https://scholar.google.com/scholar?hl=en&amp;as_q=&amp;as_oq=&amp;as_eq=&amp;as_sauthors=&amp;as_publication=&amp;as_ylo=&amp;as_yhi=&amp;as_occt=title&amp;as_sdt=0%2C5&amp;as_epq=%22Manual+of+Acute+Toxicity%3A+Interpretation+and+Data+Base+for+410+Chemicals+and+66+Species+of+Freshwater+Animals", "Google Scholar")</f>
        <v>Google Scholar</v>
      </c>
    </row>
    <row r="303" spans="1:8" x14ac:dyDescent="0.35">
      <c r="A303">
        <v>10699</v>
      </c>
      <c r="B303" t="s">
        <v>2922</v>
      </c>
      <c r="C303" t="s">
        <v>2923</v>
      </c>
      <c r="D303" t="s">
        <v>2924</v>
      </c>
      <c r="E303">
        <v>1984</v>
      </c>
      <c r="G303" t="s">
        <v>3357</v>
      </c>
      <c r="H303" s="302" t="str">
        <f>HYPERLINK("https://scholar.google.com/scholar?hl=en&amp;as_q=&amp;as_oq=&amp;as_eq=&amp;as_sauthors=&amp;as_publication=&amp;as_ylo=&amp;as_yhi=&amp;as_occt=title&amp;as_sdt=0%2C5&amp;as_epq=%22Triclopyr+Triethylamine+Salt+Toxicity+to+Life+Stages+of+the+Fathead+Minnow+%28Pimephales+promelas+Rafinesque%29", "Google Scholar")</f>
        <v>Google Scholar</v>
      </c>
    </row>
    <row r="304" spans="1:8" x14ac:dyDescent="0.35">
      <c r="A304">
        <v>11439</v>
      </c>
      <c r="B304" t="s">
        <v>1569</v>
      </c>
      <c r="C304" t="s">
        <v>1570</v>
      </c>
      <c r="D304" t="s">
        <v>1571</v>
      </c>
      <c r="E304">
        <v>1985</v>
      </c>
      <c r="G304" t="s">
        <v>3358</v>
      </c>
      <c r="H304" s="303" t="str">
        <f>HYPERLINK("https://scholar.google.com/scholar?hl=en&amp;as_q=&amp;as_oq=&amp;as_eq=&amp;as_sauthors=&amp;as_publication=&amp;as_ylo=&amp;as_yhi=&amp;as_occt=title&amp;as_sdt=0%2C5&amp;as_epq=%22Static+Acute+Toxicity+of+Dibromonitrilopropionamide+and+Selected+Degradation+Products+to+the+Fathead+Minnow+%28P", "Google Scholar")</f>
        <v>Google Scholar</v>
      </c>
    </row>
    <row r="305" spans="1:8" x14ac:dyDescent="0.35">
      <c r="A305">
        <v>12303</v>
      </c>
      <c r="B305" t="s">
        <v>2586</v>
      </c>
      <c r="C305" t="s">
        <v>2587</v>
      </c>
      <c r="D305" t="s">
        <v>2588</v>
      </c>
      <c r="E305">
        <v>1986</v>
      </c>
      <c r="G305" t="s">
        <v>3359</v>
      </c>
      <c r="H305" s="304" t="str">
        <f>HYPERLINK("https://scholar.google.com/scholar?hl=en&amp;as_q=&amp;as_oq=&amp;as_eq=&amp;as_sauthors=&amp;as_publication=&amp;as_ylo=&amp;as_yhi=&amp;as_occt=title&amp;as_sdt=0%2C5&amp;as_epq=%22Acute+and+Chronic+Toxicity+of+Ammonia+to+Freshwater+Fish%3A+A+Site-Specific+Study", "Google Scholar")</f>
        <v>Google Scholar</v>
      </c>
    </row>
    <row r="306" spans="1:8" x14ac:dyDescent="0.35">
      <c r="A306">
        <v>10432</v>
      </c>
      <c r="B306" t="s">
        <v>394</v>
      </c>
      <c r="C306" t="s">
        <v>395</v>
      </c>
      <c r="D306" t="s">
        <v>396</v>
      </c>
      <c r="E306">
        <v>1983</v>
      </c>
      <c r="G306" t="s">
        <v>3360</v>
      </c>
      <c r="H306" s="305" t="str">
        <f>HYPERLINK("https://scholar.google.com/scholar?hl=en&amp;as_q=&amp;as_oq=&amp;as_eq=&amp;as_sauthors=&amp;as_publication=&amp;as_ylo=&amp;as_yhi=&amp;as_occt=title&amp;as_sdt=0%2C5&amp;as_epq=%22A+Study+to+Assess+the+Influence+of+Age+on+the+Response+of+Fathead+Minnows+in+Static+Acute+Toxicity+Tests", "Google Scholar")</f>
        <v>Google Scholar</v>
      </c>
    </row>
    <row r="307" spans="1:8" x14ac:dyDescent="0.35">
      <c r="A307">
        <v>10698</v>
      </c>
      <c r="B307" t="s">
        <v>1755</v>
      </c>
      <c r="C307" t="s">
        <v>1756</v>
      </c>
      <c r="D307" t="s">
        <v>1757</v>
      </c>
      <c r="E307">
        <v>1984</v>
      </c>
      <c r="G307" t="s">
        <v>3361</v>
      </c>
      <c r="H307" s="306" t="str">
        <f>HYPERLINK("https://scholar.google.com/scholar?hl=en&amp;as_q=&amp;as_oq=&amp;as_eq=&amp;as_sauthors=&amp;as_publication=&amp;as_ylo=&amp;as_yhi=&amp;as_occt=title&amp;as_sdt=0%2C5&amp;as_epq=%22The+Acute+Toxicity+of+Picloram%2C+Picloram+Potassium+Salt%2C+and+Picloram+Triisopropanolamine+Salt+to+Aquatic+Or", "Google Scholar")</f>
        <v>Google Scholar</v>
      </c>
    </row>
    <row r="308" spans="1:8" x14ac:dyDescent="0.35">
      <c r="A308">
        <v>9330</v>
      </c>
      <c r="B308" t="s">
        <v>1966</v>
      </c>
      <c r="C308" t="s">
        <v>1967</v>
      </c>
      <c r="D308" t="s">
        <v>1968</v>
      </c>
      <c r="E308">
        <v>1985</v>
      </c>
      <c r="G308" t="s">
        <v>3362</v>
      </c>
      <c r="H308" s="307" t="str">
        <f>HYPERLINK("https://scholar.google.com/scholar?hl=en&amp;as_q=&amp;as_oq=&amp;as_eq=&amp;as_sauthors=&amp;as_publication=&amp;as_ylo=&amp;as_yhi=&amp;as_occt=title&amp;as_sdt=0%2C5&amp;as_epq=%22An+Aquatic+Hazard+Assessment%3A+Picloram", "Google Scholar")</f>
        <v>Google Scholar</v>
      </c>
    </row>
    <row r="309" spans="1:8" x14ac:dyDescent="0.35">
      <c r="A309">
        <v>10614</v>
      </c>
      <c r="B309" t="s">
        <v>643</v>
      </c>
      <c r="C309" t="s">
        <v>644</v>
      </c>
      <c r="D309" t="s">
        <v>645</v>
      </c>
      <c r="E309">
        <v>1985</v>
      </c>
      <c r="F309" t="s">
        <v>3069</v>
      </c>
      <c r="G309" t="s">
        <v>3363</v>
      </c>
      <c r="H309" s="308" t="str">
        <f>HYPERLINK("https://scholar.google.com/scholar?hl=en&amp;as_q=&amp;as_oq=&amp;as_eq=&amp;as_sauthors=&amp;as_publication=&amp;as_ylo=&amp;as_yhi=&amp;as_occt=title&amp;as_sdt=0%2C5&amp;as_epq=%22Chronic+Toxicity+of+Di-n-butyl+and+Di-n-octyl+Phthalate+to+Daphnia+magna+and+the+Fathead+Minnow", "Google Scholar")</f>
        <v>Google Scholar</v>
      </c>
    </row>
    <row r="310" spans="1:8" x14ac:dyDescent="0.35">
      <c r="A310">
        <v>152293</v>
      </c>
      <c r="B310" t="s">
        <v>2049</v>
      </c>
      <c r="C310" t="s">
        <v>2050</v>
      </c>
      <c r="D310" t="s">
        <v>2051</v>
      </c>
      <c r="E310">
        <v>1983</v>
      </c>
      <c r="G310" t="s">
        <v>3364</v>
      </c>
      <c r="H310" s="309" t="str">
        <f>HYPERLINK("https://scholar.google.com/scholar?hl=en&amp;as_q=&amp;as_oq=&amp;as_eq=&amp;as_sauthors=&amp;as_publication=&amp;as_ylo=&amp;as_yhi=&amp;as_occt=title&amp;as_sdt=0%2C5&amp;as_epq=%22Seven-Day+Larval+Fathead+Minnow+Toxicity+Test+with+Zinc+and+Copper+in+Lake+Superior+Water", "Google Scholar")</f>
        <v>Google Scholar</v>
      </c>
    </row>
    <row r="311" spans="1:8" x14ac:dyDescent="0.35">
      <c r="A311">
        <v>545</v>
      </c>
      <c r="B311" t="s">
        <v>2856</v>
      </c>
      <c r="C311" t="s">
        <v>2857</v>
      </c>
      <c r="D311" t="s">
        <v>2858</v>
      </c>
      <c r="E311">
        <v>1975</v>
      </c>
      <c r="G311" t="s">
        <v>3365</v>
      </c>
      <c r="H311" s="310" t="str">
        <f>HYPERLINK("https://scholar.google.com/scholar?hl=en&amp;as_q=&amp;as_oq=&amp;as_eq=&amp;as_sauthors=&amp;as_publication=&amp;as_ylo=&amp;as_yhi=&amp;as_occt=title&amp;as_sdt=0%2C5&amp;as_epq=%22Toxicity+of+a+Linear+Alkylate+Sulfonate+Detergent+to+Larvae+of+Four+Species+of+Freshwater+Fish", "Google Scholar")</f>
        <v>Google Scholar</v>
      </c>
    </row>
    <row r="312" spans="1:8" x14ac:dyDescent="0.35">
      <c r="A312">
        <v>551</v>
      </c>
      <c r="B312" t="s">
        <v>1427</v>
      </c>
      <c r="C312" t="s">
        <v>1428</v>
      </c>
      <c r="D312" t="s">
        <v>1429</v>
      </c>
      <c r="E312">
        <v>1979</v>
      </c>
      <c r="G312" t="s">
        <v>3366</v>
      </c>
      <c r="H312" s="311" t="str">
        <f>HYPERLINK("https://scholar.google.com/scholar?hl=en&amp;as_q=&amp;as_oq=&amp;as_eq=&amp;as_sauthors=&amp;as_publication=&amp;as_ylo=&amp;as_yhi=&amp;as_occt=title&amp;as_sdt=0%2C5&amp;as_epq=%22Sulfotepp%2C+a+Toxic+Impurity+in+Formulations+of+Diazinon", "Google Scholar")</f>
        <v>Google Scholar</v>
      </c>
    </row>
    <row r="313" spans="1:8" x14ac:dyDescent="0.35">
      <c r="A313">
        <v>5811</v>
      </c>
      <c r="B313" t="s">
        <v>455</v>
      </c>
      <c r="C313" t="s">
        <v>456</v>
      </c>
      <c r="D313" t="s">
        <v>457</v>
      </c>
      <c r="E313">
        <v>1972</v>
      </c>
      <c r="G313" t="s">
        <v>3367</v>
      </c>
      <c r="H313" s="312" t="str">
        <f>HYPERLINK("https://scholar.google.com/scholar?hl=en&amp;as_q=&amp;as_oq=&amp;as_eq=&amp;as_sauthors=&amp;as_publication=&amp;as_ylo=&amp;as_yhi=&amp;as_occt=title&amp;as_sdt=0%2C5&amp;as_epq=%22The+Effects+of+Methoxychlor+on+Fishes.+1.+Acute+Toxicity+and+Breakdown+Studies", "Google Scholar")</f>
        <v>Google Scholar</v>
      </c>
    </row>
    <row r="314" spans="1:8" x14ac:dyDescent="0.35">
      <c r="A314">
        <v>5070</v>
      </c>
      <c r="B314" t="s">
        <v>452</v>
      </c>
      <c r="C314" t="s">
        <v>453</v>
      </c>
      <c r="D314" t="s">
        <v>454</v>
      </c>
      <c r="E314">
        <v>1973</v>
      </c>
      <c r="G314" t="s">
        <v>3368</v>
      </c>
      <c r="H314" s="313" t="str">
        <f>HYPERLINK("https://scholar.google.com/scholar?hl=en&amp;as_q=&amp;as_oq=&amp;as_eq=&amp;as_sauthors=&amp;as_publication=&amp;as_ylo=&amp;as_yhi=&amp;as_occt=title&amp;as_sdt=0%2C5&amp;as_epq=%22The+Effects+of+Methoxychlor+on+Aquatic+Biota", "Google Scholar")</f>
        <v>Google Scholar</v>
      </c>
    </row>
    <row r="315" spans="1:8" x14ac:dyDescent="0.35">
      <c r="A315">
        <v>100936</v>
      </c>
      <c r="B315" t="s">
        <v>2030</v>
      </c>
      <c r="C315" t="s">
        <v>2031</v>
      </c>
      <c r="D315" t="s">
        <v>2032</v>
      </c>
      <c r="E315">
        <v>2007</v>
      </c>
      <c r="G315" t="s">
        <v>3369</v>
      </c>
      <c r="H315" s="314" t="str">
        <f>HYPERLINK("https://scholar.google.com/scholar?hl=en&amp;as_q=&amp;as_oq=&amp;as_eq=&amp;as_sauthors=&amp;as_publication=&amp;as_ylo=&amp;as_yhi=&amp;as_occt=title&amp;as_sdt=0%2C5&amp;as_epq=%22Use+of+the+Biotic+Ligand+Model+to+Predict+Pulse-Exposure+Toxicity+of+Copper+to+Fathead+Minnows+%28Pimephales+pro", "Google Scholar")</f>
        <v>Google Scholar</v>
      </c>
    </row>
    <row r="316" spans="1:8" x14ac:dyDescent="0.35">
      <c r="A316">
        <v>116913</v>
      </c>
      <c r="B316" t="s">
        <v>2087</v>
      </c>
      <c r="C316" t="s">
        <v>2088</v>
      </c>
      <c r="D316" t="s">
        <v>2089</v>
      </c>
      <c r="E316">
        <v>1985</v>
      </c>
      <c r="G316" t="s">
        <v>3370</v>
      </c>
      <c r="H316" s="315" t="str">
        <f>HYPERLINK("https://scholar.google.com/scholar?hl=en&amp;as_q=&amp;as_oq=&amp;as_eq=&amp;as_sauthors=&amp;as_publication=&amp;as_ylo=&amp;as_yhi=&amp;as_occt=title&amp;as_sdt=0%2C5&amp;as_epq=%22Chemistry+and+Aquatic+Toxicity+of+Raw+Oil+Shale+Leachates+from+Piceance+Basin%2C+Colorado", "Google Scholar")</f>
        <v>Google Scholar</v>
      </c>
    </row>
    <row r="317" spans="1:8" x14ac:dyDescent="0.35">
      <c r="A317">
        <v>11725</v>
      </c>
      <c r="B317" t="s">
        <v>748</v>
      </c>
      <c r="C317" t="s">
        <v>749</v>
      </c>
      <c r="D317" t="s">
        <v>750</v>
      </c>
      <c r="E317">
        <v>1984</v>
      </c>
      <c r="G317" t="s">
        <v>3371</v>
      </c>
      <c r="H317" s="316" t="str">
        <f>HYPERLINK("https://scholar.google.com/scholar?hl=en&amp;as_q=&amp;as_oq=&amp;as_eq=&amp;as_sauthors=&amp;as_publication=&amp;as_ylo=&amp;as_yhi=&amp;as_occt=title&amp;as_sdt=0%2C5&amp;as_epq=%22Comparative+Acute+Toxicity+to+Aquatic+Organisms+of+Components+of+Coal-Derived+Synthetic+Fuels", "Google Scholar")</f>
        <v>Google Scholar</v>
      </c>
    </row>
    <row r="318" spans="1:8" x14ac:dyDescent="0.35">
      <c r="A318">
        <v>115283</v>
      </c>
      <c r="B318" t="s">
        <v>477</v>
      </c>
      <c r="C318" t="s">
        <v>478</v>
      </c>
      <c r="D318" t="s">
        <v>479</v>
      </c>
      <c r="E318">
        <v>1982</v>
      </c>
      <c r="G318" t="s">
        <v>3372</v>
      </c>
      <c r="H318" s="317" t="str">
        <f>HYPERLINK("https://scholar.google.com/scholar?hl=en&amp;as_q=&amp;as_oq=&amp;as_eq=&amp;as_sauthors=&amp;as_publication=&amp;as_ylo=&amp;as_yhi=&amp;as_occt=title&amp;as_sdt=0%2C5&amp;as_epq=%2296-Hour+LC50+Aquatic+Test+on+Fathead+Minnows+with+Cover+Letter", "Google Scholar")</f>
        <v>Google Scholar</v>
      </c>
    </row>
    <row r="319" spans="1:8" x14ac:dyDescent="0.35">
      <c r="A319">
        <v>90730</v>
      </c>
      <c r="B319" t="s">
        <v>834</v>
      </c>
      <c r="C319" t="s">
        <v>911</v>
      </c>
      <c r="D319" t="s">
        <v>912</v>
      </c>
      <c r="E319">
        <v>1992</v>
      </c>
      <c r="G319" t="s">
        <v>3373</v>
      </c>
      <c r="H319" s="318" t="str">
        <f>HYPERLINK("https://scholar.google.com/scholar?hl=en&amp;as_q=&amp;as_oq=&amp;as_eq=&amp;as_sauthors=&amp;as_publication=&amp;as_ylo=&amp;as_yhi=&amp;as_occt=title&amp;as_sdt=0%2C5&amp;as_epq=%22Initial+Submission%3A++Acute+Toxicity+of+TCC+to+Fathead+Minnows+with+Cover+Letter+Dated+081492", "Google Scholar")</f>
        <v>Google Scholar</v>
      </c>
    </row>
    <row r="320" spans="1:8" x14ac:dyDescent="0.35">
      <c r="A320">
        <v>104273</v>
      </c>
      <c r="B320" t="s">
        <v>834</v>
      </c>
      <c r="C320" t="s">
        <v>838</v>
      </c>
      <c r="D320" t="s">
        <v>839</v>
      </c>
      <c r="E320">
        <v>1982</v>
      </c>
      <c r="G320" t="s">
        <v>3374</v>
      </c>
      <c r="H320" s="319" t="str">
        <f>HYPERLINK("https://scholar.google.com/scholar?hl=en&amp;as_q=&amp;as_oq=&amp;as_eq=&amp;as_sauthors=&amp;as_publication=&amp;as_ylo=&amp;as_yhi=&amp;as_occt=title&amp;as_sdt=0%2C5&amp;as_epq=%22Comparative+Toxicity+of+Aniline+with+Cover+Letter", "Google Scholar")</f>
        <v>Google Scholar</v>
      </c>
    </row>
    <row r="321" spans="1:8" x14ac:dyDescent="0.35">
      <c r="A321">
        <v>104277</v>
      </c>
      <c r="B321" t="s">
        <v>834</v>
      </c>
      <c r="C321" t="s">
        <v>835</v>
      </c>
      <c r="D321" t="s">
        <v>836</v>
      </c>
      <c r="E321">
        <v>1983</v>
      </c>
      <c r="G321" t="s">
        <v>3375</v>
      </c>
      <c r="H321" s="320" t="str">
        <f>HYPERLINK("https://scholar.google.com/scholar?hl=en&amp;as_q=&amp;as_oq=&amp;as_eq=&amp;as_sauthors=&amp;as_publication=&amp;as_ylo=&amp;as_yhi=&amp;as_occt=title&amp;as_sdt=0%2C5&amp;as_epq=%22Acute+Toxicity+of+ACD+to+Fathead+Minnows+%28Pimephales+promelas%29", "Google Scholar")</f>
        <v>Google Scholar</v>
      </c>
    </row>
    <row r="322" spans="1:8" x14ac:dyDescent="0.35">
      <c r="A322">
        <v>111868</v>
      </c>
      <c r="B322" t="s">
        <v>834</v>
      </c>
      <c r="C322" t="s">
        <v>1331</v>
      </c>
      <c r="D322" t="s">
        <v>1332</v>
      </c>
      <c r="E322">
        <v>1994</v>
      </c>
      <c r="G322" t="s">
        <v>3376</v>
      </c>
      <c r="H322" s="321" t="str">
        <f>HYPERLINK("https://scholar.google.com/scholar?hl=en&amp;as_q=&amp;as_oq=&amp;as_eq=&amp;as_sauthors=&amp;as_publication=&amp;as_ylo=&amp;as_yhi=&amp;as_occt=title&amp;as_sdt=0%2C5&amp;as_epq=%22Acute+Toxicity+of+Nitro+Products+and+Effluents+to+Fathead+Minnows+%28Pimephales+promelas%29+and+Daphnids+%28Ceri", "Google Scholar")</f>
        <v>Google Scholar</v>
      </c>
    </row>
    <row r="323" spans="1:8" x14ac:dyDescent="0.35">
      <c r="A323">
        <v>112108</v>
      </c>
      <c r="B323" t="s">
        <v>834</v>
      </c>
      <c r="C323" t="s">
        <v>1328</v>
      </c>
      <c r="D323" t="s">
        <v>1329</v>
      </c>
      <c r="E323">
        <v>1985</v>
      </c>
      <c r="G323" t="s">
        <v>3377</v>
      </c>
      <c r="H323" s="322" t="str">
        <f>HYPERLINK("https://scholar.google.com/scholar?hl=en&amp;as_q=&amp;as_oq=&amp;as_eq=&amp;as_sauthors=&amp;as_publication=&amp;as_ylo=&amp;as_yhi=&amp;as_occt=title&amp;as_sdt=0%2C5&amp;as_epq=%22Toxicologic+Investigation+of%3A++Ureka+White", "Google Scholar")</f>
        <v>Google Scholar</v>
      </c>
    </row>
    <row r="324" spans="1:8" x14ac:dyDescent="0.35">
      <c r="A324">
        <v>183436</v>
      </c>
      <c r="B324" t="s">
        <v>2111</v>
      </c>
      <c r="C324" t="s">
        <v>2112</v>
      </c>
      <c r="D324" t="s">
        <v>2113</v>
      </c>
      <c r="E324">
        <v>2020</v>
      </c>
      <c r="G324" t="s">
        <v>3378</v>
      </c>
      <c r="H324" s="323" t="str">
        <f>HYPERLINK("https://scholar.google.com/scholar?hl=en&amp;as_q=&amp;as_oq=&amp;as_eq=&amp;as_sauthors=&amp;as_publication=&amp;as_ylo=&amp;as_yhi=&amp;as_occt=title&amp;as_sdt=0%2C5&amp;as_epq=%22Comparative+Toxicity+of+Nitrate+to+Common+and+Imperiled+Freshwater+Mussel+Glochidia+and+Larval+Fishes", "Google Scholar")</f>
        <v>Google Scholar</v>
      </c>
    </row>
    <row r="325" spans="1:8" x14ac:dyDescent="0.35">
      <c r="A325">
        <v>2006</v>
      </c>
      <c r="B325" t="s">
        <v>2185</v>
      </c>
      <c r="C325" t="s">
        <v>2259</v>
      </c>
      <c r="D325" t="s">
        <v>2260</v>
      </c>
      <c r="E325">
        <v>1968</v>
      </c>
      <c r="G325" t="s">
        <v>3379</v>
      </c>
      <c r="H325" s="324" t="str">
        <f>HYPERLINK("https://scholar.google.com/scholar?hl=en&amp;as_q=&amp;as_oq=&amp;as_eq=&amp;as_sauthors=&amp;as_publication=&amp;as_ylo=&amp;as_yhi=&amp;as_occt=title&amp;as_sdt=0%2C5&amp;as_epq=%22Chronic+Toxicity+of+Copper+to+Fathead+Minnows+%28Pimephales+promelas%2C+Rafinesque%29", "Google Scholar")</f>
        <v>Google Scholar</v>
      </c>
    </row>
    <row r="326" spans="1:8" x14ac:dyDescent="0.35">
      <c r="A326">
        <v>2118</v>
      </c>
      <c r="B326" t="s">
        <v>2185</v>
      </c>
      <c r="C326" t="s">
        <v>2186</v>
      </c>
      <c r="D326" t="s">
        <v>2187</v>
      </c>
      <c r="E326">
        <v>1966</v>
      </c>
      <c r="G326" t="s">
        <v>3380</v>
      </c>
      <c r="H326" s="325" t="str">
        <f>HYPERLINK("https://scholar.google.com/scholar?hl=en&amp;as_q=&amp;as_oq=&amp;as_eq=&amp;as_sauthors=&amp;as_publication=&amp;as_ylo=&amp;as_yhi=&amp;as_occt=title&amp;as_sdt=0%2C5&amp;as_epq=%22The+Effect+of+Total+Hardness+and+pH+on+Acute+Toxicity+of+Zinc+to+Fish", "Google Scholar")</f>
        <v>Google Scholar</v>
      </c>
    </row>
    <row r="327" spans="1:8" x14ac:dyDescent="0.35">
      <c r="A327">
        <v>5075</v>
      </c>
      <c r="B327" t="s">
        <v>2309</v>
      </c>
      <c r="C327" t="s">
        <v>2310</v>
      </c>
      <c r="D327" t="s">
        <v>2311</v>
      </c>
      <c r="E327">
        <v>1969</v>
      </c>
      <c r="G327" t="s">
        <v>3381</v>
      </c>
      <c r="H327" s="326" t="str">
        <f>HYPERLINK("https://scholar.google.com/scholar?hl=en&amp;as_q=&amp;as_oq=&amp;as_eq=&amp;as_sauthors=&amp;as_publication=&amp;as_ylo=&amp;as_yhi=&amp;as_occt=title&amp;as_sdt=0%2C5&amp;as_epq=%22Chronic+Toxicity+of+Copper+to+the+Fathead+Minnow+%28Pimephales+promelas%29+in+Soft+Water", "Google Scholar")</f>
        <v>Google Scholar</v>
      </c>
    </row>
    <row r="328" spans="1:8" x14ac:dyDescent="0.35">
      <c r="A328">
        <v>18272</v>
      </c>
      <c r="B328" t="s">
        <v>1456</v>
      </c>
      <c r="C328" t="s">
        <v>1457</v>
      </c>
      <c r="D328" t="s">
        <v>1458</v>
      </c>
      <c r="E328">
        <v>1997</v>
      </c>
      <c r="G328" t="s">
        <v>3382</v>
      </c>
      <c r="H328" s="327" t="str">
        <f>HYPERLINK("https://scholar.google.com/scholar?hl=en&amp;as_q=&amp;as_oq=&amp;as_eq=&amp;as_sauthors=&amp;as_publication=&amp;as_ylo=&amp;as_yhi=&amp;as_occt=title&amp;as_sdt=0%2C5&amp;as_epq=%22Statistical+Models+to+Predict+the+Toxicity+of+Major+Ions+to+Ceriodaphnia+dubia%2C+Daphnia+magna+and+Pimephales+p", "Google Scholar")</f>
        <v>Google Scholar</v>
      </c>
    </row>
    <row r="329" spans="1:8" x14ac:dyDescent="0.35">
      <c r="A329">
        <v>65821</v>
      </c>
      <c r="B329" t="s">
        <v>2036</v>
      </c>
      <c r="C329" t="s">
        <v>2037</v>
      </c>
      <c r="D329" t="s">
        <v>2038</v>
      </c>
      <c r="E329">
        <v>2002</v>
      </c>
      <c r="G329" t="s">
        <v>3383</v>
      </c>
      <c r="H329" s="328" t="str">
        <f>HYPERLINK("https://scholar.google.com/scholar?hl=en&amp;as_q=&amp;as_oq=&amp;as_eq=&amp;as_sauthors=&amp;as_publication=&amp;as_ylo=&amp;as_yhi=&amp;as_occt=title&amp;as_sdt=0%2C5&amp;as_epq=%22Algicidal+Effectiveness+of+Clearigate%2C+Cutrine-Plus%2C+and+Copper+Sulfate+and+Margins+of+Safety+Associated+wit", "Google Scholar")</f>
        <v>Google Scholar</v>
      </c>
    </row>
    <row r="330" spans="1:8" x14ac:dyDescent="0.35">
      <c r="A330">
        <v>66375</v>
      </c>
      <c r="B330" t="s">
        <v>2078</v>
      </c>
      <c r="C330" t="s">
        <v>2079</v>
      </c>
      <c r="D330" t="s">
        <v>2080</v>
      </c>
      <c r="E330">
        <v>2002</v>
      </c>
      <c r="G330" t="s">
        <v>3384</v>
      </c>
      <c r="H330" s="329" t="str">
        <f>HYPERLINK("https://scholar.google.com/scholar?hl=en&amp;as_q=&amp;as_oq=&amp;as_eq=&amp;as_sauthors=&amp;as_publication=&amp;as_ylo=&amp;as_yhi=&amp;as_occt=title&amp;as_sdt=0%2C5&amp;as_epq=%22The+Effect+of+Calcium+and+Magnesium+Ratios+on+the+Toxicity+of+Copper+to+Five+Aquatic+Species+in+Freshwater", "Google Scholar")</f>
        <v>Google Scholar</v>
      </c>
    </row>
    <row r="331" spans="1:8" x14ac:dyDescent="0.35">
      <c r="A331">
        <v>167113</v>
      </c>
      <c r="B331" t="s">
        <v>173</v>
      </c>
      <c r="C331" t="s">
        <v>174</v>
      </c>
      <c r="D331" t="s">
        <v>175</v>
      </c>
      <c r="E331">
        <v>1974</v>
      </c>
      <c r="G331" t="s">
        <v>3385</v>
      </c>
      <c r="H331" s="330" t="str">
        <f>HYPERLINK("https://scholar.google.com/scholar?hl=en&amp;as_q=&amp;as_oq=&amp;as_eq=&amp;as_sauthors=&amp;as_publication=&amp;as_ylo=&amp;as_yhi=&amp;as_occt=title&amp;as_sdt=0%2C5&amp;as_epq=%22Environmental+Effect+of+Photoprocessing+Chemicals+Vol+I+and+II+%28557%29", "Google Scholar")</f>
        <v>Google Scholar</v>
      </c>
    </row>
    <row r="332" spans="1:8" x14ac:dyDescent="0.35">
      <c r="A332">
        <v>10525</v>
      </c>
      <c r="B332" t="s">
        <v>2349</v>
      </c>
      <c r="C332" t="s">
        <v>2350</v>
      </c>
      <c r="D332" t="s">
        <v>2351</v>
      </c>
      <c r="E332">
        <v>1983</v>
      </c>
      <c r="G332" t="s">
        <v>3386</v>
      </c>
      <c r="H332" s="331" t="str">
        <f>HYPERLINK("https://scholar.google.com/scholar?hl=en&amp;as_q=&amp;as_oq=&amp;as_eq=&amp;as_sauthors=&amp;as_publication=&amp;as_ylo=&amp;as_yhi=&amp;as_occt=title&amp;as_sdt=0%2C5&amp;as_epq=%22Toxicity+of+Silver+to+Steelhead+and+Rainbow+Trout%2C+Fathead+Minnows+and+Daphnia+magna", "Google Scholar")</f>
        <v>Google Scholar</v>
      </c>
    </row>
    <row r="333" spans="1:8" x14ac:dyDescent="0.35">
      <c r="A333">
        <v>679</v>
      </c>
      <c r="B333" t="s">
        <v>2525</v>
      </c>
      <c r="C333" t="s">
        <v>2526</v>
      </c>
      <c r="D333" t="s">
        <v>2527</v>
      </c>
      <c r="E333">
        <v>1974</v>
      </c>
      <c r="G333" t="s">
        <v>3387</v>
      </c>
      <c r="H333" s="332" t="str">
        <f>HYPERLINK("https://scholar.google.com/scholar?hl=en&amp;as_q=&amp;as_oq=&amp;as_eq=&amp;as_sauthors=&amp;as_publication=&amp;as_ylo=&amp;as_yhi=&amp;as_occt=title&amp;as_sdt=0%2C5&amp;as_epq=%22Effect+of+Polychlorinated+Biphenyl+Compounds+on+Survival+and+Reproduction+of+the+Fathead+Minnow+and+Flagfish", "Google Scholar")</f>
        <v>Google Scholar</v>
      </c>
    </row>
    <row r="334" spans="1:8" x14ac:dyDescent="0.35">
      <c r="A334">
        <v>10526</v>
      </c>
      <c r="B334" t="s">
        <v>1119</v>
      </c>
      <c r="C334" t="s">
        <v>1120</v>
      </c>
      <c r="D334" t="s">
        <v>1121</v>
      </c>
      <c r="E334">
        <v>1983</v>
      </c>
      <c r="G334" t="s">
        <v>3388</v>
      </c>
      <c r="H334" s="333" t="str">
        <f>HYPERLINK("https://scholar.google.com/scholar?hl=en&amp;as_q=&amp;as_oq=&amp;as_eq=&amp;as_sauthors=&amp;as_publication=&amp;as_ylo=&amp;as_yhi=&amp;as_occt=title&amp;as_sdt=0%2C5&amp;as_epq=%22Relative+Sensitivity+of+Daphnia+magna%2C+Rainbow+Trout+and+Fathead+Minnows+to+Endosulfan", "Google Scholar")</f>
        <v>Google Scholar</v>
      </c>
    </row>
    <row r="335" spans="1:8" x14ac:dyDescent="0.35">
      <c r="A335">
        <v>5203</v>
      </c>
      <c r="B335" t="s">
        <v>2261</v>
      </c>
      <c r="C335" t="s">
        <v>2262</v>
      </c>
      <c r="D335" t="s">
        <v>2263</v>
      </c>
      <c r="E335">
        <v>1985</v>
      </c>
      <c r="G335" t="s">
        <v>3389</v>
      </c>
      <c r="H335" s="334" t="str">
        <f>HYPERLINK("https://scholar.google.com/scholar?hl=en&amp;as_q=&amp;as_oq=&amp;as_eq=&amp;as_sauthors=&amp;as_publication=&amp;as_ylo=&amp;as_yhi=&amp;as_occt=title&amp;as_sdt=0%2C5&amp;as_epq=%22The+Effects+of+Variable+Hardness%2C+pH%2C+Alkalinity%2C+Suspended+Clay%2C+and+Humics+on+the+Chemical+Speciation+", "Google Scholar")</f>
        <v>Google Scholar</v>
      </c>
    </row>
    <row r="336" spans="1:8" x14ac:dyDescent="0.35">
      <c r="A336">
        <v>60040</v>
      </c>
      <c r="B336" t="s">
        <v>1702</v>
      </c>
      <c r="C336" t="s">
        <v>1703</v>
      </c>
      <c r="D336" t="s">
        <v>1704</v>
      </c>
      <c r="E336">
        <v>2001</v>
      </c>
      <c r="G336" t="s">
        <v>3390</v>
      </c>
      <c r="H336" s="335" t="str">
        <f>HYPERLINK("https://scholar.google.com/scholar?hl=en&amp;as_q=&amp;as_oq=&amp;as_eq=&amp;as_sauthors=&amp;as_publication=&amp;as_ylo=&amp;as_yhi=&amp;as_occt=title&amp;as_sdt=0%2C5&amp;as_epq=%22Evaluation+of+Fish+Models+of+Soluble+Epoxide+Hydrolase+Inhibition", "Google Scholar")</f>
        <v>Google Scholar</v>
      </c>
    </row>
    <row r="337" spans="1:8" x14ac:dyDescent="0.35">
      <c r="A337">
        <v>17931</v>
      </c>
      <c r="B337" t="s">
        <v>1339</v>
      </c>
      <c r="C337" t="s">
        <v>1340</v>
      </c>
      <c r="D337" t="s">
        <v>1341</v>
      </c>
      <c r="E337">
        <v>1982</v>
      </c>
      <c r="G337" t="s">
        <v>3391</v>
      </c>
      <c r="H337" s="336" t="str">
        <f>HYPERLINK("https://scholar.google.com/scholar?hl=en&amp;as_q=&amp;as_oq=&amp;as_eq=&amp;as_sauthors=&amp;as_publication=&amp;as_ylo=&amp;as_yhi=&amp;as_occt=title&amp;as_sdt=0%2C5&amp;as_epq=%22Susceptibility+of+Various+Fish+Species+at+Different+Stages+of+Development+to+Aquatic+Pollutants", "Google Scholar")</f>
        <v>Google Scholar</v>
      </c>
    </row>
    <row r="338" spans="1:8" x14ac:dyDescent="0.35">
      <c r="A338">
        <v>69474</v>
      </c>
      <c r="B338" t="s">
        <v>2560</v>
      </c>
      <c r="C338" t="s">
        <v>2561</v>
      </c>
      <c r="D338" t="s">
        <v>2562</v>
      </c>
      <c r="E338">
        <v>1989</v>
      </c>
      <c r="G338" t="s">
        <v>3392</v>
      </c>
      <c r="H338" s="337" t="str">
        <f>HYPERLINK("https://scholar.google.com/scholar?hl=en&amp;as_q=&amp;as_oq=&amp;as_eq=&amp;as_sauthors=&amp;as_publication=&amp;as_ylo=&amp;as_yhi=&amp;as_occt=title&amp;as_sdt=0%2C5&amp;as_epq=%22Comparison+of+On-Site+and+Laboratory+Toxicity+Tests%3A++Derivation+of+Site-Specific+Criteria+for+Un-Ionized+Ammo", "Google Scholar")</f>
        <v>Google Scholar</v>
      </c>
    </row>
    <row r="339" spans="1:8" x14ac:dyDescent="0.35">
      <c r="A339">
        <v>11182</v>
      </c>
      <c r="B339" t="s">
        <v>2061</v>
      </c>
      <c r="C339" t="s">
        <v>2062</v>
      </c>
      <c r="D339" t="s">
        <v>2063</v>
      </c>
      <c r="E339">
        <v>1985</v>
      </c>
      <c r="G339" t="s">
        <v>3393</v>
      </c>
      <c r="H339" s="338" t="str">
        <f>HYPERLINK("https://scholar.google.com/scholar?hl=en&amp;as_q=&amp;as_oq=&amp;as_eq=&amp;as_sauthors=&amp;as_publication=&amp;as_ylo=&amp;as_yhi=&amp;as_occt=title&amp;as_sdt=0%2C5&amp;as_epq=%22A+New+Fathead+Minnow+%28Pimephales+promelas%29+Subchronic+Toxicity+Test", "Google Scholar")</f>
        <v>Google Scholar</v>
      </c>
    </row>
    <row r="340" spans="1:8" x14ac:dyDescent="0.35">
      <c r="A340">
        <v>5313</v>
      </c>
      <c r="B340" t="s">
        <v>331</v>
      </c>
      <c r="C340" t="s">
        <v>332</v>
      </c>
      <c r="D340" t="s">
        <v>333</v>
      </c>
      <c r="E340">
        <v>1989</v>
      </c>
      <c r="G340" t="s">
        <v>3394</v>
      </c>
      <c r="H340" s="339" t="str">
        <f>HYPERLINK("https://scholar.google.com/scholar?hl=en&amp;as_q=&amp;as_oq=&amp;as_eq=&amp;as_sauthors=&amp;as_publication=&amp;as_ylo=&amp;as_yhi=&amp;as_occt=title&amp;as_sdt=0%2C5&amp;as_epq=%22An+Evaluation+of+the+Fathead+Minnow+Seven-Day+Subchronic+Test+for+Estimating+Chronic+Toxicity", "Google Scholar")</f>
        <v>Google Scholar</v>
      </c>
    </row>
    <row r="341" spans="1:8" x14ac:dyDescent="0.35">
      <c r="A341">
        <v>64961</v>
      </c>
      <c r="B341" t="s">
        <v>1865</v>
      </c>
      <c r="C341" t="s">
        <v>1866</v>
      </c>
      <c r="D341" t="s">
        <v>1867</v>
      </c>
      <c r="E341">
        <v>2002</v>
      </c>
      <c r="G341" t="s">
        <v>3395</v>
      </c>
      <c r="H341" s="340" t="str">
        <f>HYPERLINK("https://scholar.google.com/scholar?hl=en&amp;as_q=&amp;as_oq=&amp;as_eq=&amp;as_sauthors=&amp;as_publication=&amp;as_ylo=&amp;as_yhi=&amp;as_occt=title&amp;as_sdt=0%2C5&amp;as_epq=%22Aquatic+Toxicity+of+Triclosan", "Google Scholar")</f>
        <v>Google Scholar</v>
      </c>
    </row>
    <row r="342" spans="1:8" x14ac:dyDescent="0.35">
      <c r="A342">
        <v>10097</v>
      </c>
      <c r="B342" t="s">
        <v>2120</v>
      </c>
      <c r="C342" t="s">
        <v>2121</v>
      </c>
      <c r="D342" t="s">
        <v>2122</v>
      </c>
      <c r="E342">
        <v>1984</v>
      </c>
      <c r="G342" t="s">
        <v>3396</v>
      </c>
      <c r="H342" s="341" t="str">
        <f>HYPERLINK("https://scholar.google.com/scholar?hl=en&amp;as_q=&amp;as_oq=&amp;as_eq=&amp;as_sauthors=&amp;as_publication=&amp;as_ylo=&amp;as_yhi=&amp;as_occt=title&amp;as_sdt=0%2C5&amp;as_epq=%22Nitrite+Toxicity+to+Fathead+Minnows%3A++Effect+of+Fish+Weight", "Google Scholar")</f>
        <v>Google Scholar</v>
      </c>
    </row>
    <row r="343" spans="1:8" x14ac:dyDescent="0.35">
      <c r="A343">
        <v>11334</v>
      </c>
      <c r="B343" t="s">
        <v>1664</v>
      </c>
      <c r="C343" t="s">
        <v>1665</v>
      </c>
      <c r="D343" t="s">
        <v>1666</v>
      </c>
      <c r="E343">
        <v>1985</v>
      </c>
      <c r="G343" t="s">
        <v>3397</v>
      </c>
      <c r="H343" s="342" t="str">
        <f>HYPERLINK("https://scholar.google.com/scholar?hl=en&amp;as_q=&amp;as_oq=&amp;as_eq=&amp;as_sauthors=&amp;as_publication=&amp;as_ylo=&amp;as_yhi=&amp;as_occt=title&amp;as_sdt=0%2C5&amp;as_epq=%22Sensitivity+of+Young+Striped+Bass+to+Organic+and+Inorganic+Contaminants+in+Fresh+and+Saline+Waters", "Google Scholar")</f>
        <v>Google Scholar</v>
      </c>
    </row>
    <row r="344" spans="1:8" x14ac:dyDescent="0.35">
      <c r="A344">
        <v>5087</v>
      </c>
      <c r="B344" t="s">
        <v>722</v>
      </c>
      <c r="C344" t="s">
        <v>723</v>
      </c>
      <c r="D344" t="s">
        <v>724</v>
      </c>
      <c r="E344">
        <v>1979</v>
      </c>
      <c r="G344" t="s">
        <v>3398</v>
      </c>
      <c r="H344" s="343" t="str">
        <f>HYPERLINK("https://scholar.google.com/scholar?hl=en&amp;as_q=&amp;as_oq=&amp;as_eq=&amp;as_sauthors=&amp;as_publication=&amp;as_ylo=&amp;as_yhi=&amp;as_occt=title&amp;as_sdt=0%2C5&amp;as_epq=%22An+Approach+to+the+Toxicological+Evaluation+of+a+Complex+Industrial+Wastewater", "Google Scholar")</f>
        <v>Google Scholar</v>
      </c>
    </row>
    <row r="345" spans="1:8" x14ac:dyDescent="0.35">
      <c r="A345">
        <v>2189</v>
      </c>
      <c r="B345" t="s">
        <v>124</v>
      </c>
      <c r="C345" t="s">
        <v>125</v>
      </c>
      <c r="D345" t="s">
        <v>126</v>
      </c>
      <c r="E345">
        <v>1981</v>
      </c>
      <c r="F345" t="s">
        <v>3069</v>
      </c>
      <c r="G345" t="s">
        <v>3399</v>
      </c>
      <c r="H345" s="344" t="str">
        <f>HYPERLINK("https://scholar.google.com/scholar?hl=en&amp;as_q=&amp;as_oq=&amp;as_eq=&amp;as_sauthors=&amp;as_publication=&amp;as_ylo=&amp;as_yhi=&amp;as_occt=title&amp;as_sdt=0%2C5&amp;as_epq=%22Acute+Toxicity+of+Phenol+and+Substituted+Phenols+to+the+Fathead+Minnow", "Google Scholar")</f>
        <v>Google Scholar</v>
      </c>
    </row>
    <row r="346" spans="1:8" x14ac:dyDescent="0.35">
      <c r="A346">
        <v>10775</v>
      </c>
      <c r="B346" t="s">
        <v>325</v>
      </c>
      <c r="C346" t="s">
        <v>326</v>
      </c>
      <c r="D346" t="s">
        <v>327</v>
      </c>
      <c r="E346">
        <v>1985</v>
      </c>
      <c r="F346" t="s">
        <v>3069</v>
      </c>
      <c r="G346" t="s">
        <v>3400</v>
      </c>
      <c r="H346" s="345" t="str">
        <f>HYPERLINK("https://scholar.google.com/scholar?hl=en&amp;as_q=&amp;as_oq=&amp;as_eq=&amp;as_sauthors=&amp;as_publication=&amp;as_ylo=&amp;as_yhi=&amp;as_occt=title&amp;as_sdt=0%2C5&amp;as_epq=%22A+Method+for+Aquatic+Multiple+Species+Toxicant+Testing%3A+Acute+Toxicity+of+10+Chemicals+to+5+Vertebrates+and+2+", "Google Scholar")</f>
        <v>Google Scholar</v>
      </c>
    </row>
    <row r="347" spans="1:8" x14ac:dyDescent="0.35">
      <c r="A347">
        <v>584</v>
      </c>
      <c r="B347" t="s">
        <v>2175</v>
      </c>
      <c r="C347" t="s">
        <v>2389</v>
      </c>
      <c r="D347" t="s">
        <v>2390</v>
      </c>
      <c r="E347">
        <v>1980</v>
      </c>
      <c r="G347" t="s">
        <v>3401</v>
      </c>
      <c r="H347" s="346" t="str">
        <f>HYPERLINK("https://scholar.google.com/scholar?hl=en&amp;as_q=&amp;as_oq=&amp;as_eq=&amp;as_sauthors=&amp;as_publication=&amp;as_ylo=&amp;as_yhi=&amp;as_occt=title&amp;as_sdt=0%2C5&amp;as_epq=%22Chronic+Toxicity+of+Hexavalent+Chromium+to+the+Fathead+Minnow+%28Pimephales+promelas%29", "Google Scholar")</f>
        <v>Google Scholar</v>
      </c>
    </row>
    <row r="348" spans="1:8" x14ac:dyDescent="0.35">
      <c r="A348">
        <v>3677</v>
      </c>
      <c r="B348" t="s">
        <v>2175</v>
      </c>
      <c r="C348" t="s">
        <v>2514</v>
      </c>
      <c r="D348" t="s">
        <v>2515</v>
      </c>
      <c r="E348">
        <v>1980</v>
      </c>
      <c r="G348" t="s">
        <v>3402</v>
      </c>
      <c r="H348" s="347" t="str">
        <f>HYPERLINK("https://scholar.google.com/scholar?hl=en&amp;as_q=&amp;as_oq=&amp;as_eq=&amp;as_sauthors=&amp;as_publication=&amp;as_ylo=&amp;as_yhi=&amp;as_occt=title&amp;as_sdt=0%2C5&amp;as_epq=%22Chronic+Toxicity+of+Trivalent+Chromium+to+the+Fathead+Minnow%2C+%28Pimephales+promelas%29%2C+in+Hard+Water", "Google Scholar")</f>
        <v>Google Scholar</v>
      </c>
    </row>
    <row r="349" spans="1:8" x14ac:dyDescent="0.35">
      <c r="A349">
        <v>5225</v>
      </c>
      <c r="B349" t="s">
        <v>2175</v>
      </c>
      <c r="C349" t="s">
        <v>2176</v>
      </c>
      <c r="D349" t="s">
        <v>2177</v>
      </c>
      <c r="E349">
        <v>1974</v>
      </c>
      <c r="G349" t="s">
        <v>3403</v>
      </c>
      <c r="H349" s="348" t="str">
        <f>HYPERLINK("https://scholar.google.com/scholar?hl=en&amp;as_q=&amp;as_oq=&amp;as_eq=&amp;as_sauthors=&amp;as_publication=&amp;as_ylo=&amp;as_yhi=&amp;as_occt=title&amp;as_sdt=0%2C5&amp;as_epq=%22Chronic+Toxicity+of+Nickel+to+the+Fathead+Minnow", "Google Scholar")</f>
        <v>Google Scholar</v>
      </c>
    </row>
    <row r="350" spans="1:8" x14ac:dyDescent="0.35">
      <c r="A350">
        <v>8095</v>
      </c>
      <c r="B350" t="s">
        <v>2175</v>
      </c>
      <c r="C350" t="s">
        <v>2863</v>
      </c>
      <c r="D350" t="s">
        <v>2864</v>
      </c>
      <c r="E350">
        <v>1966</v>
      </c>
      <c r="G350" t="s">
        <v>3404</v>
      </c>
      <c r="H350" s="349" t="str">
        <f>HYPERLINK("https://scholar.google.com/scholar?hl=en&amp;as_q=&amp;as_oq=&amp;as_eq=&amp;as_sauthors=&amp;as_publication=&amp;as_ylo=&amp;as_yhi=&amp;as_occt=title&amp;as_sdt=0%2C5&amp;as_epq=%22Acute+Toxicity+of+Alkyl+Benzene+Sulfonate+and+Linear+Alkylate+Sulfonate+to+the+Eggs+of+the+Fathead+Minnow%2C+Pim", "Google Scholar")</f>
        <v>Google Scholar</v>
      </c>
    </row>
    <row r="351" spans="1:8" x14ac:dyDescent="0.35">
      <c r="A351">
        <v>2893</v>
      </c>
      <c r="B351" t="s">
        <v>157</v>
      </c>
      <c r="C351" t="s">
        <v>158</v>
      </c>
      <c r="D351" t="s">
        <v>159</v>
      </c>
      <c r="E351">
        <v>1962</v>
      </c>
      <c r="G351" t="s">
        <v>3405</v>
      </c>
      <c r="H351" s="350" t="str">
        <f>HYPERLINK("https://scholar.google.com/scholar?hl=en&amp;as_q=&amp;as_oq=&amp;as_eq=&amp;as_sauthors=&amp;as_publication=&amp;as_ylo=&amp;as_yhi=&amp;as_occt=title&amp;as_sdt=0%2C5&amp;as_epq=%22The+Toxicity+of+Organic+Phosphorus+Insecticides+to+Different+Species+of+Warmwater+Fishes", "Google Scholar")</f>
        <v>Google Scholar</v>
      </c>
    </row>
    <row r="352" spans="1:8" x14ac:dyDescent="0.35">
      <c r="A352">
        <v>2004</v>
      </c>
      <c r="B352" t="s">
        <v>2279</v>
      </c>
      <c r="C352" t="s">
        <v>2280</v>
      </c>
      <c r="D352" t="s">
        <v>2281</v>
      </c>
      <c r="E352">
        <v>1977</v>
      </c>
      <c r="G352" t="s">
        <v>3406</v>
      </c>
      <c r="H352" s="351" t="str">
        <f>HYPERLINK("https://scholar.google.com/scholar?hl=en&amp;as_q=&amp;as_oq=&amp;as_eq=&amp;as_sauthors=&amp;as_publication=&amp;as_ylo=&amp;as_yhi=&amp;as_occt=title&amp;as_sdt=0%2C5&amp;as_epq=%22Effect+of+Exposure+Time+and+Copper+Concentration+on+Reproduction+of+the+Fathead+Minnow+%28Pimephales+promelas%29", "Google Scholar")</f>
        <v>Google Scholar</v>
      </c>
    </row>
    <row r="353" spans="1:8" x14ac:dyDescent="0.35">
      <c r="A353">
        <v>728</v>
      </c>
      <c r="B353" t="s">
        <v>168</v>
      </c>
      <c r="C353" t="s">
        <v>426</v>
      </c>
      <c r="D353" t="s">
        <v>427</v>
      </c>
      <c r="E353">
        <v>1966</v>
      </c>
      <c r="G353" t="s">
        <v>3407</v>
      </c>
      <c r="H353" s="352" t="str">
        <f>HYPERLINK("https://scholar.google.com/scholar?hl=en&amp;as_q=&amp;as_oq=&amp;as_eq=&amp;as_sauthors=&amp;as_publication=&amp;as_ylo=&amp;as_yhi=&amp;as_occt=title&amp;as_sdt=0%2C5&amp;as_epq=%22Acute+Toxicity+of+Some+Important+Petrochemicals+to+Fish", "Google Scholar")</f>
        <v>Google Scholar</v>
      </c>
    </row>
    <row r="354" spans="1:8" x14ac:dyDescent="0.35">
      <c r="A354">
        <v>2033</v>
      </c>
      <c r="B354" t="s">
        <v>168</v>
      </c>
      <c r="C354" t="s">
        <v>1385</v>
      </c>
      <c r="D354" t="s">
        <v>1386</v>
      </c>
      <c r="E354">
        <v>1966</v>
      </c>
      <c r="G354" t="s">
        <v>3408</v>
      </c>
      <c r="H354" s="353" t="str">
        <f>HYPERLINK("https://scholar.google.com/scholar?hl=en&amp;as_q=&amp;as_oq=&amp;as_eq=&amp;as_sauthors=&amp;as_publication=&amp;as_ylo=&amp;as_yhi=&amp;as_occt=title&amp;as_sdt=0%2C5&amp;as_epq=%22The+Acute+Toxicity+of+Some+Heavy+Metals+to+Different+Species+of+Warm+Water+Fishes", "Google Scholar")</f>
        <v>Google Scholar</v>
      </c>
    </row>
    <row r="355" spans="1:8" x14ac:dyDescent="0.35">
      <c r="A355">
        <v>8096</v>
      </c>
      <c r="B355" t="s">
        <v>168</v>
      </c>
      <c r="C355" t="s">
        <v>169</v>
      </c>
      <c r="D355" t="s">
        <v>170</v>
      </c>
      <c r="E355">
        <v>1966</v>
      </c>
      <c r="G355" t="s">
        <v>3409</v>
      </c>
      <c r="H355" s="354" t="str">
        <f>HYPERLINK("https://scholar.google.com/scholar?hl=en&amp;as_q=&amp;as_oq=&amp;as_eq=&amp;as_sauthors=&amp;as_publication=&amp;as_ylo=&amp;as_yhi=&amp;as_occt=title&amp;as_sdt=0%2C5&amp;as_epq=%22The+Acute+Toxicity+of+Some+Pesticides+to+Fish", "Google Scholar")</f>
        <v>Google Scholar</v>
      </c>
    </row>
    <row r="356" spans="1:8" x14ac:dyDescent="0.35">
      <c r="A356">
        <v>5231</v>
      </c>
      <c r="B356" t="s">
        <v>2508</v>
      </c>
      <c r="C356" t="s">
        <v>2509</v>
      </c>
      <c r="D356" t="s">
        <v>2510</v>
      </c>
      <c r="E356">
        <v>1972</v>
      </c>
      <c r="G356" t="s">
        <v>3410</v>
      </c>
      <c r="H356" s="355" t="str">
        <f>HYPERLINK("https://scholar.google.com/scholar?hl=en&amp;as_q=&amp;as_oq=&amp;as_eq=&amp;as_sauthors=&amp;as_publication=&amp;as_ylo=&amp;as_yhi=&amp;as_occt=title&amp;as_sdt=0%2C5&amp;as_epq=%22Acute+and+Chronic+Toxicity+of+Cadmium+to+the+Fathead+Minnow+%28Pimephales+promelas%29", "Google Scholar")</f>
        <v>Google Scholar</v>
      </c>
    </row>
    <row r="357" spans="1:8" x14ac:dyDescent="0.35">
      <c r="A357">
        <v>544</v>
      </c>
      <c r="B357" t="s">
        <v>2865</v>
      </c>
      <c r="C357" t="s">
        <v>2866</v>
      </c>
      <c r="D357" t="s">
        <v>2867</v>
      </c>
      <c r="E357">
        <v>1970</v>
      </c>
      <c r="G357" t="s">
        <v>3411</v>
      </c>
      <c r="H357" s="356" t="str">
        <f>HYPERLINK("https://scholar.google.com/scholar?hl=en&amp;as_q=&amp;as_oq=&amp;as_eq=&amp;as_sauthors=&amp;as_publication=&amp;as_ylo=&amp;as_yhi=&amp;as_occt=title&amp;as_sdt=0%2C5&amp;as_epq=%22The+Chronic+Toxicity+of+Linear+Alkylate+Sulfonate+%28LAS%29+to+Pimephales+promelas%2C+Rafinesque", "Google Scholar")</f>
        <v>Google Scholar</v>
      </c>
    </row>
    <row r="358" spans="1:8" x14ac:dyDescent="0.35">
      <c r="A358">
        <v>2109</v>
      </c>
      <c r="B358" t="s">
        <v>2188</v>
      </c>
      <c r="C358" t="s">
        <v>2189</v>
      </c>
      <c r="D358" t="s">
        <v>2190</v>
      </c>
      <c r="E358">
        <v>1965</v>
      </c>
      <c r="G358" t="s">
        <v>3412</v>
      </c>
      <c r="H358" s="357" t="str">
        <f>HYPERLINK("https://scholar.google.com/scholar?hl=en&amp;as_q=&amp;as_oq=&amp;as_eq=&amp;as_sauthors=&amp;as_publication=&amp;as_ylo=&amp;as_yhi=&amp;as_occt=title&amp;as_sdt=0%2C5&amp;as_epq=%22The+Acute+Toxicity+of+Zinc+to+Eggs+and+Fry+of+the+Fathead+Minnow", "Google Scholar")</f>
        <v>Google Scholar</v>
      </c>
    </row>
    <row r="359" spans="1:8" x14ac:dyDescent="0.35">
      <c r="A359">
        <v>15169</v>
      </c>
      <c r="B359" t="s">
        <v>1140</v>
      </c>
      <c r="C359" t="s">
        <v>1141</v>
      </c>
      <c r="D359" t="s">
        <v>1142</v>
      </c>
      <c r="E359">
        <v>1982</v>
      </c>
      <c r="G359" t="s">
        <v>3413</v>
      </c>
      <c r="H359" s="358" t="str">
        <f>HYPERLINK("https://scholar.google.com/scholar?hl=en&amp;as_q=&amp;as_oq=&amp;as_eq=&amp;as_sauthors=&amp;as_publication=&amp;as_ylo=&amp;as_yhi=&amp;as_occt=title&amp;as_sdt=0%2C5&amp;as_epq=%22Toxicity+of+Aldicarb+and+Fonofos+to+the+Early-Life+Stage+of+the+Fathead+Minnow", "Google Scholar")</f>
        <v>Google Scholar</v>
      </c>
    </row>
    <row r="360" spans="1:8" x14ac:dyDescent="0.35">
      <c r="A360">
        <v>13727</v>
      </c>
      <c r="B360" t="s">
        <v>234</v>
      </c>
      <c r="C360" t="s">
        <v>235</v>
      </c>
      <c r="D360" t="s">
        <v>236</v>
      </c>
      <c r="E360">
        <v>1995</v>
      </c>
      <c r="G360" t="s">
        <v>3414</v>
      </c>
      <c r="H360" s="359" t="str">
        <f>HYPERLINK("https://scholar.google.com/scholar?hl=en&amp;as_q=&amp;as_oq=&amp;as_eq=&amp;as_sauthors=&amp;as_publication=&amp;as_ylo=&amp;as_yhi=&amp;as_occt=title&amp;as_sdt=0%2C5&amp;as_epq=%22Comparative+Toxicity+of+Formulated+Glycol+Deicers+and+Pure+Ethylene+and+Propylene+Glycol+to+Ceroidaphnia+dubia+a", "Google Scholar")</f>
        <v>Google Scholar</v>
      </c>
    </row>
    <row r="361" spans="1:8" x14ac:dyDescent="0.35">
      <c r="A361">
        <v>60072</v>
      </c>
      <c r="B361" t="s">
        <v>801</v>
      </c>
      <c r="C361" t="s">
        <v>802</v>
      </c>
      <c r="D361" t="s">
        <v>803</v>
      </c>
      <c r="E361">
        <v>2001</v>
      </c>
      <c r="G361" t="s">
        <v>3415</v>
      </c>
      <c r="H361" s="360" t="str">
        <f>HYPERLINK("https://scholar.google.com/scholar?hl=en&amp;as_q=&amp;as_oq=&amp;as_eq=&amp;as_sauthors=&amp;as_publication=&amp;as_ylo=&amp;as_yhi=&amp;as_occt=title&amp;as_sdt=0%2C5&amp;as_epq=%22Toxicity+of+Benzotriazole+and+Benzotriazole+Derivatives+to+Three+Aquatic+Species", "Google Scholar")</f>
        <v>Google Scholar</v>
      </c>
    </row>
    <row r="362" spans="1:8" x14ac:dyDescent="0.35">
      <c r="A362">
        <v>6561</v>
      </c>
      <c r="B362" t="s">
        <v>3023</v>
      </c>
      <c r="C362" t="s">
        <v>3024</v>
      </c>
      <c r="D362" t="s">
        <v>3025</v>
      </c>
      <c r="E362">
        <v>1992</v>
      </c>
      <c r="G362" t="s">
        <v>3416</v>
      </c>
      <c r="H362" s="361" t="str">
        <f>HYPERLINK("https://scholar.google.com/scholar?hl=en&amp;as_q=&amp;as_oq=&amp;as_eq=&amp;as_sauthors=&amp;as_publication=&amp;as_ylo=&amp;as_yhi=&amp;as_occt=title&amp;as_sdt=0%2C5&amp;as_epq=%22Environmental+Toxicology+of+Succinate+Tartrates", "Google Scholar")</f>
        <v>Google Scholar</v>
      </c>
    </row>
    <row r="363" spans="1:8" x14ac:dyDescent="0.35">
      <c r="A363">
        <v>165613</v>
      </c>
      <c r="B363" t="s">
        <v>2026</v>
      </c>
      <c r="C363" t="s">
        <v>2027</v>
      </c>
      <c r="D363" t="s">
        <v>2028</v>
      </c>
      <c r="E363">
        <v>1980</v>
      </c>
      <c r="G363" t="s">
        <v>3417</v>
      </c>
      <c r="H363" s="362" t="str">
        <f>HYPERLINK("https://scholar.google.com/scholar?hl=en&amp;as_q=&amp;as_oq=&amp;as_eq=&amp;as_sauthors=&amp;as_publication=&amp;as_ylo=&amp;as_yhi=&amp;as_occt=title&amp;as_sdt=0%2C5&amp;as_epq=%22Presentation+of+Evidence+Concerning+Water+Quality+Classifications+and+Standards+for+the+Cache+la+Poudre+River%2C", "Google Scholar")</f>
        <v>Google Scholar</v>
      </c>
    </row>
    <row r="364" spans="1:8" x14ac:dyDescent="0.35">
      <c r="A364">
        <v>4468</v>
      </c>
      <c r="B364" t="s">
        <v>2005</v>
      </c>
      <c r="C364" t="s">
        <v>2006</v>
      </c>
      <c r="D364" t="s">
        <v>2007</v>
      </c>
      <c r="E364">
        <v>1993</v>
      </c>
      <c r="G364" t="s">
        <v>3418</v>
      </c>
      <c r="H364" s="363" t="str">
        <f>HYPERLINK("https://scholar.google.com/scholar?hl=en&amp;as_q=&amp;as_oq=&amp;as_eq=&amp;as_sauthors=&amp;as_publication=&amp;as_ylo=&amp;as_yhi=&amp;as_occt=title&amp;as_sdt=0%2C5&amp;as_epq=%22Copper+and+Cadmium+Binding+to+Fish+Gills%3A++Estimates+of+Metal-Gill+Stability+Constants+and+Modelling+of+Metal+", "Google Scholar")</f>
        <v>Google Scholar</v>
      </c>
    </row>
    <row r="365" spans="1:8" x14ac:dyDescent="0.35">
      <c r="A365">
        <v>11988</v>
      </c>
      <c r="B365" t="s">
        <v>360</v>
      </c>
      <c r="C365" t="s">
        <v>361</v>
      </c>
      <c r="D365" t="s">
        <v>362</v>
      </c>
      <c r="E365">
        <v>1986</v>
      </c>
      <c r="G365" t="s">
        <v>3419</v>
      </c>
      <c r="H365" s="364" t="str">
        <f>HYPERLINK("https://scholar.google.com/scholar?hl=en&amp;as_q=&amp;as_oq=&amp;as_eq=&amp;as_sauthors=&amp;as_publication=&amp;as_ylo=&amp;as_yhi=&amp;as_occt=title&amp;as_sdt=0%2C5&amp;as_epq=%22Comparative+Toxicity+of+Methanol+and+N%2CN-Dimethylformamide+to+Freshwater+Fish+and+Invertebrates", "Google Scholar")</f>
        <v>Google Scholar</v>
      </c>
    </row>
    <row r="366" spans="1:8" x14ac:dyDescent="0.35">
      <c r="A366">
        <v>13005</v>
      </c>
      <c r="B366" t="s">
        <v>1421</v>
      </c>
      <c r="C366" t="s">
        <v>1422</v>
      </c>
      <c r="D366" t="s">
        <v>1423</v>
      </c>
      <c r="E366">
        <v>1970</v>
      </c>
      <c r="G366" t="s">
        <v>3420</v>
      </c>
      <c r="H366" s="365" t="str">
        <f>HYPERLINK("https://scholar.google.com/scholar?hl=en&amp;as_q=&amp;as_oq=&amp;as_eq=&amp;as_sauthors=&amp;as_publication=&amp;as_ylo=&amp;as_yhi=&amp;as_occt=title&amp;as_sdt=0%2C5&amp;as_epq=%22The+Determination+of+TLM+Values+of+Diazinon+on+Fingerling+Fish", "Google Scholar")</f>
        <v>Google Scholar</v>
      </c>
    </row>
    <row r="367" spans="1:8" x14ac:dyDescent="0.35">
      <c r="A367">
        <v>19549</v>
      </c>
      <c r="B367" t="s">
        <v>2475</v>
      </c>
      <c r="C367" t="s">
        <v>2476</v>
      </c>
      <c r="D367" t="s">
        <v>2477</v>
      </c>
      <c r="E367">
        <v>1989</v>
      </c>
      <c r="G367" t="s">
        <v>3421</v>
      </c>
      <c r="H367" s="366" t="str">
        <f>HYPERLINK("https://scholar.google.com/scholar?hl=en&amp;as_q=&amp;as_oq=&amp;as_eq=&amp;as_sauthors=&amp;as_publication=&amp;as_ylo=&amp;as_yhi=&amp;as_occt=title&amp;as_sdt=0%2C5&amp;as_epq=%22Response+of+Freshwater+and+Saltwater+Toxicity+Test+Species+to+Calcium+and+Salinity+Concentrations+Encountered+in", "Google Scholar")</f>
        <v>Google Scholar</v>
      </c>
    </row>
    <row r="368" spans="1:8" x14ac:dyDescent="0.35">
      <c r="A368">
        <v>14649</v>
      </c>
      <c r="B368" t="s">
        <v>105</v>
      </c>
      <c r="C368" t="s">
        <v>106</v>
      </c>
      <c r="D368" t="s">
        <v>107</v>
      </c>
      <c r="E368">
        <v>1965</v>
      </c>
      <c r="G368" t="s">
        <v>3422</v>
      </c>
      <c r="H368" s="367" t="str">
        <f>HYPERLINK("https://scholar.google.com/scholar?hl=en&amp;as_q=&amp;as_oq=&amp;as_eq=&amp;as_sauthors=&amp;as_publication=&amp;as_ylo=&amp;as_yhi=&amp;as_occt=title&amp;as_sdt=0%2C5&amp;as_epq=%22The+Accumulation+and+Metabolism+of+DDT%2C+Parathion%2C+and+Endrin+by+Aquatic+Food-Chain+Organisms", "Google Scholar")</f>
        <v>Google Scholar</v>
      </c>
    </row>
    <row r="369" spans="1:8" x14ac:dyDescent="0.35">
      <c r="A369">
        <v>2115</v>
      </c>
      <c r="B369" t="s">
        <v>2194</v>
      </c>
      <c r="C369" t="s">
        <v>2195</v>
      </c>
      <c r="D369" t="s">
        <v>2196</v>
      </c>
      <c r="E369">
        <v>1968</v>
      </c>
      <c r="G369" t="s">
        <v>3423</v>
      </c>
      <c r="H369" s="368" t="str">
        <f>HYPERLINK("https://scholar.google.com/scholar?hl=en&amp;as_q=&amp;as_oq=&amp;as_eq=&amp;as_sauthors=&amp;as_publication=&amp;as_ylo=&amp;as_yhi=&amp;as_occt=title&amp;as_sdt=0%2C5&amp;as_epq=%22Response+of+an+Inbred+Strain+of+Platyfish+and+the+Fathead+Minnow+to+Zinc", "Google Scholar")</f>
        <v>Google Scholar</v>
      </c>
    </row>
    <row r="370" spans="1:8" x14ac:dyDescent="0.35">
      <c r="A370">
        <v>117771</v>
      </c>
      <c r="B370" t="s">
        <v>3011</v>
      </c>
      <c r="C370" t="s">
        <v>3012</v>
      </c>
      <c r="D370" t="s">
        <v>3013</v>
      </c>
      <c r="E370">
        <v>2000</v>
      </c>
      <c r="G370" t="s">
        <v>3424</v>
      </c>
      <c r="H370" s="369" t="str">
        <f>HYPERLINK("https://scholar.google.com/scholar?hl=en&amp;as_q=&amp;as_oq=&amp;as_eq=&amp;as_sauthors=&amp;as_publication=&amp;as_ylo=&amp;as_yhi=&amp;as_occt=title&amp;as_sdt=0%2C5&amp;as_epq=%22Hazard%2FRisk+Assessment+of+Pyridaben%3A++I.++Aquatic+Toxicity+and+Environmental+Chemistry", "Google Scholar")</f>
        <v>Google Scholar</v>
      </c>
    </row>
    <row r="371" spans="1:8" x14ac:dyDescent="0.35">
      <c r="A371">
        <v>14556</v>
      </c>
      <c r="B371" t="s">
        <v>2581</v>
      </c>
      <c r="C371" t="s">
        <v>2582</v>
      </c>
      <c r="D371" t="s">
        <v>2583</v>
      </c>
      <c r="E371">
        <v>1982</v>
      </c>
      <c r="G371" t="s">
        <v>3425</v>
      </c>
      <c r="H371" s="370" t="str">
        <f>HYPERLINK("https://scholar.google.com/scholar?hl=en&amp;as_q=&amp;as_oq=&amp;as_eq=&amp;as_sauthors=&amp;as_publication=&amp;as_ylo=&amp;as_yhi=&amp;as_occt=title&amp;as_sdt=0%2C5&amp;as_epq=%22Effects+of+Cold+Temperature+on+Toxicity+of+Ammonia+to+Rainbow+Trout%2C+Bluegills+and+Fathead+Minnows", "Google Scholar")</f>
        <v>Google Scholar</v>
      </c>
    </row>
    <row r="372" spans="1:8" x14ac:dyDescent="0.35">
      <c r="A372">
        <v>14976</v>
      </c>
      <c r="B372" t="s">
        <v>2269</v>
      </c>
      <c r="C372" t="s">
        <v>2270</v>
      </c>
      <c r="D372" t="s">
        <v>2271</v>
      </c>
      <c r="E372">
        <v>1995</v>
      </c>
      <c r="G372" t="s">
        <v>3426</v>
      </c>
      <c r="H372" s="371" t="str">
        <f>HYPERLINK("https://scholar.google.com/scholar?hl=en&amp;as_q=&amp;as_oq=&amp;as_eq=&amp;as_sauthors=&amp;as_publication=&amp;as_ylo=&amp;as_yhi=&amp;as_occt=title&amp;as_sdt=0%2C5&amp;as_epq=%22Reciprocal+Influences+of+Temperature+and+Copper+on+Survival+of+Fathead+Minnows%2C+Pimephales+promelas", "Google Scholar")</f>
        <v>Google Scholar</v>
      </c>
    </row>
    <row r="373" spans="1:8" x14ac:dyDescent="0.35">
      <c r="A373">
        <v>17225</v>
      </c>
      <c r="B373" t="s">
        <v>280</v>
      </c>
      <c r="C373" t="s">
        <v>281</v>
      </c>
      <c r="D373" t="s">
        <v>282</v>
      </c>
      <c r="E373">
        <v>1996</v>
      </c>
      <c r="G373" t="s">
        <v>3427</v>
      </c>
      <c r="H373" s="372" t="str">
        <f>HYPERLINK("https://scholar.google.com/scholar?hl=en&amp;as_q=&amp;as_oq=&amp;as_eq=&amp;as_sauthors=&amp;as_publication=&amp;as_ylo=&amp;as_yhi=&amp;as_occt=title&amp;as_sdt=0%2C5&amp;as_epq=%22Acute+and+Subchronic+Toxicity+of+Methylene+Blue+to+Larval+Fathead+Minnows+%28Pimephales+promelas%29%3A+Implicati", "Google Scholar")</f>
        <v>Google Scholar</v>
      </c>
    </row>
    <row r="374" spans="1:8" x14ac:dyDescent="0.35">
      <c r="A374">
        <v>17981</v>
      </c>
      <c r="B374" t="s">
        <v>2356</v>
      </c>
      <c r="C374" t="s">
        <v>2357</v>
      </c>
      <c r="D374" t="s">
        <v>2358</v>
      </c>
      <c r="E374">
        <v>1997</v>
      </c>
      <c r="G374" t="s">
        <v>3428</v>
      </c>
      <c r="H374" s="373" t="str">
        <f>HYPERLINK("https://scholar.google.com/scholar?hl=en&amp;as_q=&amp;as_oq=&amp;as_eq=&amp;as_sauthors=&amp;as_publication=&amp;as_ylo=&amp;as_yhi=&amp;as_occt=title&amp;as_sdt=0%2C5&amp;as_epq=%22Comparative+Aqueous+Toxicity+of+Silver+Compounds%3A+Laboratory+Studies+with+Freshwater+Species", "Google Scholar")</f>
        <v>Google Scholar</v>
      </c>
    </row>
    <row r="375" spans="1:8" x14ac:dyDescent="0.35">
      <c r="A375">
        <v>837</v>
      </c>
      <c r="B375" t="s">
        <v>1038</v>
      </c>
      <c r="C375" t="s">
        <v>1039</v>
      </c>
      <c r="D375" t="s">
        <v>1040</v>
      </c>
      <c r="E375">
        <v>1975</v>
      </c>
      <c r="G375" t="s">
        <v>3429</v>
      </c>
      <c r="H375" s="374" t="str">
        <f>HYPERLINK("https://scholar.google.com/scholar?hl=en&amp;as_q=&amp;as_oq=&amp;as_eq=&amp;as_sauthors=&amp;as_publication=&amp;as_ylo=&amp;as_yhi=&amp;as_occt=title&amp;as_sdt=0%2C5&amp;as_epq=%22The+Relationship+of+the+96-Hour+LC50+to+the+Lethal+Threshold+Concentration+of+Hexavalent+Chromium%2C+Phenol%2C+a", "Google Scholar")</f>
        <v>Google Scholar</v>
      </c>
    </row>
    <row r="376" spans="1:8" x14ac:dyDescent="0.35">
      <c r="A376">
        <v>5090</v>
      </c>
      <c r="B376" t="s">
        <v>2123</v>
      </c>
      <c r="C376" t="s">
        <v>2124</v>
      </c>
      <c r="D376" t="s">
        <v>2125</v>
      </c>
      <c r="E376">
        <v>1977</v>
      </c>
      <c r="G376" t="s">
        <v>3430</v>
      </c>
      <c r="H376" s="375" t="str">
        <f>HYPERLINK("https://scholar.google.com/scholar?hl=en&amp;as_q=&amp;as_oq=&amp;as_eq=&amp;as_sauthors=&amp;as_publication=&amp;as_ylo=&amp;as_yhi=&amp;as_occt=title&amp;as_sdt=0%2C5&amp;as_epq=%22The+Acute+Toxicity+of+Nitrite+to+Fishes", "Google Scholar")</f>
        <v>Google Scholar</v>
      </c>
    </row>
    <row r="377" spans="1:8" x14ac:dyDescent="0.35">
      <c r="A377">
        <v>57532</v>
      </c>
      <c r="B377" t="s">
        <v>295</v>
      </c>
      <c r="C377" t="s">
        <v>296</v>
      </c>
      <c r="D377" t="s">
        <v>297</v>
      </c>
      <c r="E377">
        <v>1993</v>
      </c>
      <c r="G377" t="s">
        <v>3431</v>
      </c>
      <c r="H377" s="376" t="str">
        <f>HYPERLINK("https://scholar.google.com/scholar?hl=en&amp;as_q=&amp;as_oq=&amp;as_eq=&amp;as_sauthors=&amp;as_publication=&amp;as_ylo=&amp;as_yhi=&amp;as_occt=title&amp;as_sdt=0%2C5&amp;as_epq=%22Acute+and+Early+Life+Stage+Toxicity+Data", "Google Scholar")</f>
        <v>Google Scholar</v>
      </c>
    </row>
    <row r="378" spans="1:8" x14ac:dyDescent="0.35">
      <c r="A378">
        <v>13120</v>
      </c>
      <c r="B378" t="s">
        <v>847</v>
      </c>
      <c r="C378" t="s">
        <v>848</v>
      </c>
      <c r="D378" t="s">
        <v>849</v>
      </c>
      <c r="E378">
        <v>1988</v>
      </c>
      <c r="G378" t="s">
        <v>3432</v>
      </c>
      <c r="H378" s="377" t="str">
        <f>HYPERLINK("https://scholar.google.com/scholar?hl=en&amp;as_q=&amp;as_oq=&amp;as_eq=&amp;as_sauthors=&amp;as_publication=&amp;as_ylo=&amp;as_yhi=&amp;as_occt=title&amp;as_sdt=0%2C5&amp;as_epq=%22Acute+Toxicity+and+Behavioral+Effects+of+Acrylates+and+Methacrylates+to+Juvenile+Fathead+Minnows", "Google Scholar")</f>
        <v>Google Scholar</v>
      </c>
    </row>
    <row r="379" spans="1:8" x14ac:dyDescent="0.35">
      <c r="A379">
        <v>80428</v>
      </c>
      <c r="B379" t="s">
        <v>2245</v>
      </c>
      <c r="C379" t="s">
        <v>2246</v>
      </c>
      <c r="D379" t="s">
        <v>2247</v>
      </c>
      <c r="E379">
        <v>2004</v>
      </c>
      <c r="G379" t="s">
        <v>3433</v>
      </c>
      <c r="H379" s="378" t="str">
        <f>HYPERLINK("https://scholar.google.com/scholar?hl=en&amp;as_q=&amp;as_oq=&amp;as_eq=&amp;as_sauthors=&amp;as_publication=&amp;as_ylo=&amp;as_yhi=&amp;as_occt=title&amp;as_sdt=0%2C5&amp;as_epq=%22Influence+of+Natural+Organic+Matter+Source+on+Copper+Toxicity+to+Larval+Fathead+Minnows+%28Pimephales+promelas%2", "Google Scholar")</f>
        <v>Google Scholar</v>
      </c>
    </row>
    <row r="380" spans="1:8" x14ac:dyDescent="0.35">
      <c r="A380">
        <v>119883</v>
      </c>
      <c r="B380" t="s">
        <v>2101</v>
      </c>
      <c r="C380" t="s">
        <v>2102</v>
      </c>
      <c r="D380" t="s">
        <v>2103</v>
      </c>
      <c r="E380">
        <v>1994</v>
      </c>
      <c r="G380" t="s">
        <v>3434</v>
      </c>
      <c r="H380" s="379" t="str">
        <f>HYPERLINK("https://scholar.google.com/scholar?hl=en&amp;as_q=&amp;as_oq=&amp;as_eq=&amp;as_sauthors=&amp;as_publication=&amp;as_ylo=&amp;as_yhi=&amp;as_occt=title&amp;as_sdt=0%2C5&amp;as_epq=%22Acute+Toxicity+of+Two+Wastewater+Treatment+Chemicals+Containing+Sodium+Bisulfite+to+the+Waterflea+and+the+Fathea", "Google Scholar")</f>
        <v>Google Scholar</v>
      </c>
    </row>
    <row r="381" spans="1:8" x14ac:dyDescent="0.35">
      <c r="A381">
        <v>14314</v>
      </c>
      <c r="B381" t="s">
        <v>979</v>
      </c>
      <c r="C381" t="s">
        <v>980</v>
      </c>
      <c r="D381" t="s">
        <v>981</v>
      </c>
      <c r="E381">
        <v>1986</v>
      </c>
      <c r="G381" t="s">
        <v>3435</v>
      </c>
      <c r="H381" s="380" t="str">
        <f>HYPERLINK("https://scholar.google.com/scholar?hl=en&amp;as_q=&amp;as_oq=&amp;as_eq=&amp;as_sauthors=&amp;as_publication=&amp;as_ylo=&amp;as_yhi=&amp;as_occt=title&amp;as_sdt=0%2C5&amp;as_epq=%22A+Summary+of+the+Results+of+Toxicity+Tests+Performed+by+Battelle+Between+March+and+August+in+1986", "Google Scholar")</f>
        <v>Google Scholar</v>
      </c>
    </row>
    <row r="382" spans="1:8" x14ac:dyDescent="0.35">
      <c r="A382">
        <v>17132</v>
      </c>
      <c r="B382" t="s">
        <v>979</v>
      </c>
      <c r="C382" t="s">
        <v>988</v>
      </c>
      <c r="D382" t="s">
        <v>989</v>
      </c>
      <c r="E382">
        <v>1987</v>
      </c>
      <c r="G382" t="s">
        <v>3436</v>
      </c>
      <c r="H382" s="381" t="str">
        <f>HYPERLINK("https://scholar.google.com/scholar?hl=en&amp;as_q=&amp;as_oq=&amp;as_eq=&amp;as_sauthors=&amp;as_publication=&amp;as_ylo=&amp;as_yhi=&amp;as_occt=title&amp;as_sdt=0%2C5&amp;as_epq=%22Methods+for+Aquatic+Toxicity+Tests+Conducted+with+Acrolein+and+DEHP+as+well+as+the+Methods+and+Results+for+Acryl", "Google Scholar")</f>
        <v>Google Scholar</v>
      </c>
    </row>
    <row r="383" spans="1:8" x14ac:dyDescent="0.35">
      <c r="A383">
        <v>15574</v>
      </c>
      <c r="B383" t="s">
        <v>154</v>
      </c>
      <c r="C383" t="s">
        <v>155</v>
      </c>
      <c r="D383" t="s">
        <v>156</v>
      </c>
      <c r="E383">
        <v>1983</v>
      </c>
      <c r="G383" t="s">
        <v>3437</v>
      </c>
      <c r="H383" s="382" t="str">
        <f>HYPERLINK("https://scholar.google.com/scholar?hl=en&amp;as_q=&amp;as_oq=&amp;as_eq=&amp;as_sauthors=&amp;as_publication=&amp;as_ylo=&amp;as_yhi=&amp;as_occt=title&amp;as_sdt=0%2C5&amp;as_epq=%22Acute+Toxicity+of+Six+Forest+Insecticides+to+Three+Aquatic+Invertebrates+and+Four+Fishes", "Google Scholar")</f>
        <v>Google Scholar</v>
      </c>
    </row>
    <row r="384" spans="1:8" x14ac:dyDescent="0.35">
      <c r="A384">
        <v>65396</v>
      </c>
      <c r="B384" t="s">
        <v>328</v>
      </c>
      <c r="C384" t="s">
        <v>329</v>
      </c>
      <c r="D384" t="s">
        <v>330</v>
      </c>
      <c r="E384">
        <v>2001</v>
      </c>
      <c r="G384" t="s">
        <v>3438</v>
      </c>
      <c r="H384" s="383" t="str">
        <f>HYPERLINK("https://scholar.google.com/scholar?hl=en&amp;as_q=&amp;as_oq=&amp;as_eq=&amp;as_sauthors=&amp;as_publication=&amp;as_ylo=&amp;as_yhi=&amp;as_occt=title&amp;as_sdt=0%2C5&amp;as_epq=%22Contaminant+Sensitivity+of+Threatened+and+Endangered+Fishes+Compared+to+Standard+Surrogate+Species", "Google Scholar")</f>
        <v>Google Scholar</v>
      </c>
    </row>
    <row r="385" spans="1:8" x14ac:dyDescent="0.35">
      <c r="A385">
        <v>15904</v>
      </c>
      <c r="B385" t="s">
        <v>2301</v>
      </c>
      <c r="C385" t="s">
        <v>2302</v>
      </c>
      <c r="D385" t="s">
        <v>2303</v>
      </c>
      <c r="E385">
        <v>1995</v>
      </c>
      <c r="G385" t="s">
        <v>3439</v>
      </c>
      <c r="H385" s="384" t="str">
        <f>HYPERLINK("https://scholar.google.com/scholar?hl=en&amp;as_q=&amp;as_oq=&amp;as_eq=&amp;as_sauthors=&amp;as_publication=&amp;as_ylo=&amp;as_yhi=&amp;as_occt=title&amp;as_sdt=0%2C5&amp;as_epq=%22Survival+of+Copper-Exposed+Juvenile+Fathead+Minnows+%28Pimephales+promelas%29+Differs+Among+Allozyme+Genotypes", "Google Scholar")</f>
        <v>Google Scholar</v>
      </c>
    </row>
    <row r="386" spans="1:8" x14ac:dyDescent="0.35">
      <c r="A386">
        <v>6615</v>
      </c>
      <c r="B386" t="s">
        <v>795</v>
      </c>
      <c r="C386" t="s">
        <v>796</v>
      </c>
      <c r="D386" t="s">
        <v>797</v>
      </c>
      <c r="E386">
        <v>1970</v>
      </c>
      <c r="G386" t="s">
        <v>3440</v>
      </c>
      <c r="H386" s="385" t="str">
        <f>HYPERLINK("https://scholar.google.com/scholar?hl=en&amp;as_q=&amp;as_oq=&amp;as_eq=&amp;as_sauthors=&amp;as_publication=&amp;as_ylo=&amp;as_yhi=&amp;as_occt=title&amp;as_sdt=0%2C5&amp;as_epq=%22Fish-Pesticide+Research+Laboratory", "Google Scholar")</f>
        <v>Google Scholar</v>
      </c>
    </row>
    <row r="387" spans="1:8" x14ac:dyDescent="0.35">
      <c r="A387">
        <v>7289</v>
      </c>
      <c r="B387" t="s">
        <v>1851</v>
      </c>
      <c r="C387" t="s">
        <v>1852</v>
      </c>
      <c r="D387" t="s">
        <v>1853</v>
      </c>
      <c r="E387">
        <v>1993</v>
      </c>
      <c r="G387" t="s">
        <v>3441</v>
      </c>
      <c r="H387" s="386" t="str">
        <f>HYPERLINK("https://scholar.google.com/scholar?hl=en&amp;as_q=&amp;as_oq=&amp;as_eq=&amp;as_sauthors=&amp;as_publication=&amp;as_ylo=&amp;as_yhi=&amp;as_occt=title&amp;as_sdt=0%2C5&amp;as_epq=%22pH-Dependent+Toxicity+of+Cd%2C+Cu%2C+Ni%2C+Pb+and+Zn+to+Ceriodaphnia+dubia%2C+Pimephales+promelas%2C+Hyalella+az", "Google Scholar")</f>
        <v>Google Scholar</v>
      </c>
    </row>
    <row r="388" spans="1:8" x14ac:dyDescent="0.35">
      <c r="A388">
        <v>60121</v>
      </c>
      <c r="B388" t="s">
        <v>2108</v>
      </c>
      <c r="C388" t="s">
        <v>2109</v>
      </c>
      <c r="D388" t="s">
        <v>2110</v>
      </c>
      <c r="E388">
        <v>2000</v>
      </c>
      <c r="G388" t="s">
        <v>3442</v>
      </c>
      <c r="H388" s="387" t="str">
        <f>HYPERLINK("https://scholar.google.com/scholar?hl=en&amp;as_q=&amp;as_oq=&amp;as_eq=&amp;as_sauthors=&amp;as_publication=&amp;as_ylo=&amp;as_yhi=&amp;as_occt=title&amp;as_sdt=0%2C5&amp;as_epq=%22Acute+and+Chronic+Toxicity+of+Nitrate+to+Fathead+Minnows+%28Pimephales+promelas%29%2C+Ceriodaphnia+dubia%2C+and+", "Google Scholar")</f>
        <v>Google Scholar</v>
      </c>
    </row>
    <row r="389" spans="1:8" x14ac:dyDescent="0.35">
      <c r="A389">
        <v>12647</v>
      </c>
      <c r="B389" t="s">
        <v>2495</v>
      </c>
      <c r="C389" t="s">
        <v>2496</v>
      </c>
      <c r="D389" t="s">
        <v>2497</v>
      </c>
      <c r="E389">
        <v>1987</v>
      </c>
      <c r="G389" t="s">
        <v>3443</v>
      </c>
      <c r="H389" s="388" t="str">
        <f>HYPERLINK("https://scholar.google.com/scholar?hl=en&amp;as_q=&amp;as_oq=&amp;as_eq=&amp;as_sauthors=&amp;as_publication=&amp;as_ylo=&amp;as_yhi=&amp;as_occt=title&amp;as_sdt=0%2C5&amp;as_epq=%22A+Comparison+of+Toxicity+Tests+Conducted+in+the+Laboratory+and+in+Experimental+Ponds+Using+Cadmium+and+the+Fathe", "Google Scholar")</f>
        <v>Google Scholar</v>
      </c>
    </row>
    <row r="390" spans="1:8" x14ac:dyDescent="0.35">
      <c r="A390">
        <v>72623</v>
      </c>
      <c r="B390" t="s">
        <v>1739</v>
      </c>
      <c r="C390" t="s">
        <v>1740</v>
      </c>
      <c r="D390" t="s">
        <v>1741</v>
      </c>
      <c r="E390">
        <v>2003</v>
      </c>
      <c r="G390" t="s">
        <v>3444</v>
      </c>
      <c r="H390" s="389" t="str">
        <f>HYPERLINK("https://scholar.google.com/scholar?hl=en&amp;as_q=&amp;as_oq=&amp;as_eq=&amp;as_sauthors=&amp;as_publication=&amp;as_ylo=&amp;as_yhi=&amp;as_occt=title&amp;as_sdt=0%2C5&amp;as_epq=%22Comparative+Toxicity+of+Chlorothalonil%3A+Ceriodaphnia+dubia+and+Pimephales+promelas", "Google Scholar")</f>
        <v>Google Scholar</v>
      </c>
    </row>
    <row r="391" spans="1:8" x14ac:dyDescent="0.35">
      <c r="A391">
        <v>101293</v>
      </c>
      <c r="B391" t="s">
        <v>1739</v>
      </c>
      <c r="C391" t="s">
        <v>1742</v>
      </c>
      <c r="D391" t="s">
        <v>1743</v>
      </c>
      <c r="E391">
        <v>2002</v>
      </c>
      <c r="G391" t="s">
        <v>3445</v>
      </c>
      <c r="H391" s="390" t="str">
        <f>HYPERLINK("https://scholar.google.com/scholar?hl=en&amp;as_q=&amp;as_oq=&amp;as_eq=&amp;as_sauthors=&amp;as_publication=&amp;as_ylo=&amp;as_yhi=&amp;as_occt=title&amp;as_sdt=0%2C5&amp;as_epq=%22Comparative+Toxicity+of+Chlorothalonil+and+Chlorpyrifos%3A++Ceriodaphnia+dubia+and+Pimephales+promelas", "Google Scholar")</f>
        <v>Google Scholar</v>
      </c>
    </row>
    <row r="392" spans="1:8" x14ac:dyDescent="0.35">
      <c r="A392">
        <v>6051</v>
      </c>
      <c r="B392" t="s">
        <v>2368</v>
      </c>
      <c r="C392" t="s">
        <v>2369</v>
      </c>
      <c r="D392" t="s">
        <v>2370</v>
      </c>
      <c r="E392">
        <v>1974</v>
      </c>
      <c r="G392" t="s">
        <v>3446</v>
      </c>
      <c r="H392" s="391" t="str">
        <f>HYPERLINK("https://scholar.google.com/scholar?hl=en&amp;as_q=&amp;as_oq=&amp;as_eq=&amp;as_sauthors=&amp;as_publication=&amp;as_ylo=&amp;as_yhi=&amp;as_occt=title&amp;as_sdt=0%2C5&amp;as_epq=%22Effects+of+Temperature+on+the+Toxicity+of+Oil+Refinery+Waste%2C+Sodium+Chlorate%2C+and+Treated+Sewage+to+Fathead", "Google Scholar")</f>
        <v>Google Scholar</v>
      </c>
    </row>
    <row r="393" spans="1:8" x14ac:dyDescent="0.35">
      <c r="A393">
        <v>7257</v>
      </c>
      <c r="B393" t="s">
        <v>815</v>
      </c>
      <c r="C393" t="s">
        <v>816</v>
      </c>
      <c r="D393" t="s">
        <v>817</v>
      </c>
      <c r="E393">
        <v>1993</v>
      </c>
      <c r="G393" t="s">
        <v>3447</v>
      </c>
      <c r="H393" s="392" t="str">
        <f>HYPERLINK("https://scholar.google.com/scholar?hl=en&amp;as_q=&amp;as_oq=&amp;as_eq=&amp;as_sauthors=&amp;as_publication=&amp;as_ylo=&amp;as_yhi=&amp;as_occt=title&amp;as_sdt=0%2C5&amp;as_epq=%22Toxicokinetics+of+Halogenated+Benzenes+in+Fish%3A+Lethal+Body+Burden+as+a+Toxicological+End+Point", "Google Scholar")</f>
        <v>Google Scholar</v>
      </c>
    </row>
    <row r="394" spans="1:8" x14ac:dyDescent="0.35">
      <c r="A394">
        <v>590</v>
      </c>
      <c r="B394" t="s">
        <v>2636</v>
      </c>
      <c r="C394" t="s">
        <v>2637</v>
      </c>
      <c r="D394" t="s">
        <v>2638</v>
      </c>
      <c r="E394">
        <v>1979</v>
      </c>
      <c r="G394" t="s">
        <v>3448</v>
      </c>
      <c r="H394" s="393" t="str">
        <f>HYPERLINK("https://scholar.google.com/scholar?hl=en&amp;as_q=&amp;as_oq=&amp;as_eq=&amp;as_sauthors=&amp;as_publication=&amp;as_ylo=&amp;as_yhi=&amp;as_occt=title&amp;as_sdt=0%2C5&amp;as_epq=%22Evaluation+of+Cutrine+for+Use+in+Fish+Culture", "Google Scholar")</f>
        <v>Google Scholar</v>
      </c>
    </row>
    <row r="395" spans="1:8" x14ac:dyDescent="0.35">
      <c r="A395">
        <v>759</v>
      </c>
      <c r="B395" t="s">
        <v>727</v>
      </c>
      <c r="C395" t="s">
        <v>728</v>
      </c>
      <c r="D395" t="s">
        <v>729</v>
      </c>
      <c r="E395">
        <v>1989</v>
      </c>
      <c r="G395" t="s">
        <v>3449</v>
      </c>
      <c r="H395" s="394" t="str">
        <f>HYPERLINK("https://scholar.google.com/scholar?hl=en&amp;as_q=&amp;as_oq=&amp;as_eq=&amp;as_sauthors=&amp;as_publication=&amp;as_ylo=&amp;as_yhi=&amp;as_occt=title&amp;as_sdt=0%2C5&amp;as_epq=%22Toxicity+of+2-Sec-Butyl-4%2C6-Dinitrophenol+%28Dinoseb%29and+Monosodium+Methanearsonate+%28MSMA%29%2C+Individual", "Google Scholar")</f>
        <v>Google Scholar</v>
      </c>
    </row>
    <row r="396" spans="1:8" x14ac:dyDescent="0.35">
      <c r="A396">
        <v>520</v>
      </c>
      <c r="B396" t="s">
        <v>1307</v>
      </c>
      <c r="C396" t="s">
        <v>1308</v>
      </c>
      <c r="D396" t="s">
        <v>1309</v>
      </c>
      <c r="E396">
        <v>1978</v>
      </c>
      <c r="G396" t="s">
        <v>3450</v>
      </c>
      <c r="H396" s="395" t="str">
        <f>HYPERLINK("https://scholar.google.com/scholar?hl=en&amp;as_q=&amp;as_oq=&amp;as_eq=&amp;as_sauthors=&amp;as_publication=&amp;as_ylo=&amp;as_yhi=&amp;as_occt=title&amp;as_sdt=0%2C5&amp;as_epq=%22Acute+Toxicity+of+Hydrogen+Cyanide+to+Freshwater+Fishes", "Google Scholar")</f>
        <v>Google Scholar</v>
      </c>
    </row>
    <row r="397" spans="1:8" x14ac:dyDescent="0.35">
      <c r="A397">
        <v>5885</v>
      </c>
      <c r="B397" t="s">
        <v>2406</v>
      </c>
      <c r="C397" t="s">
        <v>2407</v>
      </c>
      <c r="D397" t="s">
        <v>2408</v>
      </c>
      <c r="E397">
        <v>1976</v>
      </c>
      <c r="G397" t="s">
        <v>3451</v>
      </c>
      <c r="H397" s="396" t="str">
        <f>HYPERLINK("https://scholar.google.com/scholar?hl=en&amp;as_q=&amp;as_oq=&amp;as_eq=&amp;as_sauthors=&amp;as_publication=&amp;as_ylo=&amp;as_yhi=&amp;as_occt=title&amp;as_sdt=0%2C5&amp;as_epq=%22Acute+and+Chronic+Toxicity+of+Hydrogen+Sulfide+to+the+Fathead+Minnow%2C+Pimephales+promelas", "Google Scholar")</f>
        <v>Google Scholar</v>
      </c>
    </row>
    <row r="398" spans="1:8" x14ac:dyDescent="0.35">
      <c r="A398">
        <v>414</v>
      </c>
      <c r="B398" t="s">
        <v>2402</v>
      </c>
      <c r="C398" t="s">
        <v>2403</v>
      </c>
      <c r="D398" t="s">
        <v>2404</v>
      </c>
      <c r="E398">
        <v>1975</v>
      </c>
      <c r="G398" t="s">
        <v>3452</v>
      </c>
      <c r="H398" s="397" t="str">
        <f>HYPERLINK("https://scholar.google.com/scholar?hl=en&amp;as_q=&amp;as_oq=&amp;as_eq=&amp;as_sauthors=&amp;as_publication=&amp;as_ylo=&amp;as_yhi=&amp;as_occt=title&amp;as_sdt=0%2C5&amp;as_epq=%22Chronic+Effects+of+Low+Levels+of+Hydrogen+Sulfide+on+Freshwater+Fish", "Google Scholar")</f>
        <v>Google Scholar</v>
      </c>
    </row>
    <row r="399" spans="1:8" x14ac:dyDescent="0.35">
      <c r="A399">
        <v>8719</v>
      </c>
      <c r="B399" t="s">
        <v>2402</v>
      </c>
      <c r="C399" t="s">
        <v>2409</v>
      </c>
      <c r="D399" t="s">
        <v>2410</v>
      </c>
      <c r="E399">
        <v>1974</v>
      </c>
      <c r="G399" t="s">
        <v>3453</v>
      </c>
      <c r="H399" s="398" t="str">
        <f>HYPERLINK("https://scholar.google.com/scholar?hl=en&amp;as_q=&amp;as_oq=&amp;as_eq=&amp;as_sauthors=&amp;as_publication=&amp;as_ylo=&amp;as_yhi=&amp;as_occt=title&amp;as_sdt=0%2C5&amp;as_epq=%22Effect+of+Hydrogen+Sulfide+on+Development+and+Survival+of+Eight+Freshwater+Fish+Species", "Google Scholar")</f>
        <v>Google Scholar</v>
      </c>
    </row>
    <row r="400" spans="1:8" x14ac:dyDescent="0.35">
      <c r="A400">
        <v>9699</v>
      </c>
      <c r="B400" t="s">
        <v>2402</v>
      </c>
      <c r="C400" t="s">
        <v>2413</v>
      </c>
      <c r="D400" t="s">
        <v>2414</v>
      </c>
      <c r="E400">
        <v>1970</v>
      </c>
      <c r="G400" t="s">
        <v>3454</v>
      </c>
      <c r="H400" s="399" t="str">
        <f>HYPERLINK("https://scholar.google.com/scholar?hl=en&amp;as_q=&amp;as_oq=&amp;as_eq=&amp;as_sauthors=&amp;as_publication=&amp;as_ylo=&amp;as_yhi=&amp;as_occt=title&amp;as_sdt=0%2C5&amp;as_epq=%22Toxic+Effects+of+Hydrogen+Sulfide+to+Juvenile+Fish+and+Fish+Eggs", "Google Scholar")</f>
        <v>Google Scholar</v>
      </c>
    </row>
    <row r="401" spans="1:8" x14ac:dyDescent="0.35">
      <c r="A401">
        <v>11675</v>
      </c>
      <c r="B401" t="s">
        <v>2156</v>
      </c>
      <c r="C401" t="s">
        <v>2157</v>
      </c>
      <c r="D401" t="s">
        <v>2158</v>
      </c>
      <c r="E401">
        <v>1985</v>
      </c>
      <c r="G401" t="s">
        <v>3455</v>
      </c>
      <c r="H401" s="400" t="str">
        <f>HYPERLINK("https://scholar.google.com/scholar?hl=en&amp;as_q=&amp;as_oq=&amp;as_eq=&amp;as_sauthors=&amp;as_publication=&amp;as_ylo=&amp;as_yhi=&amp;as_occt=title&amp;as_sdt=0%2C5&amp;as_epq=%22Studies+on+the+Acute+Toxicity+of+Fluoride+Ion+to+Stickleback%2C+Fathead+Minnow%2C+and+Rainbow+Trout", "Google Scholar")</f>
        <v>Google Scholar</v>
      </c>
    </row>
    <row r="402" spans="1:8" x14ac:dyDescent="0.35">
      <c r="A402">
        <v>926</v>
      </c>
      <c r="B402" t="s">
        <v>1154</v>
      </c>
      <c r="C402" t="s">
        <v>1155</v>
      </c>
      <c r="D402" t="s">
        <v>1156</v>
      </c>
      <c r="E402">
        <v>1976</v>
      </c>
      <c r="G402" t="s">
        <v>3456</v>
      </c>
      <c r="H402" s="401" t="str">
        <f>HYPERLINK("https://scholar.google.com/scholar?hl=en&amp;as_q=&amp;as_oq=&amp;as_eq=&amp;as_sauthors=&amp;as_publication=&amp;as_ylo=&amp;as_yhi=&amp;as_occt=title&amp;as_sdt=0%2C5&amp;as_epq=%22The+Toxic+Effects+of+Trinitrotoluene+%28TNT%29+and+its+Primary+Degradation+Products+on+Two+Species+of+Algae+and+", "Google Scholar")</f>
        <v>Google Scholar</v>
      </c>
    </row>
    <row r="403" spans="1:8" x14ac:dyDescent="0.35">
      <c r="A403">
        <v>15318</v>
      </c>
      <c r="B403" t="s">
        <v>2091</v>
      </c>
      <c r="C403" t="s">
        <v>2092</v>
      </c>
      <c r="D403" t="s">
        <v>2093</v>
      </c>
      <c r="E403">
        <v>1982</v>
      </c>
      <c r="G403" t="s">
        <v>3457</v>
      </c>
      <c r="H403" s="402" t="str">
        <f>HYPERLINK("https://scholar.google.com/scholar?hl=en&amp;as_q=&amp;as_oq=&amp;as_eq=&amp;as_sauthors=&amp;as_publication=&amp;as_ylo=&amp;as_yhi=&amp;as_occt=title&amp;as_sdt=0%2C5&amp;as_epq=%22Chronic+Toxicity+and+Bioaccumulation+of+Mercuric+Chloride+in+the+Fathead+Minnow+%28Pimephales+promelas%29", "Google Scholar")</f>
        <v>Google Scholar</v>
      </c>
    </row>
    <row r="404" spans="1:8" x14ac:dyDescent="0.35">
      <c r="A404">
        <v>2100</v>
      </c>
      <c r="B404" t="s">
        <v>93</v>
      </c>
      <c r="C404" t="s">
        <v>94</v>
      </c>
      <c r="D404" t="s">
        <v>95</v>
      </c>
      <c r="E404">
        <v>1969</v>
      </c>
      <c r="G404" t="s">
        <v>3458</v>
      </c>
      <c r="H404" s="403" t="str">
        <f>HYPERLINK("https://scholar.google.com/scholar?hl=en&amp;as_q=&amp;as_oq=&amp;as_eq=&amp;as_sauthors=&amp;as_publication=&amp;as_ylo=&amp;as_yhi=&amp;as_occt=title&amp;as_sdt=0%2C5&amp;as_epq=%22The+Effect+of+Sublethal+Concentration+of+LAS+on+the+Acute+Toxicity+of+Various+Insecticides+to+the+Fathead+Minnow", "Google Scholar")</f>
        <v>Google Scholar</v>
      </c>
    </row>
    <row r="405" spans="1:8" x14ac:dyDescent="0.35">
      <c r="A405">
        <v>605</v>
      </c>
      <c r="B405" t="s">
        <v>208</v>
      </c>
      <c r="C405" t="s">
        <v>209</v>
      </c>
      <c r="D405" t="s">
        <v>210</v>
      </c>
      <c r="E405">
        <v>1970</v>
      </c>
      <c r="G405" t="s">
        <v>3459</v>
      </c>
      <c r="H405" s="404" t="str">
        <f>HYPERLINK("https://scholar.google.com/scholar?hl=en&amp;as_q=&amp;as_oq=&amp;as_eq=&amp;as_sauthors=&amp;as_publication=&amp;as_ylo=&amp;as_yhi=&amp;as_occt=title&amp;as_sdt=0%2C5&amp;as_epq=%22The+Effect+of+a+Sublethal+Concentration+of+LAS+on+the+Acute+Toxicity+of+Various+Phosphate+Pesticides+to+the+Fath", "Google Scholar")</f>
        <v>Google Scholar</v>
      </c>
    </row>
    <row r="406" spans="1:8" x14ac:dyDescent="0.35">
      <c r="A406">
        <v>14170</v>
      </c>
      <c r="B406" t="s">
        <v>212</v>
      </c>
      <c r="C406" t="s">
        <v>213</v>
      </c>
      <c r="D406" t="s">
        <v>214</v>
      </c>
      <c r="E406">
        <v>1976</v>
      </c>
      <c r="G406" t="s">
        <v>3460</v>
      </c>
      <c r="H406" s="405" t="str">
        <f>HYPERLINK("https://scholar.google.com/scholar?hl=en&amp;as_q=&amp;as_oq=&amp;as_eq=&amp;as_sauthors=&amp;as_publication=&amp;as_ylo=&amp;as_yhi=&amp;as_occt=title&amp;as_sdt=0%2C5&amp;as_epq=%22Acute+and+Chronic+Parathion+Toxicity+to+Fish+and+Invertebrates", "Google Scholar")</f>
        <v>Google Scholar</v>
      </c>
    </row>
    <row r="407" spans="1:8" x14ac:dyDescent="0.35">
      <c r="A407">
        <v>983</v>
      </c>
      <c r="B407" t="s">
        <v>215</v>
      </c>
      <c r="C407" t="s">
        <v>213</v>
      </c>
      <c r="D407" t="s">
        <v>216</v>
      </c>
      <c r="E407">
        <v>1981</v>
      </c>
      <c r="G407" t="s">
        <v>3461</v>
      </c>
      <c r="H407" s="406" t="str">
        <f>HYPERLINK("https://scholar.google.com/scholar?hl=en&amp;as_q=&amp;as_oq=&amp;as_eq=&amp;as_sauthors=&amp;as_publication=&amp;as_ylo=&amp;as_yhi=&amp;as_occt=title&amp;as_sdt=0%2C5&amp;as_epq=%22Acute+and+Chronic+Parathion+Toxicity+to+Fish+and+Invertebrates", "Google Scholar")</f>
        <v>Google Scholar</v>
      </c>
    </row>
    <row r="408" spans="1:8" x14ac:dyDescent="0.35">
      <c r="A408">
        <v>14553</v>
      </c>
      <c r="B408" t="s">
        <v>2602</v>
      </c>
      <c r="C408" t="s">
        <v>2603</v>
      </c>
      <c r="D408" t="s">
        <v>2604</v>
      </c>
      <c r="E408">
        <v>1975</v>
      </c>
      <c r="G408" t="s">
        <v>3462</v>
      </c>
      <c r="H408" s="407" t="str">
        <f>HYPERLINK("https://scholar.google.com/scholar?hl=en&amp;as_q=&amp;as_oq=&amp;as_eq=&amp;as_sauthors=&amp;as_publication=&amp;as_ylo=&amp;as_yhi=&amp;as_occt=title&amp;as_sdt=0%2C5&amp;as_epq=%22The+Acute%2C+Lethal+Effects+of+Ammonia+on+Channel+Catfish+%28Ictalurus+punctatus%29%2C+Bluegills+%28Lepomis+macr", "Google Scholar")</f>
        <v>Google Scholar</v>
      </c>
    </row>
    <row r="409" spans="1:8" x14ac:dyDescent="0.35">
      <c r="A409">
        <v>14754</v>
      </c>
      <c r="B409" t="s">
        <v>843</v>
      </c>
      <c r="C409" t="s">
        <v>977</v>
      </c>
      <c r="D409" t="s">
        <v>978</v>
      </c>
      <c r="E409">
        <v>1989</v>
      </c>
      <c r="G409" t="s">
        <v>3463</v>
      </c>
      <c r="H409" s="408" t="str">
        <f>HYPERLINK("https://scholar.google.com/scholar?hl=en&amp;as_q=&amp;as_oq=&amp;as_eq=&amp;as_sauthors=&amp;as_publication=&amp;as_ylo=&amp;as_yhi=&amp;as_occt=title&amp;as_sdt=0%2C5&amp;as_epq=%22Aquatic+Toxicity+Test+Information+on+Acrolein+with+Fathead+Minnows+%28Pimephales+promelas%29+and+Flagfish+%28Jor", "Google Scholar")</f>
        <v>Google Scholar</v>
      </c>
    </row>
    <row r="410" spans="1:8" x14ac:dyDescent="0.35">
      <c r="A410">
        <v>56474</v>
      </c>
      <c r="B410" t="s">
        <v>843</v>
      </c>
      <c r="C410" t="s">
        <v>844</v>
      </c>
      <c r="D410" t="s">
        <v>845</v>
      </c>
      <c r="E410">
        <v>1986</v>
      </c>
      <c r="G410" t="s">
        <v>3464</v>
      </c>
      <c r="H410" s="409" t="str">
        <f>HYPERLINK("https://scholar.google.com/scholar?hl=en&amp;as_q=&amp;as_oq=&amp;as_eq=&amp;as_sauthors=&amp;as_publication=&amp;as_ylo=&amp;as_yhi=&amp;as_occt=title&amp;as_sdt=0%2C5&amp;as_epq=%22Criteria+Document+Data.+Memorandum+to+D.J.+Call%2C+Center+for+Lake+Superior+Environmental+Studies%2C+University+", "Google Scholar")</f>
        <v>Google Scholar</v>
      </c>
    </row>
    <row r="411" spans="1:8" x14ac:dyDescent="0.35">
      <c r="A411">
        <v>2097</v>
      </c>
      <c r="B411" t="s">
        <v>531</v>
      </c>
      <c r="C411" t="s">
        <v>532</v>
      </c>
      <c r="D411" t="s">
        <v>533</v>
      </c>
      <c r="E411">
        <v>1979</v>
      </c>
      <c r="G411" t="s">
        <v>3465</v>
      </c>
      <c r="H411" s="410" t="str">
        <f>HYPERLINK("https://scholar.google.com/scholar?hl=en&amp;as_q=&amp;as_oq=&amp;as_eq=&amp;as_sauthors=&amp;as_publication=&amp;as_ylo=&amp;as_yhi=&amp;as_occt=title&amp;as_sdt=0%2C5&amp;as_epq=%22Toxicity+and+Bioaccumulation+of+Hexachlorocyclopentadiene%2C+Hexachloronorbornadiene+and+Heptachloronorbornene+i", "Google Scholar")</f>
        <v>Google Scholar</v>
      </c>
    </row>
    <row r="412" spans="1:8" x14ac:dyDescent="0.35">
      <c r="A412">
        <v>10679</v>
      </c>
      <c r="B412" t="s">
        <v>685</v>
      </c>
      <c r="C412" t="s">
        <v>686</v>
      </c>
      <c r="D412" t="s">
        <v>687</v>
      </c>
      <c r="E412">
        <v>1985</v>
      </c>
      <c r="G412" t="s">
        <v>3466</v>
      </c>
      <c r="H412" s="411" t="str">
        <f>HYPERLINK("https://scholar.google.com/scholar?hl=en&amp;as_q=&amp;as_oq=&amp;as_eq=&amp;as_sauthors=&amp;as_publication=&amp;as_ylo=&amp;as_yhi=&amp;as_occt=title&amp;as_sdt=0%2C5&amp;as_epq=%22Pentachlorophenol+Toxicity+to+Amphipods+and+Fathead+Minnows+at+Different+Test+pH+Values", "Google Scholar")</f>
        <v>Google Scholar</v>
      </c>
    </row>
    <row r="413" spans="1:8" x14ac:dyDescent="0.35">
      <c r="A413">
        <v>164890</v>
      </c>
      <c r="B413" t="s">
        <v>932</v>
      </c>
      <c r="C413" t="s">
        <v>933</v>
      </c>
      <c r="D413" t="s">
        <v>934</v>
      </c>
      <c r="E413">
        <v>2010</v>
      </c>
      <c r="G413" t="s">
        <v>3467</v>
      </c>
      <c r="H413" s="412" t="str">
        <f>HYPERLINK("https://scholar.google.com/scholar?hl=en&amp;as_q=&amp;as_oq=&amp;as_eq=&amp;as_sauthors=&amp;as_publication=&amp;as_ylo=&amp;as_yhi=&amp;as_occt=title&amp;as_sdt=0%2C5&amp;as_epq=%22Comparative+Toxicity+and+Bioconcentration+of+Nonylphenol+in+Freshwater+Organisms", "Google Scholar")</f>
        <v>Google Scholar</v>
      </c>
    </row>
    <row r="414" spans="1:8" x14ac:dyDescent="0.35">
      <c r="A414">
        <v>20588</v>
      </c>
      <c r="B414" t="s">
        <v>1357</v>
      </c>
      <c r="C414" t="s">
        <v>1358</v>
      </c>
      <c r="D414" t="s">
        <v>1359</v>
      </c>
      <c r="E414">
        <v>1999</v>
      </c>
      <c r="G414" t="s">
        <v>3468</v>
      </c>
      <c r="H414" s="413" t="str">
        <f>HYPERLINK("https://scholar.google.com/scholar?hl=en&amp;as_q=&amp;as_oq=&amp;as_eq=&amp;as_sauthors=&amp;as_publication=&amp;as_ylo=&amp;as_yhi=&amp;as_occt=title&amp;as_sdt=0%2C5&amp;as_epq=%22Comparative+Toxicity+of+Fluoranthene+to+Freshwater+and+Saltwater+Species+Under+Fluorescent+and+Ultraviolet+Light", "Google Scholar")</f>
        <v>Google Scholar</v>
      </c>
    </row>
    <row r="415" spans="1:8" x14ac:dyDescent="0.35">
      <c r="A415">
        <v>10485</v>
      </c>
      <c r="B415" t="s">
        <v>2498</v>
      </c>
      <c r="C415" t="s">
        <v>2499</v>
      </c>
      <c r="D415" t="s">
        <v>2500</v>
      </c>
      <c r="E415">
        <v>1984</v>
      </c>
      <c r="G415" t="s">
        <v>3469</v>
      </c>
      <c r="H415" s="414" t="str">
        <f>HYPERLINK("https://scholar.google.com/scholar?hl=en&amp;as_q=&amp;as_oq=&amp;as_eq=&amp;as_sauthors=&amp;as_publication=&amp;as_ylo=&amp;as_yhi=&amp;as_occt=title&amp;as_sdt=0%2C5&amp;as_epq=%22Derivation+of+Site-Specific+Water+Quality+Criteria+for+Cadmium+and+the+St.+Louis+River+Basin%2C+Duluth%2C+Minnes", "Google Scholar")</f>
        <v>Google Scholar</v>
      </c>
    </row>
    <row r="416" spans="1:8" x14ac:dyDescent="0.35">
      <c r="A416">
        <v>12093</v>
      </c>
      <c r="B416" t="s">
        <v>1855</v>
      </c>
      <c r="C416" t="s">
        <v>1856</v>
      </c>
      <c r="D416" t="s">
        <v>1857</v>
      </c>
      <c r="E416">
        <v>1986</v>
      </c>
      <c r="G416" t="s">
        <v>3470</v>
      </c>
      <c r="H416" s="415" t="str">
        <f>HYPERLINK("https://scholar.google.com/scholar?hl=en&amp;as_q=&amp;as_oq=&amp;as_eq=&amp;as_sauthors=&amp;as_publication=&amp;as_ylo=&amp;as_yhi=&amp;as_occt=title&amp;as_sdt=0%2C5&amp;as_epq=%22Acute+and+Chronic+Effects+of+Water+Quality+Criteria-Based+Metal+Mixtures+on+Three+Aquatic+Species", "Google Scholar")</f>
        <v>Google Scholar</v>
      </c>
    </row>
    <row r="417" spans="1:8" x14ac:dyDescent="0.35">
      <c r="A417">
        <v>14914</v>
      </c>
      <c r="B417" t="s">
        <v>658</v>
      </c>
      <c r="C417" t="s">
        <v>659</v>
      </c>
      <c r="D417" t="s">
        <v>660</v>
      </c>
      <c r="E417">
        <v>1995</v>
      </c>
      <c r="G417" t="s">
        <v>3471</v>
      </c>
      <c r="H417" s="416" t="str">
        <f>HYPERLINK("https://scholar.google.com/scholar?hl=en&amp;as_q=&amp;as_oq=&amp;as_eq=&amp;as_sauthors=&amp;as_publication=&amp;as_ylo=&amp;as_yhi=&amp;as_occt=title&amp;as_sdt=0%2C5&amp;as_epq=%22Use+of+Microcosm+and+Fish+Toxicity+Data+to+Select+Mesocosm+Treatment+Concentrations", "Google Scholar")</f>
        <v>Google Scholar</v>
      </c>
    </row>
    <row r="418" spans="1:8" x14ac:dyDescent="0.35">
      <c r="A418">
        <v>120966</v>
      </c>
      <c r="B418" t="s">
        <v>1989</v>
      </c>
      <c r="C418" t="s">
        <v>1990</v>
      </c>
      <c r="D418" t="s">
        <v>1991</v>
      </c>
      <c r="E418">
        <v>1978</v>
      </c>
      <c r="G418" t="s">
        <v>3472</v>
      </c>
      <c r="H418" s="417" t="str">
        <f>HYPERLINK("https://scholar.google.com/scholar?hl=en&amp;as_q=&amp;as_oq=&amp;as_eq=&amp;as_sauthors=&amp;as_publication=&amp;as_ylo=&amp;as_yhi=&amp;as_occt=title&amp;as_sdt=0%2C5&amp;as_epq=%22Results+of+Toxicity+Tests", "Google Scholar")</f>
        <v>Google Scholar</v>
      </c>
    </row>
    <row r="419" spans="1:8" x14ac:dyDescent="0.35">
      <c r="A419">
        <v>8995</v>
      </c>
      <c r="B419" t="s">
        <v>1918</v>
      </c>
      <c r="C419" t="s">
        <v>1919</v>
      </c>
      <c r="D419" t="s">
        <v>1920</v>
      </c>
      <c r="E419">
        <v>1973</v>
      </c>
      <c r="G419" t="s">
        <v>3473</v>
      </c>
      <c r="H419" s="418" t="str">
        <f>HYPERLINK("https://scholar.google.com/scholar?hl=en&amp;as_q=&amp;as_oq=&amp;as_eq=&amp;as_sauthors=&amp;as_publication=&amp;as_ylo=&amp;as_yhi=&amp;as_occt=title&amp;as_sdt=0%2C5&amp;as_epq=%22Environmental+Testing+of+Trisodium+Nitrilotriacetate%3A+Bioassays+for+Aquatic+Safety+and+Algal+Stimulation", "Google Scholar")</f>
        <v>Google Scholar</v>
      </c>
    </row>
    <row r="420" spans="1:8" x14ac:dyDescent="0.35">
      <c r="A420">
        <v>18527</v>
      </c>
      <c r="B420" t="s">
        <v>2282</v>
      </c>
      <c r="C420" t="s">
        <v>2283</v>
      </c>
      <c r="D420" t="s">
        <v>2284</v>
      </c>
      <c r="E420">
        <v>1996</v>
      </c>
      <c r="G420" t="s">
        <v>3474</v>
      </c>
      <c r="H420" s="419" t="str">
        <f>HYPERLINK("https://scholar.google.com/scholar?hl=en&amp;as_q=&amp;as_oq=&amp;as_eq=&amp;as_sauthors=&amp;as_publication=&amp;as_ylo=&amp;as_yhi=&amp;as_occt=title&amp;as_sdt=0%2C5&amp;as_epq=%22Experimental+Factors+that+may+Affect+Toxicity+of+Aqueous+and+Sediment-Bound+Copper+to+Freshwater+Organisms", "Google Scholar")</f>
        <v>Google Scholar</v>
      </c>
    </row>
    <row r="421" spans="1:8" x14ac:dyDescent="0.35">
      <c r="A421">
        <v>18420</v>
      </c>
      <c r="B421" t="s">
        <v>2501</v>
      </c>
      <c r="C421" t="s">
        <v>2502</v>
      </c>
      <c r="D421" t="s">
        <v>2503</v>
      </c>
      <c r="E421">
        <v>1997</v>
      </c>
      <c r="G421" t="s">
        <v>3475</v>
      </c>
      <c r="H421" s="420" t="str">
        <f>HYPERLINK("https://scholar.google.com/scholar?hl=en&amp;as_q=&amp;as_oq=&amp;as_eq=&amp;as_sauthors=&amp;as_publication=&amp;as_ylo=&amp;as_yhi=&amp;as_occt=title&amp;as_sdt=0%2C5&amp;as_epq=%22Experimental+Factors+that+may+Affect+Toxicity+of+Cadmium+to+Freshwater+Organisms", "Google Scholar")</f>
        <v>Google Scholar</v>
      </c>
    </row>
    <row r="422" spans="1:8" x14ac:dyDescent="0.35">
      <c r="A422">
        <v>892</v>
      </c>
      <c r="B422" t="s">
        <v>648</v>
      </c>
      <c r="C422" t="s">
        <v>649</v>
      </c>
      <c r="D422" t="s">
        <v>650</v>
      </c>
      <c r="E422">
        <v>1962</v>
      </c>
      <c r="G422" t="s">
        <v>3476</v>
      </c>
      <c r="H422" s="421" t="str">
        <f>HYPERLINK("https://scholar.google.com/scholar?hl=en&amp;as_q=&amp;as_oq=&amp;as_eq=&amp;as_sauthors=&amp;as_publication=&amp;as_ylo=&amp;as_yhi=&amp;as_occt=title&amp;as_sdt=0%2C5&amp;as_epq=%22Acute+Toxicity+of+Endothal%2C+Diquat%2C+Hyamine%2C+Dalapon%2C+and+Silvex+to+Fish", "Google Scholar")</f>
        <v>Google Scholar</v>
      </c>
    </row>
    <row r="423" spans="1:8" x14ac:dyDescent="0.35">
      <c r="A423">
        <v>8455</v>
      </c>
      <c r="B423" t="s">
        <v>1875</v>
      </c>
      <c r="C423" t="s">
        <v>1876</v>
      </c>
      <c r="D423" t="s">
        <v>1877</v>
      </c>
      <c r="E423">
        <v>1974</v>
      </c>
      <c r="G423" t="s">
        <v>3477</v>
      </c>
      <c r="H423" s="422" t="str">
        <f>HYPERLINK("https://scholar.google.com/scholar?hl=en&amp;as_q=&amp;as_oq=&amp;as_eq=&amp;as_sauthors=&amp;as_publication=&amp;as_ylo=&amp;as_yhi=&amp;as_occt=title&amp;as_sdt=0%2C5&amp;as_epq=%22Development+of+Field+Applied+DDT", "Google Scholar")</f>
        <v>Google Scholar</v>
      </c>
    </row>
    <row r="424" spans="1:8" x14ac:dyDescent="0.35">
      <c r="A424">
        <v>17881</v>
      </c>
      <c r="B424" t="s">
        <v>1371</v>
      </c>
      <c r="C424" t="s">
        <v>1372</v>
      </c>
      <c r="D424" t="s">
        <v>1373</v>
      </c>
      <c r="E424">
        <v>1997</v>
      </c>
      <c r="G424" t="s">
        <v>3478</v>
      </c>
      <c r="H424" s="423" t="str">
        <f>HYPERLINK("https://scholar.google.com/scholar?hl=en&amp;as_q=&amp;as_oq=&amp;as_eq=&amp;as_sauthors=&amp;as_publication=&amp;as_ylo=&amp;as_yhi=&amp;as_occt=title&amp;as_sdt=0%2C5&amp;as_epq=%22Lethal+and+Sublethal+Effects+of+Azulene+and+Longifolene+to+Microtox%2C+Ceriodaphnia+dubia%2C+Daphnia+magna%2C+an", "Google Scholar")</f>
        <v>Google Scholar</v>
      </c>
    </row>
    <row r="425" spans="1:8" x14ac:dyDescent="0.35">
      <c r="A425">
        <v>10281</v>
      </c>
      <c r="B425" t="s">
        <v>2568</v>
      </c>
      <c r="C425" t="s">
        <v>2569</v>
      </c>
      <c r="D425" t="s">
        <v>2570</v>
      </c>
      <c r="E425">
        <v>1983</v>
      </c>
      <c r="G425" t="s">
        <v>3479</v>
      </c>
      <c r="H425" s="424" t="str">
        <f>HYPERLINK("https://scholar.google.com/scholar?hl=en&amp;as_q=&amp;as_oq=&amp;as_eq=&amp;as_sauthors=&amp;as_publication=&amp;as_ylo=&amp;as_yhi=&amp;as_occt=title&amp;as_sdt=0%2C5&amp;as_epq=%22Survival+and+Growth+of+Warmwater+Fishes+Exposed+to+Ammonia+Under+Low+Flow+Conditions", "Google Scholar")</f>
        <v>Google Scholar</v>
      </c>
    </row>
    <row r="426" spans="1:8" x14ac:dyDescent="0.35">
      <c r="A426">
        <v>86345</v>
      </c>
      <c r="B426" t="s">
        <v>667</v>
      </c>
      <c r="C426" t="s">
        <v>668</v>
      </c>
      <c r="D426" t="s">
        <v>669</v>
      </c>
      <c r="E426">
        <v>1999</v>
      </c>
      <c r="G426" t="s">
        <v>3480</v>
      </c>
      <c r="H426" s="425" t="str">
        <f>HYPERLINK("https://scholar.google.com/scholar?hl=en&amp;as_q=&amp;as_oq=&amp;as_eq=&amp;as_sauthors=&amp;as_publication=&amp;as_ylo=&amp;as_yhi=&amp;as_occt=title&amp;as_sdt=0%2C5&amp;as_epq=%22Evaluation+of+Probabilistic+Ecological+Risk+Assessment+Methodology+Using+Aquatic+Microcosms+and+Azinphos-Methyl", "Google Scholar")</f>
        <v>Google Scholar</v>
      </c>
    </row>
    <row r="427" spans="1:8" x14ac:dyDescent="0.35">
      <c r="A427">
        <v>2042</v>
      </c>
      <c r="B427" t="s">
        <v>275</v>
      </c>
      <c r="C427" t="s">
        <v>1490</v>
      </c>
      <c r="D427" t="s">
        <v>1491</v>
      </c>
      <c r="E427">
        <v>1960</v>
      </c>
      <c r="G427" t="s">
        <v>3481</v>
      </c>
      <c r="H427" s="426" t="str">
        <f>HYPERLINK("https://scholar.google.com/scholar?hl=en&amp;as_q=&amp;as_oq=&amp;as_eq=&amp;as_sauthors=&amp;as_publication=&amp;as_ylo=&amp;as_yhi=&amp;as_occt=title&amp;as_sdt=0%2C5&amp;as_epq=%22Toxicity+of+Less+Common+Metals+to+Fishes", "Google Scholar")</f>
        <v>Google Scholar</v>
      </c>
    </row>
    <row r="428" spans="1:8" x14ac:dyDescent="0.35">
      <c r="A428">
        <v>16212</v>
      </c>
      <c r="B428" t="s">
        <v>275</v>
      </c>
      <c r="C428" t="s">
        <v>276</v>
      </c>
      <c r="D428" t="s">
        <v>277</v>
      </c>
      <c r="E428">
        <v>1957</v>
      </c>
      <c r="G428" t="s">
        <v>3482</v>
      </c>
      <c r="H428" s="427" t="str">
        <f>HYPERLINK("https://scholar.google.com/scholar?hl=en&amp;as_q=&amp;as_oq=&amp;as_eq=&amp;as_sauthors=&amp;as_publication=&amp;as_ylo=&amp;as_yhi=&amp;as_occt=title&amp;as_sdt=0%2C5&amp;as_epq=%22Toxicity+of+Dieldrin+to+Fish", "Google Scholar")</f>
        <v>Google Scholar</v>
      </c>
    </row>
    <row r="429" spans="1:8" x14ac:dyDescent="0.35">
      <c r="A429">
        <v>160505</v>
      </c>
      <c r="B429" t="s">
        <v>2834</v>
      </c>
      <c r="C429" t="s">
        <v>2835</v>
      </c>
      <c r="D429" t="s">
        <v>2836</v>
      </c>
      <c r="E429">
        <v>2012</v>
      </c>
      <c r="G429" t="s">
        <v>3483</v>
      </c>
      <c r="H429" s="428" t="str">
        <f>HYPERLINK("https://scholar.google.com/scholar?hl=en&amp;as_q=&amp;as_oq=&amp;as_eq=&amp;as_sauthors=&amp;as_publication=&amp;as_ylo=&amp;as_yhi=&amp;as_occt=title&amp;as_sdt=0%2C5&amp;as_epq=%22Acute+Toxicity+of+Commonly+Used+Forestry+Herbicide+Mixtures+to+Ceriodaphnia+dubia+and+Pimephales+promelas", "Google Scholar")</f>
        <v>Google Scholar</v>
      </c>
    </row>
    <row r="430" spans="1:8" x14ac:dyDescent="0.35">
      <c r="A430">
        <v>107584</v>
      </c>
      <c r="B430" t="s">
        <v>929</v>
      </c>
      <c r="C430" t="s">
        <v>930</v>
      </c>
      <c r="D430" t="s">
        <v>931</v>
      </c>
      <c r="E430">
        <v>2007</v>
      </c>
      <c r="G430" t="s">
        <v>3484</v>
      </c>
      <c r="H430" s="429" t="str">
        <f>HYPERLINK("https://scholar.google.com/scholar?hl=en&amp;as_q=&amp;as_oq=&amp;as_eq=&amp;as_sauthors=&amp;as_publication=&amp;as_ylo=&amp;as_yhi=&amp;as_occt=title&amp;as_sdt=0%2C5&amp;as_epq=%22Toxicity+of+Nonylphenol%2C+Nonylphenol+Monoethoxylate%2C+and+Nonylphenol+Diethoxylate+and+Mixtures+of+These+Comp", "Google Scholar")</f>
        <v>Google Scholar</v>
      </c>
    </row>
    <row r="431" spans="1:8" x14ac:dyDescent="0.35">
      <c r="A431">
        <v>541</v>
      </c>
      <c r="B431" t="s">
        <v>2860</v>
      </c>
      <c r="C431" t="s">
        <v>2861</v>
      </c>
      <c r="D431" t="s">
        <v>2862</v>
      </c>
      <c r="E431">
        <v>1966</v>
      </c>
      <c r="G431" t="s">
        <v>3485</v>
      </c>
      <c r="H431" s="430" t="str">
        <f>HYPERLINK("https://scholar.google.com/scholar?hl=en&amp;as_q=&amp;as_oq=&amp;as_eq=&amp;as_sauthors=&amp;as_publication=&amp;as_ylo=&amp;as_yhi=&amp;as_occt=title&amp;as_sdt=0%2C5&amp;as_epq=%22Acute+Toxicity+of+LAS+to+Various+Fish+Species", "Google Scholar")</f>
        <v>Google Scholar</v>
      </c>
    </row>
    <row r="432" spans="1:8" x14ac:dyDescent="0.35">
      <c r="A432">
        <v>60679</v>
      </c>
      <c r="B432" t="s">
        <v>563</v>
      </c>
      <c r="C432" t="s">
        <v>564</v>
      </c>
      <c r="D432" t="s">
        <v>565</v>
      </c>
      <c r="E432">
        <v>1981</v>
      </c>
      <c r="G432" t="s">
        <v>3486</v>
      </c>
      <c r="H432" s="431" t="str">
        <f>HYPERLINK("https://scholar.google.com/scholar?hl=en&amp;as_q=&amp;as_oq=&amp;as_eq=&amp;as_sauthors=&amp;as_publication=&amp;as_ylo=&amp;as_yhi=&amp;as_occt=title&amp;as_sdt=0%2C5&amp;as_epq=%22Early+Life+Stage+Studies+Using+the+Fathead+Minnow+%28Pimephales+promelas%29+to+Assess+the+Effects+of+Isophorone+", "Google Scholar")</f>
        <v>Google Scholar</v>
      </c>
    </row>
    <row r="433" spans="1:8" x14ac:dyDescent="0.35">
      <c r="A433">
        <v>10303</v>
      </c>
      <c r="B433" t="s">
        <v>2549</v>
      </c>
      <c r="C433" t="s">
        <v>2550</v>
      </c>
      <c r="D433" t="s">
        <v>2551</v>
      </c>
      <c r="E433">
        <v>1981</v>
      </c>
      <c r="G433" t="s">
        <v>3487</v>
      </c>
      <c r="H433" s="432" t="str">
        <f>HYPERLINK("https://scholar.google.com/scholar?hl=en&amp;as_q=&amp;as_oq=&amp;as_eq=&amp;as_sauthors=&amp;as_publication=&amp;as_ylo=&amp;as_yhi=&amp;as_occt=title&amp;as_sdt=0%2C5&amp;as_epq=%22Ammonia+Toxicity+to+Fishes.++Effect+of+pH+on+the+Toxicity+of+the+Un-ionized+Ammonia+Species", "Google Scholar")</f>
        <v>Google Scholar</v>
      </c>
    </row>
    <row r="434" spans="1:8" x14ac:dyDescent="0.35">
      <c r="A434">
        <v>10130</v>
      </c>
      <c r="B434" t="s">
        <v>2531</v>
      </c>
      <c r="C434" t="s">
        <v>2532</v>
      </c>
      <c r="D434" t="s">
        <v>2533</v>
      </c>
      <c r="E434">
        <v>1983</v>
      </c>
      <c r="G434" t="s">
        <v>3488</v>
      </c>
      <c r="H434" s="433" t="str">
        <f>HYPERLINK("https://scholar.google.com/scholar?hl=en&amp;as_q=&amp;as_oq=&amp;as_eq=&amp;as_sauthors=&amp;as_publication=&amp;as_ylo=&amp;as_yhi=&amp;as_occt=title&amp;as_sdt=0%2C5&amp;as_epq=%22Acute+Toxicity+of+Ammonia+to+Fathead+Minnows", "Google Scholar")</f>
        <v>Google Scholar</v>
      </c>
    </row>
    <row r="435" spans="1:8" x14ac:dyDescent="0.35">
      <c r="A435">
        <v>12004</v>
      </c>
      <c r="B435" t="s">
        <v>401</v>
      </c>
      <c r="C435" t="s">
        <v>402</v>
      </c>
      <c r="D435" t="s">
        <v>403</v>
      </c>
      <c r="E435">
        <v>1985</v>
      </c>
      <c r="G435" t="s">
        <v>3489</v>
      </c>
      <c r="H435" s="434" t="str">
        <f>HYPERLINK("https://scholar.google.com/scholar?hl=en&amp;as_q=&amp;as_oq=&amp;as_eq=&amp;as_sauthors=&amp;as_publication=&amp;as_ylo=&amp;as_yhi=&amp;as_occt=title&amp;as_sdt=0%2C5&amp;as_epq=%22Comparative+Toxicity+of+Ten+Organic+Chemicals+to+Ten+Common+Aquatic+Species", "Google Scholar")</f>
        <v>Google Scholar</v>
      </c>
    </row>
    <row r="436" spans="1:8" x14ac:dyDescent="0.35">
      <c r="A436">
        <v>9994</v>
      </c>
      <c r="B436" t="s">
        <v>351</v>
      </c>
      <c r="C436" t="s">
        <v>352</v>
      </c>
      <c r="D436" t="s">
        <v>353</v>
      </c>
      <c r="E436">
        <v>1982</v>
      </c>
      <c r="G436" t="s">
        <v>3490</v>
      </c>
      <c r="H436" s="435" t="str">
        <f>HYPERLINK("https://scholar.google.com/scholar?hl=en&amp;as_q=&amp;as_oq=&amp;as_eq=&amp;as_sauthors=&amp;as_publication=&amp;as_ylo=&amp;as_yhi=&amp;as_occt=title&amp;as_sdt=0%2C5&amp;as_epq=%22Acute+Toxicity+of+Selected+Chemicals+to+Fathead+Minnow%2C+Water+Flea+and+Mysid+Shrimp+Under+Static+and+Flow-Thro", "Google Scholar")</f>
        <v>Google Scholar</v>
      </c>
    </row>
    <row r="437" spans="1:8" x14ac:dyDescent="0.35">
      <c r="A437">
        <v>344</v>
      </c>
      <c r="B437" t="s">
        <v>116</v>
      </c>
      <c r="C437" t="s">
        <v>117</v>
      </c>
      <c r="D437" t="s">
        <v>118</v>
      </c>
      <c r="E437">
        <v>1992</v>
      </c>
      <c r="F437" t="s">
        <v>3491</v>
      </c>
      <c r="G437" t="s">
        <v>3492</v>
      </c>
      <c r="H437" s="436" t="str">
        <f>HYPERLINK("https://scholar.google.com/scholar?hl=en&amp;as_q=&amp;as_oq=&amp;as_eq=&amp;as_sauthors=&amp;as_publication=&amp;as_ylo=&amp;as_yhi=&amp;as_occt=title&amp;as_sdt=0%2C5&amp;as_epq=%22Pesticide+Ecotoxicity+Database+%28Formerly%3A+Environmental+Effects+Database+%28EEDB%29%29", "Google Scholar")</f>
        <v>Google Scholar</v>
      </c>
    </row>
    <row r="438" spans="1:8" x14ac:dyDescent="0.35">
      <c r="A438">
        <v>79952</v>
      </c>
      <c r="B438" t="s">
        <v>1075</v>
      </c>
      <c r="C438" t="s">
        <v>2104</v>
      </c>
      <c r="D438" t="s">
        <v>2105</v>
      </c>
      <c r="E438">
        <v>1996</v>
      </c>
      <c r="G438" t="s">
        <v>3493</v>
      </c>
      <c r="H438" s="437" t="str">
        <f>HYPERLINK("https://scholar.google.com/scholar?hl=en&amp;as_q=&amp;as_oq=&amp;as_eq=&amp;as_sauthors=&amp;as_publication=&amp;as_ylo=&amp;as_yhi=&amp;as_occt=title&amp;as_sdt=0%2C5&amp;as_epq=%22Glutaraldehyde+-+Reduction+of+Fish+Toxicity+by+Reaction+with+Sodium+Bisulfite%2C+with+Cover+Letter+Dated+6%2F24%", "Google Scholar")</f>
        <v>Google Scholar</v>
      </c>
    </row>
    <row r="439" spans="1:8" x14ac:dyDescent="0.35">
      <c r="A439">
        <v>177942</v>
      </c>
      <c r="B439" t="s">
        <v>1075</v>
      </c>
      <c r="C439" t="s">
        <v>1076</v>
      </c>
      <c r="D439" t="s">
        <v>1077</v>
      </c>
      <c r="E439">
        <v>1993</v>
      </c>
      <c r="G439" t="s">
        <v>3494</v>
      </c>
      <c r="H439" s="438" t="str">
        <f>HYPERLINK("https://scholar.google.com/scholar?hl=en&amp;as_q=&amp;as_oq=&amp;as_eq=&amp;as_sauthors=&amp;as_publication=&amp;as_ylo=&amp;as_yhi=&amp;as_occt=title&amp;as_sdt=0%2C5&amp;as_epq=%22Letter+from+Union+Carbide+Submitting+Ecotoxicological+Studies+on+a+Number+of+Chemicals+with+Cover+Letter+Dated+0", "Google Scholar")</f>
        <v>Google Scholar</v>
      </c>
    </row>
    <row r="440" spans="1:8" x14ac:dyDescent="0.35">
      <c r="A440">
        <v>11830</v>
      </c>
      <c r="B440" t="s">
        <v>875</v>
      </c>
      <c r="C440" t="s">
        <v>876</v>
      </c>
      <c r="D440" t="s">
        <v>877</v>
      </c>
      <c r="E440">
        <v>1983</v>
      </c>
      <c r="G440" t="s">
        <v>3495</v>
      </c>
      <c r="H440" s="439" t="str">
        <f>HYPERLINK("https://scholar.google.com/scholar?hl=en&amp;as_q=&amp;as_oq=&amp;as_eq=&amp;as_sauthors=&amp;as_publication=&amp;as_ylo=&amp;as_yhi=&amp;as_occt=title&amp;as_sdt=0%2C5&amp;as_epq=%22The+Acute+and+Chronic+Toxicity+of+3%2C5-Dinitroaniline%2C+1%2C3-Dinitrobenzene%2C+and+1%2C3%2C5-Trinitrobenzene+", "Google Scholar")</f>
        <v>Google Scholar</v>
      </c>
    </row>
    <row r="441" spans="1:8" x14ac:dyDescent="0.35">
      <c r="A441">
        <v>71734</v>
      </c>
      <c r="B441" t="s">
        <v>2322</v>
      </c>
      <c r="C441" t="s">
        <v>2323</v>
      </c>
      <c r="D441" t="s">
        <v>2324</v>
      </c>
      <c r="E441">
        <v>2003</v>
      </c>
      <c r="G441" t="s">
        <v>3496</v>
      </c>
      <c r="H441" s="440" t="str">
        <f>HYPERLINK("https://scholar.google.com/scholar?hl=en&amp;as_q=&amp;as_oq=&amp;as_eq=&amp;as_sauthors=&amp;as_publication=&amp;as_ylo=&amp;as_yhi=&amp;as_occt=title&amp;as_sdt=0%2C5&amp;as_epq=%22Influence+of+Dissolved+Organic+Matter+Source+on+Silver+Toxicity+to+Pimephales+promelas", "Google Scholar")</f>
        <v>Google Scholar</v>
      </c>
    </row>
    <row r="442" spans="1:8" x14ac:dyDescent="0.35">
      <c r="A442">
        <v>164074</v>
      </c>
      <c r="B442" t="s">
        <v>2291</v>
      </c>
      <c r="C442" t="s">
        <v>2292</v>
      </c>
      <c r="D442" t="s">
        <v>2293</v>
      </c>
      <c r="E442">
        <v>2013</v>
      </c>
      <c r="G442" t="s">
        <v>3497</v>
      </c>
      <c r="H442" s="441" t="str">
        <f>HYPERLINK("https://scholar.google.com/scholar?hl=en&amp;as_q=&amp;as_oq=&amp;as_eq=&amp;as_sauthors=&amp;as_publication=&amp;as_ylo=&amp;as_yhi=&amp;as_occt=title&amp;as_sdt=0%2C5&amp;as_epq=%22Sensitivity+of+Early+Life+Stages+of+White+Sturgeon%2C+Rainbow+Trout%2C+and+Fathead+Minnow+to+Copper", "Google Scholar")</f>
        <v>Google Scholar</v>
      </c>
    </row>
    <row r="443" spans="1:8" x14ac:dyDescent="0.35">
      <c r="A443">
        <v>10183</v>
      </c>
      <c r="B443" t="s">
        <v>364</v>
      </c>
      <c r="C443" t="s">
        <v>365</v>
      </c>
      <c r="D443" t="s">
        <v>366</v>
      </c>
      <c r="E443">
        <v>1983</v>
      </c>
      <c r="G443" t="s">
        <v>3498</v>
      </c>
      <c r="H443" s="442" t="str">
        <f>HYPERLINK("https://scholar.google.com/scholar?hl=en&amp;as_q=&amp;as_oq=&amp;as_eq=&amp;as_sauthors=&amp;as_publication=&amp;as_ylo=&amp;as_yhi=&amp;as_occt=title&amp;as_sdt=0%2C5&amp;as_epq=%22Estimating+the+Acute+Toxicity+of+Narcotic+Industrial+Chemicals+to+Fathead+Minnows", "Google Scholar")</f>
        <v>Google Scholar</v>
      </c>
    </row>
    <row r="444" spans="1:8" x14ac:dyDescent="0.35">
      <c r="A444">
        <v>2721</v>
      </c>
      <c r="B444" t="s">
        <v>541</v>
      </c>
      <c r="C444" t="s">
        <v>542</v>
      </c>
      <c r="D444" t="s">
        <v>543</v>
      </c>
      <c r="E444">
        <v>1989</v>
      </c>
      <c r="G444" t="s">
        <v>3499</v>
      </c>
      <c r="H444" s="443" t="str">
        <f>HYPERLINK("https://scholar.google.com/scholar?hl=en&amp;as_q=&amp;as_oq=&amp;as_eq=&amp;as_sauthors=&amp;as_publication=&amp;as_ylo=&amp;as_yhi=&amp;as_occt=title&amp;as_sdt=0%2C5&amp;as_epq=%22The+Toxicity+of+Acetylenic+Alcohols+to+the+Fathead+Minnow%2C+Pimephales+promelas%3A+Narcosis+and+Proelectrophile", "Google Scholar")</f>
        <v>Google Scholar</v>
      </c>
    </row>
    <row r="445" spans="1:8" x14ac:dyDescent="0.35">
      <c r="A445">
        <v>10452</v>
      </c>
      <c r="B445" t="s">
        <v>1388</v>
      </c>
      <c r="C445" t="s">
        <v>1389</v>
      </c>
      <c r="D445" t="s">
        <v>1390</v>
      </c>
      <c r="E445">
        <v>1984</v>
      </c>
      <c r="F445" t="s">
        <v>3069</v>
      </c>
      <c r="G445" t="s">
        <v>3500</v>
      </c>
      <c r="H445" s="444" t="str">
        <f>HYPERLINK("https://scholar.google.com/scholar?hl=en&amp;as_q=&amp;as_oq=&amp;as_eq=&amp;as_sauthors=&amp;as_publication=&amp;as_ylo=&amp;as_yhi=&amp;as_occt=title&amp;as_sdt=0%2C5&amp;as_epq=%22Acute+Toxicity+of+Hydrazine+Hydrate+to+the+Fathead+Minnow+%28Pimephales+promelas%29+and+Daphnid+%28Daphnia+pulex", "Google Scholar")</f>
        <v>Google Scholar</v>
      </c>
    </row>
    <row r="446" spans="1:8" x14ac:dyDescent="0.35">
      <c r="A446">
        <v>110632</v>
      </c>
      <c r="B446" t="s">
        <v>2935</v>
      </c>
      <c r="C446" t="s">
        <v>2936</v>
      </c>
      <c r="D446" t="s">
        <v>2937</v>
      </c>
      <c r="E446">
        <v>2006</v>
      </c>
      <c r="G446" t="s">
        <v>3501</v>
      </c>
      <c r="H446" s="445" t="str">
        <f>HYPERLINK("https://scholar.google.com/scholar?hl=en&amp;as_q=&amp;as_oq=&amp;as_eq=&amp;as_sauthors=&amp;as_publication=&amp;as_ylo=&amp;as_yhi=&amp;as_occt=title&amp;as_sdt=0%2C5&amp;as_epq=%22The+Acute+and+Chronic+Toxicity+of+Hexadecyl+and+Heptadecyl+Sulfate+to+Aquatic+Organisms", "Google Scholar")</f>
        <v>Google Scholar</v>
      </c>
    </row>
    <row r="447" spans="1:8" x14ac:dyDescent="0.35">
      <c r="A447">
        <v>5893</v>
      </c>
      <c r="B447" t="s">
        <v>1007</v>
      </c>
      <c r="C447" t="s">
        <v>1008</v>
      </c>
      <c r="D447" t="s">
        <v>1009</v>
      </c>
      <c r="E447">
        <v>1992</v>
      </c>
      <c r="G447" t="s">
        <v>3502</v>
      </c>
      <c r="H447" s="446" t="str">
        <f>HYPERLINK("https://scholar.google.com/scholar?hl=en&amp;as_q=&amp;as_oq=&amp;as_eq=&amp;as_sauthors=&amp;as_publication=&amp;as_ylo=&amp;as_yhi=&amp;as_occt=title&amp;as_sdt=0%2C5&amp;as_epq=%22Effect+of+Organic+Carbon+on+the+Uptake+and+Toxicity+of+Quaternary+Ammonium+Compounds+to+the+Fathead+Minnow%2C+Pi", "Google Scholar")</f>
        <v>Google Scholar</v>
      </c>
    </row>
    <row r="448" spans="1:8" x14ac:dyDescent="0.35">
      <c r="A448">
        <v>3675</v>
      </c>
      <c r="B448" t="s">
        <v>2379</v>
      </c>
      <c r="C448" t="s">
        <v>2380</v>
      </c>
      <c r="D448" t="s">
        <v>2381</v>
      </c>
      <c r="E448">
        <v>1977</v>
      </c>
      <c r="G448" t="s">
        <v>3503</v>
      </c>
      <c r="H448" s="447" t="str">
        <f>HYPERLINK("https://scholar.google.com/scholar?hl=en&amp;as_q=&amp;as_oq=&amp;as_eq=&amp;as_sauthors=&amp;as_publication=&amp;as_ylo=&amp;as_yhi=&amp;as_occt=title&amp;as_sdt=0%2C5&amp;as_epq=%22Effect+of+Size+of+Fathead+Minnows+%28Pimephales+promelas%29+and+Green+Sunfish+%28Lepomis+cyanellus%29+on+Hexaval", "Google Scholar")</f>
        <v>Google Scholar</v>
      </c>
    </row>
    <row r="449" spans="1:8" x14ac:dyDescent="0.35">
      <c r="A449">
        <v>11227</v>
      </c>
      <c r="B449" t="s">
        <v>404</v>
      </c>
      <c r="C449" t="s">
        <v>405</v>
      </c>
      <c r="D449" t="s">
        <v>406</v>
      </c>
      <c r="E449">
        <v>1983</v>
      </c>
      <c r="F449" t="s">
        <v>3069</v>
      </c>
      <c r="G449" t="s">
        <v>3504</v>
      </c>
      <c r="H449" s="448" t="str">
        <f>HYPERLINK("https://scholar.google.com/scholar?hl=en&amp;as_q=&amp;as_oq=&amp;as_eq=&amp;as_sauthors=&amp;as_publication=&amp;as_ylo=&amp;as_yhi=&amp;as_occt=title&amp;as_sdt=0%2C5&amp;as_epq=%22Acute+Toxicity+of+Ten+Chlorinated+Aliphatic+Hydrocarbons+to+the+Fathead+Minnow+%28Pimephales+promelas%29", "Google Scholar")</f>
        <v>Google Scholar</v>
      </c>
    </row>
    <row r="450" spans="1:8" x14ac:dyDescent="0.35">
      <c r="A450">
        <v>45189</v>
      </c>
      <c r="B450" t="s">
        <v>2249</v>
      </c>
      <c r="C450" t="s">
        <v>2250</v>
      </c>
      <c r="D450" t="s">
        <v>2251</v>
      </c>
      <c r="E450">
        <v>1996</v>
      </c>
      <c r="G450" t="s">
        <v>3505</v>
      </c>
      <c r="H450" s="449" t="str">
        <f>HYPERLINK("https://scholar.google.com/scholar?hl=en&amp;as_q=&amp;as_oq=&amp;as_eq=&amp;as_sauthors=&amp;as_publication=&amp;as_ylo=&amp;as_yhi=&amp;as_occt=title&amp;as_sdt=0%2C5&amp;as_epq=%22Influence+of+Dissolved+Organic+Carbon+on+the+Speciation%2C+Bioavailability+and+Toxicity+of+Metals+to+Aquatic+Bio", "Google Scholar")</f>
        <v>Google Scholar</v>
      </c>
    </row>
    <row r="451" spans="1:8" x14ac:dyDescent="0.35">
      <c r="A451">
        <v>8034</v>
      </c>
      <c r="B451" t="s">
        <v>2236</v>
      </c>
      <c r="C451" t="s">
        <v>2237</v>
      </c>
      <c r="D451" t="s">
        <v>2238</v>
      </c>
      <c r="E451">
        <v>1993</v>
      </c>
      <c r="G451" t="s">
        <v>3506</v>
      </c>
      <c r="H451" s="450" t="str">
        <f>HYPERLINK("https://scholar.google.com/scholar?hl=en&amp;as_q=&amp;as_oq=&amp;as_eq=&amp;as_sauthors=&amp;as_publication=&amp;as_ylo=&amp;as_yhi=&amp;as_occt=title&amp;as_sdt=0%2C5&amp;as_epq=%22Effect+of+pH+and+Dissolved+Organic+Carbon+on+the+Toxicity+of+Copper+to+Larval+Fathead+Minnow+%28Pimephales+prome", "Google Scholar")</f>
        <v>Google Scholar</v>
      </c>
    </row>
    <row r="452" spans="1:8" x14ac:dyDescent="0.35">
      <c r="A452">
        <v>17105</v>
      </c>
      <c r="B452" t="s">
        <v>2230</v>
      </c>
      <c r="C452" t="s">
        <v>2231</v>
      </c>
      <c r="D452" t="s">
        <v>2232</v>
      </c>
      <c r="E452">
        <v>1996</v>
      </c>
      <c r="G452" t="s">
        <v>3507</v>
      </c>
      <c r="H452" s="451" t="str">
        <f>HYPERLINK("https://scholar.google.com/scholar?hl=en&amp;as_q=&amp;as_oq=&amp;as_eq=&amp;as_sauthors=&amp;as_publication=&amp;as_ylo=&amp;as_yhi=&amp;as_occt=title&amp;as_sdt=0%2C5&amp;as_epq=%22Estimating+Acute+Copper+Toxicity+to+Larval+Fathead+Minnow+%28Pimephales+promelas%29+in+Soft+Water+from+Measureme", "Google Scholar")</f>
        <v>Google Scholar</v>
      </c>
    </row>
    <row r="453" spans="1:8" x14ac:dyDescent="0.35">
      <c r="A453">
        <v>65773</v>
      </c>
      <c r="B453" t="s">
        <v>1415</v>
      </c>
      <c r="C453" t="s">
        <v>1416</v>
      </c>
      <c r="D453" t="s">
        <v>1417</v>
      </c>
      <c r="E453">
        <v>2002</v>
      </c>
      <c r="G453" t="s">
        <v>3508</v>
      </c>
      <c r="H453" s="452" t="str">
        <f>HYPERLINK("https://scholar.google.com/scholar?hl=en&amp;as_q=&amp;as_oq=&amp;as_eq=&amp;as_sauthors=&amp;as_publication=&amp;as_ylo=&amp;as_yhi=&amp;as_occt=title&amp;as_sdt=0%2C5&amp;as_epq=%22Toxicity+of+Stormwater+Runoff+After+Dormant+Spray+Application+of+Diazinon+and+Esfenvalerate+%28Asana%29+in+a+Fre", "Google Scholar")</f>
        <v>Google Scholar</v>
      </c>
    </row>
    <row r="454" spans="1:8" x14ac:dyDescent="0.35">
      <c r="A454">
        <v>3679</v>
      </c>
      <c r="B454" t="s">
        <v>2391</v>
      </c>
      <c r="C454" t="s">
        <v>2392</v>
      </c>
      <c r="D454" t="s">
        <v>2393</v>
      </c>
      <c r="E454">
        <v>1983</v>
      </c>
      <c r="G454" t="s">
        <v>3509</v>
      </c>
      <c r="H454" s="453" t="str">
        <f>HYPERLINK("https://scholar.google.com/scholar?hl=en&amp;as_q=&amp;as_oq=&amp;as_eq=&amp;as_sauthors=&amp;as_publication=&amp;as_ylo=&amp;as_yhi=&amp;as_occt=title&amp;as_sdt=0%2C5&amp;as_epq=%22The+Toxicity+of+Hexavalent+Chromium+%28Cr%2B6%29+to+Twenty-One+Species+Aquatic+Animals+Native+to+Ohio", "Google Scholar")</f>
        <v>Google Scholar</v>
      </c>
    </row>
    <row r="455" spans="1:8" x14ac:dyDescent="0.35">
      <c r="A455">
        <v>15763</v>
      </c>
      <c r="B455" t="s">
        <v>2167</v>
      </c>
      <c r="C455" t="s">
        <v>2168</v>
      </c>
      <c r="D455" t="s">
        <v>2169</v>
      </c>
      <c r="E455">
        <v>1983</v>
      </c>
      <c r="G455" t="s">
        <v>3510</v>
      </c>
      <c r="H455" s="454" t="str">
        <f>HYPERLINK("https://scholar.google.com/scholar?hl=en&amp;as_q=&amp;as_oq=&amp;as_eq=&amp;as_sauthors=&amp;as_publication=&amp;as_ylo=&amp;as_yhi=&amp;as_occt=title&amp;as_sdt=0%2C5&amp;as_epq=%22Comparison+of+Chlorine+and+Chlorine+Dioxide+Toxicity+to+Fathead+Minnows+and+Bluegill", "Google Scholar")</f>
        <v>Google Scholar</v>
      </c>
    </row>
    <row r="456" spans="1:8" x14ac:dyDescent="0.35">
      <c r="A456">
        <v>10137</v>
      </c>
      <c r="B456" t="s">
        <v>2164</v>
      </c>
      <c r="C456" t="s">
        <v>2165</v>
      </c>
      <c r="D456" t="s">
        <v>2166</v>
      </c>
      <c r="E456">
        <v>1983</v>
      </c>
      <c r="G456" t="s">
        <v>3511</v>
      </c>
      <c r="H456" s="455" t="str">
        <f>HYPERLINK("https://scholar.google.com/scholar?hl=en&amp;as_q=&amp;as_oq=&amp;as_eq=&amp;as_sauthors=&amp;as_publication=&amp;as_ylo=&amp;as_yhi=&amp;as_occt=title&amp;as_sdt=0%2C5&amp;as_epq=%22Acute+Toxicity+of+Chlorine+and+Bromine+to+Fathead+Minnows+and+Bluegills", "Google Scholar")</f>
        <v>Google Scholar</v>
      </c>
    </row>
    <row r="457" spans="1:8" x14ac:dyDescent="0.35">
      <c r="A457">
        <v>185937</v>
      </c>
      <c r="B457" t="s">
        <v>2781</v>
      </c>
      <c r="C457" t="s">
        <v>2782</v>
      </c>
      <c r="D457" t="s">
        <v>2783</v>
      </c>
      <c r="E457">
        <v>2001</v>
      </c>
      <c r="G457" t="s">
        <v>3512</v>
      </c>
      <c r="H457" s="456" t="str">
        <f>HYPERLINK("https://scholar.google.com/scholar?hl=en&amp;as_q=&amp;as_oq=&amp;as_eq=&amp;as_sauthors=&amp;as_publication=&amp;as_ylo=&amp;as_yhi=&amp;as_occt=title&amp;as_sdt=0%2C5&amp;as_epq=%22Perfluorobutane+Sulfonate%2C+Potassium+Salt+%28PFBS%29%3A+A+96-Hour+Static+Acute+Toxicity+Test+with+the+Fathead+", "Google Scholar")</f>
        <v>Google Scholar</v>
      </c>
    </row>
    <row r="458" spans="1:8" x14ac:dyDescent="0.35">
      <c r="A458">
        <v>86288</v>
      </c>
      <c r="B458" t="s">
        <v>2541</v>
      </c>
      <c r="C458" t="s">
        <v>2542</v>
      </c>
      <c r="D458" t="s">
        <v>2543</v>
      </c>
      <c r="E458">
        <v>1987</v>
      </c>
      <c r="G458" t="s">
        <v>3513</v>
      </c>
      <c r="H458" s="457" t="str">
        <f>HYPERLINK("https://scholar.google.com/scholar?hl=en&amp;as_q=&amp;as_oq=&amp;as_eq=&amp;as_sauthors=&amp;as_publication=&amp;as_ylo=&amp;as_yhi=&amp;as_occt=title&amp;as_sdt=0%2C5&amp;as_epq=%22Acute+and+Short-Term+Chronic+Ammonia+Toxicity+to+Fathead+Minnows+%28Pimephales+promelas%29+and+Ceriodaphnia+dubi", "Google Scholar")</f>
        <v>Google Scholar</v>
      </c>
    </row>
    <row r="459" spans="1:8" x14ac:dyDescent="0.35">
      <c r="A459">
        <v>18155</v>
      </c>
      <c r="B459" t="s">
        <v>2807</v>
      </c>
      <c r="C459" t="s">
        <v>2808</v>
      </c>
      <c r="D459" t="s">
        <v>2809</v>
      </c>
      <c r="E459">
        <v>1997</v>
      </c>
      <c r="G459" t="s">
        <v>3514</v>
      </c>
      <c r="H459" s="458" t="str">
        <f>HYPERLINK("https://scholar.google.com/scholar?hl=en&amp;as_q=&amp;as_oq=&amp;as_eq=&amp;as_sauthors=&amp;as_publication=&amp;as_ylo=&amp;as_yhi=&amp;as_occt=title&amp;as_sdt=0%2C5&amp;as_epq=%22Acute+Toxicity+and+Structure-Activity+Relationships+of+Nine+Alcohol+Ethoxylate+Surfactants+to+Fathead+Minnow+and", "Google Scholar")</f>
        <v>Google Scholar</v>
      </c>
    </row>
    <row r="460" spans="1:8" x14ac:dyDescent="0.35">
      <c r="A460">
        <v>115501</v>
      </c>
      <c r="B460" t="s">
        <v>1160</v>
      </c>
      <c r="C460" t="s">
        <v>1161</v>
      </c>
      <c r="D460" t="s">
        <v>1162</v>
      </c>
      <c r="E460">
        <v>2006</v>
      </c>
      <c r="G460" t="s">
        <v>3515</v>
      </c>
      <c r="H460" s="459" t="str">
        <f>HYPERLINK("https://scholar.google.com/scholar?hl=en&amp;as_q=&amp;as_oq=&amp;as_eq=&amp;as_sauthors=&amp;as_publication=&amp;as_ylo=&amp;as_yhi=&amp;as_occt=title&amp;as_sdt=0%2C5&amp;as_epq=%22Toxicity+and+Bioaccumulation+of+2%2C4%2C6-Trinitrotoluene+in+Fathead+Minnow+%28Pimephales+promelas%29", "Google Scholar")</f>
        <v>Google Scholar</v>
      </c>
    </row>
    <row r="461" spans="1:8" x14ac:dyDescent="0.35">
      <c r="A461">
        <v>10550</v>
      </c>
      <c r="B461" t="s">
        <v>1725</v>
      </c>
      <c r="C461" t="s">
        <v>1726</v>
      </c>
      <c r="D461" t="s">
        <v>1727</v>
      </c>
      <c r="E461">
        <v>1983</v>
      </c>
      <c r="G461" t="s">
        <v>3516</v>
      </c>
      <c r="H461" s="460" t="str">
        <f>HYPERLINK("https://scholar.google.com/scholar?hl=en&amp;as_q=&amp;as_oq=&amp;as_eq=&amp;as_sauthors=&amp;as_publication=&amp;as_ylo=&amp;as_yhi=&amp;as_occt=title&amp;as_sdt=0%2C5&amp;as_epq=%22Effect+of+pH+on+Acute+Toxicity+of+Dehydroabietic+Acid+and+Chlorinated+Dehydroabietic+Acid+to+Fish+and+Daphnia", "Google Scholar")</f>
        <v>Google Scholar</v>
      </c>
    </row>
    <row r="462" spans="1:8" x14ac:dyDescent="0.35">
      <c r="A462">
        <v>959</v>
      </c>
      <c r="B462" t="s">
        <v>2640</v>
      </c>
      <c r="C462" t="s">
        <v>2641</v>
      </c>
      <c r="D462" t="s">
        <v>2642</v>
      </c>
      <c r="E462">
        <v>1969</v>
      </c>
      <c r="G462" t="s">
        <v>3517</v>
      </c>
      <c r="H462" s="461" t="str">
        <f>HYPERLINK("https://scholar.google.com/scholar?hl=en&amp;as_q=&amp;as_oq=&amp;as_eq=&amp;as_sauthors=&amp;as_publication=&amp;as_ylo=&amp;as_yhi=&amp;as_occt=title&amp;as_sdt=0%2C5&amp;as_epq=%22A+Biological+Evaluation+of+Six+Chemicals+Used+to+Disperse+Oil+Spills", "Google Scholar")</f>
        <v>Google Scholar</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
  <sheetViews>
    <sheetView workbookViewId="0">
      <pane xSplit="1" ySplit="1" topLeftCell="B2" activePane="bottomRight" state="frozen"/>
      <selection pane="topRight"/>
      <selection pane="bottomLeft"/>
      <selection pane="bottomRight"/>
    </sheetView>
  </sheetViews>
  <sheetFormatPr defaultRowHeight="14.5" x14ac:dyDescent="0.35"/>
  <sheetData>
    <row r="1" spans="1:7" x14ac:dyDescent="0.35">
      <c r="A1" t="s">
        <v>3518</v>
      </c>
      <c r="B1" t="s">
        <v>3519</v>
      </c>
      <c r="C1" t="s">
        <v>3520</v>
      </c>
      <c r="D1" t="s">
        <v>3521</v>
      </c>
      <c r="E1" t="s">
        <v>3522</v>
      </c>
      <c r="G1" t="s">
        <v>3523</v>
      </c>
    </row>
    <row r="2" spans="1:7" x14ac:dyDescent="0.35">
      <c r="G2" s="462">
        <v>44466.707083333335</v>
      </c>
    </row>
    <row r="4" spans="1:7" x14ac:dyDescent="0.35">
      <c r="A4" t="s">
        <v>3524</v>
      </c>
    </row>
    <row r="5" spans="1:7" x14ac:dyDescent="0.35">
      <c r="C5" t="s">
        <v>3525</v>
      </c>
      <c r="D5" t="s">
        <v>3525</v>
      </c>
    </row>
    <row r="7" spans="1:7" x14ac:dyDescent="0.35">
      <c r="A7" t="s">
        <v>3526</v>
      </c>
    </row>
    <row r="9" spans="1:7" x14ac:dyDescent="0.35">
      <c r="A9" t="s">
        <v>3527</v>
      </c>
    </row>
    <row r="10" spans="1:7" x14ac:dyDescent="0.35">
      <c r="B10" t="s">
        <v>3528</v>
      </c>
      <c r="C10" t="s">
        <v>67</v>
      </c>
      <c r="D10" t="s">
        <v>3529</v>
      </c>
    </row>
    <row r="12" spans="1:7" x14ac:dyDescent="0.35">
      <c r="A12" t="s">
        <v>3530</v>
      </c>
    </row>
    <row r="13" spans="1:7" x14ac:dyDescent="0.35">
      <c r="B13" t="s">
        <v>3531</v>
      </c>
      <c r="C13" t="s">
        <v>68</v>
      </c>
      <c r="D13" t="s">
        <v>3529</v>
      </c>
    </row>
    <row r="15" spans="1:7" x14ac:dyDescent="0.35">
      <c r="A15" t="s">
        <v>3532</v>
      </c>
    </row>
    <row r="16" spans="1:7" x14ac:dyDescent="0.35">
      <c r="C16" t="s">
        <v>3533</v>
      </c>
      <c r="D16" t="s">
        <v>3534</v>
      </c>
    </row>
    <row r="18" spans="1:1" x14ac:dyDescent="0.35">
      <c r="A18" t="s">
        <v>3535</v>
      </c>
    </row>
    <row r="20" spans="1:1" x14ac:dyDescent="0.35">
      <c r="A20" t="s">
        <v>3536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Aquatic-Export</vt:lpstr>
      <vt:lpstr>References</vt:lpstr>
      <vt:lpstr>Search_Parameters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cp:lastModifiedBy>
  <dcterms:created xsi:type="dcterms:W3CDTF">2021-09-27T20:58:04Z</dcterms:created>
  <dcterms:modified xsi:type="dcterms:W3CDTF">2021-12-21T13:29:56Z</dcterms:modified>
</cp:coreProperties>
</file>