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queryTables/queryTable5.xml" ContentType="application/vnd.openxmlformats-officedocument.spreadsheetml.queryTable+xml"/>
  <Override PartName="/xl/tables/table21.xml" ContentType="application/vnd.openxmlformats-officedocument.spreadsheetml.table+xml"/>
  <Override PartName="/xl/queryTables/queryTable6.xml" ContentType="application/vnd.openxmlformats-officedocument.spreadsheetml.queryTable+xml"/>
  <Override PartName="/xl/tables/table22.xml" ContentType="application/vnd.openxmlformats-officedocument.spreadsheetml.table+xml"/>
  <Override PartName="/xl/queryTables/queryTable7.xml" ContentType="application/vnd.openxmlformats-officedocument.spreadsheetml.queryTable+xml"/>
  <Override PartName="/xl/tables/table23.xml" ContentType="application/vnd.openxmlformats-officedocument.spreadsheetml.table+xml"/>
  <Override PartName="/xl/queryTables/queryTable8.xml" ContentType="application/vnd.openxmlformats-officedocument.spreadsheetml.queryTable+xml"/>
  <Override PartName="/xl/tables/table24.xml" ContentType="application/vnd.openxmlformats-officedocument.spreadsheetml.table+xml"/>
  <Override PartName="/xl/queryTables/queryTable9.xml" ContentType="application/vnd.openxmlformats-officedocument.spreadsheetml.queryTable+xml"/>
  <Override PartName="/xl/tables/table25.xml" ContentType="application/vnd.openxmlformats-officedocument.spreadsheetml.table+xml"/>
  <Override PartName="/xl/queryTables/queryTable10.xml" ContentType="application/vnd.openxmlformats-officedocument.spreadsheetml.queryTable+xml"/>
  <Override PartName="/xl/tables/table26.xml" ContentType="application/vnd.openxmlformats-officedocument.spreadsheetml.table+xml"/>
  <Override PartName="/xl/queryTables/queryTable11.xml" ContentType="application/vnd.openxmlformats-officedocument.spreadsheetml.queryTable+xml"/>
  <Override PartName="/xl/tables/table27.xml" ContentType="application/vnd.openxmlformats-officedocument.spreadsheetml.table+xml"/>
  <Override PartName="/xl/queryTables/queryTable12.xml" ContentType="application/vnd.openxmlformats-officedocument.spreadsheetml.queryTable+xml"/>
  <Override PartName="/xl/tables/table28.xml" ContentType="application/vnd.openxmlformats-officedocument.spreadsheetml.table+xml"/>
  <Override PartName="/xl/queryTables/queryTable13.xml" ContentType="application/vnd.openxmlformats-officedocument.spreadsheetml.queryTable+xml"/>
  <Override PartName="/xl/tables/table29.xml" ContentType="application/vnd.openxmlformats-officedocument.spreadsheetml.table+xml"/>
  <Override PartName="/xl/queryTables/queryTable14.xml" ContentType="application/vnd.openxmlformats-officedocument.spreadsheetml.queryTable+xml"/>
  <Override PartName="/xl/tables/table30.xml" ContentType="application/vnd.openxmlformats-officedocument.spreadsheetml.table+xml"/>
  <Override PartName="/xl/queryTables/queryTable15.xml" ContentType="application/vnd.openxmlformats-officedocument.spreadsheetml.queryTable+xml"/>
  <Override PartName="/xl/tables/table31.xml" ContentType="application/vnd.openxmlformats-officedocument.spreadsheetml.table+xml"/>
  <Override PartName="/xl/queryTables/queryTable16.xml" ContentType="application/vnd.openxmlformats-officedocument.spreadsheetml.queryTable+xml"/>
  <Override PartName="/xl/tables/table32.xml" ContentType="application/vnd.openxmlformats-officedocument.spreadsheetml.table+xml"/>
  <Override PartName="/xl/queryTables/queryTable17.xml" ContentType="application/vnd.openxmlformats-officedocument.spreadsheetml.queryTable+xml"/>
  <Override PartName="/xl/tables/table33.xml" ContentType="application/vnd.openxmlformats-officedocument.spreadsheetml.table+xml"/>
  <Override PartName="/xl/queryTables/queryTable18.xml" ContentType="application/vnd.openxmlformats-officedocument.spreadsheetml.queryTable+xml"/>
  <Override PartName="/xl/tables/table34.xml" ContentType="application/vnd.openxmlformats-officedocument.spreadsheetml.table+xml"/>
  <Override PartName="/xl/queryTables/queryTable19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queryTables/queryTable20.xml" ContentType="application/vnd.openxmlformats-officedocument.spreadsheetml.queryTable+xml"/>
  <Override PartName="/xl/tables/table39.xml" ContentType="application/vnd.openxmlformats-officedocument.spreadsheetml.table+xml"/>
  <Override PartName="/xl/queryTables/queryTable21.xml" ContentType="application/vnd.openxmlformats-officedocument.spreadsheetml.queryTable+xml"/>
  <Override PartName="/xl/tables/table40.xml" ContentType="application/vnd.openxmlformats-officedocument.spreadsheetml.table+xml"/>
  <Override PartName="/xl/queryTables/queryTable22.xml" ContentType="application/vnd.openxmlformats-officedocument.spreadsheetml.queryTable+xml"/>
  <Override PartName="/xl/tables/table41.xml" ContentType="application/vnd.openxmlformats-officedocument.spreadsheetml.table+xml"/>
  <Override PartName="/xl/queryTables/queryTable23.xml" ContentType="application/vnd.openxmlformats-officedocument.spreadsheetml.queryTable+xml"/>
  <Override PartName="/xl/tables/table42.xml" ContentType="application/vnd.openxmlformats-officedocument.spreadsheetml.table+xml"/>
  <Override PartName="/xl/queryTables/queryTable24.xml" ContentType="application/vnd.openxmlformats-officedocument.spreadsheetml.queryTable+xml"/>
  <Override PartName="/xl/tables/table43.xml" ContentType="application/vnd.openxmlformats-officedocument.spreadsheetml.table+xml"/>
  <Override PartName="/xl/queryTables/queryTable25.xml" ContentType="application/vnd.openxmlformats-officedocument.spreadsheetml.queryTable+xml"/>
  <Override PartName="/xl/tables/table44.xml" ContentType="application/vnd.openxmlformats-officedocument.spreadsheetml.table+xml"/>
  <Override PartName="/xl/queryTables/queryTable26.xml" ContentType="application/vnd.openxmlformats-officedocument.spreadsheetml.query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queryTables/queryTable27.xml" ContentType="application/vnd.openxmlformats-officedocument.spreadsheetml.queryTable+xml"/>
  <Override PartName="/xl/tables/table47.xml" ContentType="application/vnd.openxmlformats-officedocument.spreadsheetml.table+xml"/>
  <Override PartName="/xl/queryTables/queryTable28.xml" ContentType="application/vnd.openxmlformats-officedocument.spreadsheetml.queryTable+xml"/>
  <Override PartName="/xl/tables/table48.xml" ContentType="application/vnd.openxmlformats-officedocument.spreadsheetml.table+xml"/>
  <Override PartName="/xl/queryTables/queryTable29.xml" ContentType="application/vnd.openxmlformats-officedocument.spreadsheetml.queryTable+xml"/>
  <Override PartName="/xl/tables/table49.xml" ContentType="application/vnd.openxmlformats-officedocument.spreadsheetml.table+xml"/>
  <Override PartName="/xl/queryTables/queryTable30.xml" ContentType="application/vnd.openxmlformats-officedocument.spreadsheetml.queryTable+xml"/>
  <Override PartName="/xl/tables/table50.xml" ContentType="application/vnd.openxmlformats-officedocument.spreadsheetml.table+xml"/>
  <Override PartName="/xl/queryTables/queryTable31.xml" ContentType="application/vnd.openxmlformats-officedocument.spreadsheetml.queryTable+xml"/>
  <Override PartName="/xl/tables/table51.xml" ContentType="application/vnd.openxmlformats-officedocument.spreadsheetml.table+xml"/>
  <Override PartName="/xl/queryTables/queryTable32.xml" ContentType="application/vnd.openxmlformats-officedocument.spreadsheetml.queryTable+xml"/>
  <Override PartName="/xl/tables/table52.xml" ContentType="application/vnd.openxmlformats-officedocument.spreadsheetml.table+xml"/>
  <Override PartName="/xl/queryTables/queryTable33.xml" ContentType="application/vnd.openxmlformats-officedocument.spreadsheetml.queryTable+xml"/>
  <Override PartName="/xl/tables/table53.xml" ContentType="application/vnd.openxmlformats-officedocument.spreadsheetml.table+xml"/>
  <Override PartName="/xl/queryTables/queryTable34.xml" ContentType="application/vnd.openxmlformats-officedocument.spreadsheetml.queryTable+xml"/>
  <Override PartName="/xl/tables/table54.xml" ContentType="application/vnd.openxmlformats-officedocument.spreadsheetml.table+xml"/>
  <Override PartName="/xl/queryTables/queryTable35.xml" ContentType="application/vnd.openxmlformats-officedocument.spreadsheetml.queryTable+xml"/>
  <Override PartName="/xl/tables/table55.xml" ContentType="application/vnd.openxmlformats-officedocument.spreadsheetml.table+xml"/>
  <Override PartName="/xl/queryTables/queryTable36.xml" ContentType="application/vnd.openxmlformats-officedocument.spreadsheetml.queryTable+xml"/>
  <Override PartName="/xl/tables/table56.xml" ContentType="application/vnd.openxmlformats-officedocument.spreadsheetml.table+xml"/>
  <Override PartName="/xl/queryTables/queryTable37.xml" ContentType="application/vnd.openxmlformats-officedocument.spreadsheetml.queryTable+xml"/>
  <Override PartName="/xl/tables/table57.xml" ContentType="application/vnd.openxmlformats-officedocument.spreadsheetml.table+xml"/>
  <Override PartName="/xl/queryTables/queryTable38.xml" ContentType="application/vnd.openxmlformats-officedocument.spreadsheetml.queryTable+xml"/>
  <Override PartName="/xl/tables/table58.xml" ContentType="application/vnd.openxmlformats-officedocument.spreadsheetml.table+xml"/>
  <Override PartName="/xl/queryTables/queryTable39.xml" ContentType="application/vnd.openxmlformats-officedocument.spreadsheetml.queryTable+xml"/>
  <Override PartName="/xl/tables/table59.xml" ContentType="application/vnd.openxmlformats-officedocument.spreadsheetml.table+xml"/>
  <Override PartName="/xl/queryTables/queryTable40.xml" ContentType="application/vnd.openxmlformats-officedocument.spreadsheetml.queryTable+xml"/>
  <Override PartName="/xl/tables/table60.xml" ContentType="application/vnd.openxmlformats-officedocument.spreadsheetml.table+xml"/>
  <Override PartName="/xl/queryTables/queryTable41.xml" ContentType="application/vnd.openxmlformats-officedocument.spreadsheetml.queryTable+xml"/>
  <Override PartName="/xl/tables/table61.xml" ContentType="application/vnd.openxmlformats-officedocument.spreadsheetml.table+xml"/>
  <Override PartName="/xl/queryTables/queryTable42.xml" ContentType="application/vnd.openxmlformats-officedocument.spreadsheetml.query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6f56161274c184/Documents/GIT/"/>
    </mc:Choice>
  </mc:AlternateContent>
  <xr:revisionPtr revIDLastSave="0" documentId="8_{3080DFBF-C06C-4FAB-AEA4-B39607C71FC1}" xr6:coauthVersionLast="47" xr6:coauthVersionMax="47" xr10:uidLastSave="{00000000-0000-0000-0000-000000000000}"/>
  <bookViews>
    <workbookView xWindow="-110" yWindow="-110" windowWidth="22780" windowHeight="14540" tabRatio="623" firstSheet="24" activeTab="27" xr2:uid="{00000000-000D-0000-FFFF-FFFF00000000}"/>
  </bookViews>
  <sheets>
    <sheet name="HOME  (3)" sheetId="1" r:id="rId1"/>
    <sheet name="AWAY (2)" sheetId="2" r:id="rId2"/>
    <sheet name="PREDICTION" sheetId="3" r:id="rId3"/>
    <sheet name="Data entry" sheetId="4" r:id="rId4"/>
    <sheet name="Brentford" sheetId="27" r:id="rId5"/>
    <sheet name="Getafe" sheetId="54" r:id="rId6"/>
    <sheet name="Ipswich Town" sheetId="28" r:id="rId7"/>
    <sheet name="Celta Vigo" sheetId="52" r:id="rId8"/>
    <sheet name="Alavés" sheetId="38" r:id="rId9"/>
    <sheet name="Real Sociedad" sheetId="53" r:id="rId10"/>
    <sheet name="Osasuna" sheetId="40" r:id="rId11"/>
    <sheet name="Bayer Leverkusen" sheetId="39" r:id="rId12"/>
    <sheet name="Villarreal" sheetId="44" r:id="rId13"/>
    <sheet name="Leganés" sheetId="43" r:id="rId14"/>
    <sheet name="Girona" sheetId="42" r:id="rId15"/>
    <sheet name="Real Valladolid" sheetId="41" r:id="rId16"/>
    <sheet name="Atlético Madrid" sheetId="47" r:id="rId17"/>
    <sheet name="Real Madrid" sheetId="46" r:id="rId18"/>
    <sheet name="Laliga Teams" sheetId="16" r:id="rId19"/>
    <sheet name="Sevilla" sheetId="51" r:id="rId20"/>
    <sheet name="Valencia (2)" sheetId="45" r:id="rId21"/>
    <sheet name="criteria" sheetId="5" r:id="rId22"/>
    <sheet name="Tottenham Hotspur" sheetId="34" r:id="rId23"/>
    <sheet name="Manchester United" sheetId="33" r:id="rId24"/>
    <sheet name="Everton" sheetId="32" r:id="rId25"/>
    <sheet name="Arsenal" sheetId="31" r:id="rId26"/>
    <sheet name="Newcastle United" sheetId="30" r:id="rId27"/>
    <sheet name="Premier League" sheetId="17" r:id="rId28"/>
    <sheet name="Tottehnam" sheetId="36" r:id="rId29"/>
    <sheet name="Chelsea" sheetId="35" r:id="rId30"/>
    <sheet name="Leicester City" sheetId="22" r:id="rId31"/>
    <sheet name="AFC Bournemouth" sheetId="23" r:id="rId32"/>
    <sheet name="Wolverhampton Wanderers" sheetId="26" r:id="rId33"/>
    <sheet name="Tables" sheetId="18" r:id="rId34"/>
    <sheet name="Southampton" sheetId="24" r:id="rId35"/>
    <sheet name="Brighton" sheetId="25" r:id="rId36"/>
    <sheet name="Athletic Club" sheetId="37" r:id="rId37"/>
    <sheet name="Real Betis" sheetId="50" r:id="rId38"/>
    <sheet name="Espanyol" sheetId="49" r:id="rId39"/>
    <sheet name="Barcelona" sheetId="48" r:id="rId40"/>
    <sheet name="Game progress" sheetId="19" r:id="rId41"/>
  </sheets>
  <definedNames>
    <definedName name="Alaves">'Laliga Teams'!$C$2:$E$12</definedName>
    <definedName name="ExternalData_1" localSheetId="36" hidden="1">'Athletic Club'!$A$1:$I$18</definedName>
    <definedName name="ExternalData_1" localSheetId="39" hidden="1">Barcelona!$A$1:$I$21</definedName>
    <definedName name="ExternalData_1" localSheetId="4" hidden="1">Brentford!$A$1:$I$19</definedName>
    <definedName name="ExternalData_1" localSheetId="35" hidden="1">Brighton!$A$1:$I$15</definedName>
    <definedName name="ExternalData_1" localSheetId="7" hidden="1">'Celta Vigo'!$A$1:$I$15</definedName>
    <definedName name="ExternalData_1" localSheetId="5" hidden="1">Getafe!$A$1:$I$15</definedName>
    <definedName name="ExternalData_1" localSheetId="30" hidden="1">'Leicester City'!$A$1:$H$18</definedName>
    <definedName name="ExternalData_1" localSheetId="34" hidden="1">Southampton!$A$1:$I$15</definedName>
    <definedName name="ExternalData_1" localSheetId="33" hidden="1">Tables!$A$2:$C$22</definedName>
    <definedName name="ExternalData_10" localSheetId="13" hidden="1">Leganés!$A$1:$I$14</definedName>
    <definedName name="ExternalData_10" localSheetId="27" hidden="1">'Premier League'!$A$102:$H$115</definedName>
    <definedName name="ExternalData_10" localSheetId="9" hidden="1">'Real Sociedad'!$A$1:$I$18</definedName>
    <definedName name="ExternalData_11" localSheetId="27" hidden="1">'Premier League'!$A$159:$H$179</definedName>
    <definedName name="ExternalData_11" localSheetId="12" hidden="1">Villarreal!$A$1:$I$14</definedName>
    <definedName name="ExternalData_12" localSheetId="26" hidden="1">'Newcastle United'!$A$1:$I$16</definedName>
    <definedName name="ExternalData_13" localSheetId="25" hidden="1">Arsenal!$A$1:$I$23</definedName>
    <definedName name="ExternalData_14" localSheetId="24" hidden="1">Everton!$A$1:$I$16</definedName>
    <definedName name="ExternalData_15" localSheetId="23" hidden="1">'Manchester United'!$A$1:$I$23</definedName>
    <definedName name="ExternalData_16" localSheetId="22" hidden="1">'Tottenham Hotspur'!$A$1:$I$24</definedName>
    <definedName name="ExternalData_2" localSheetId="31" hidden="1">'AFC Bournemouth'!$A$1:$I$15</definedName>
    <definedName name="ExternalData_2" localSheetId="38" hidden="1">Espanyol!$A$1:$I$13</definedName>
    <definedName name="ExternalData_2" localSheetId="6" hidden="1">'Ipswich Town'!$A$1:$I$12</definedName>
    <definedName name="ExternalData_2" localSheetId="28" hidden="1">Tottehnam!$B$2:$G$18</definedName>
    <definedName name="ExternalData_2" localSheetId="32" hidden="1">'Wolverhampton Wanderers'!$A$1:$H$15</definedName>
    <definedName name="ExternalData_3" localSheetId="27" hidden="1">'Premier League'!$L$107:$Q$119</definedName>
    <definedName name="ExternalData_3" localSheetId="37" hidden="1">'Real Betis'!$A$1:$I$25</definedName>
    <definedName name="ExternalData_4" localSheetId="18" hidden="1">'Laliga Teams'!$N$88:$U$100</definedName>
    <definedName name="ExternalData_5" localSheetId="18" hidden="1">'Laliga Teams'!$A$39:$H$52</definedName>
    <definedName name="ExternalData_5" localSheetId="27" hidden="1">'Premier League'!$K$47:$S$67</definedName>
    <definedName name="ExternalData_6" localSheetId="27" hidden="1">'Premier League'!$AB$3:$AI$15</definedName>
    <definedName name="ExternalData_7" localSheetId="18" hidden="1">'Laliga Teams'!$A$105:$H$120</definedName>
    <definedName name="ExternalData_7" localSheetId="27" hidden="1">'Premier League'!$A$47:$H$68</definedName>
    <definedName name="ExternalData_8" localSheetId="8" hidden="1">Alavés!$A$1:$I$16</definedName>
    <definedName name="ExternalData_8" localSheetId="11" hidden="1">'Bayer Leverkusen'!$A$1:$I$18</definedName>
    <definedName name="ExternalData_8" localSheetId="27" hidden="1">'Premier League'!$W$142:$AD$166</definedName>
    <definedName name="ExternalData_8" localSheetId="17" hidden="1">'Real Madrid'!$A$1:$I$20</definedName>
    <definedName name="ExternalData_8" localSheetId="15" hidden="1">'Real Valladolid'!$A$1:$I$15</definedName>
    <definedName name="ExternalData_8" localSheetId="20" hidden="1">'Valencia (2)'!$A$1:$H$13</definedName>
    <definedName name="ExternalData_9" localSheetId="16" hidden="1">'Atlético Madrid'!$A$1:$I$22</definedName>
    <definedName name="ExternalData_9" localSheetId="29" hidden="1">'Chelsea'!$C$1:$J$27</definedName>
    <definedName name="ExternalData_9" localSheetId="14" hidden="1">Girona!$A$1:$I$18</definedName>
    <definedName name="ExternalData_9" localSheetId="10" hidden="1">Osasuna!$A$1:$I$14</definedName>
    <definedName name="ExternalData_9" localSheetId="19" hidden="1">Sevilla!$A$1:$I$16</definedName>
    <definedName name="Google_Sheet_Link_387870058" hidden="1">H2H</definedName>
    <definedName name="H2H">'Data entry'!$I$6:$L$10</definedName>
    <definedName name="home">PREDICTION!$B$4144</definedName>
    <definedName name="ITALY">#REF!</definedName>
    <definedName name="real_valladolid">#REF!</definedName>
    <definedName name="Tottenham" comment="this Name stores the data for the data entry table">#REF!</definedName>
    <definedName name="WestHam" comment="Stores resulf for west ham">Tottehnam!$C$8+Tottehnam!$D$3:$F$13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West Ham United_50d58630-c9b2-4d93-ae10-c3c070b91f3b" name="West Ham United" connection="Query - West Ham United"/>
          <x15:modelTable id="Fulham_fd5db90c-a6ff-45d0-b887-bd1e1d213972" name="Fulham" connection="Query - Fulham"/>
          <x15:modelTable id="Aston Villa  2_f4ac18f0-51d5-49a7-9845-a78b1fcecdad" name="Aston Villa  2" connection="Query - Aston Villa (2)"/>
          <x15:modelTable id="Manchester City_1a142b6e-bc2c-41ec-a78b-8a21918db67f" name="Manchester City" connection="Query - Manchester City"/>
          <x15:modelTable id="Liverpool_38ba74e0-1573-4bec-aa5d-239b3ec8a806" name="Liverpool" connection="Query - Liverpool"/>
          <x15:modelTable id="Chelsea_05e38ecc-c102-4517-bb42-89c50a880475" name="Chelsea" connection="Query - Chelsea"/>
          <x15:modelTable id="Mallorca_2cd2405b-4b25-40fd-9808-8f1c884cdb1b" name="Mallorca" connection="Query - Mallorca"/>
          <x15:modelTable id="Nottingham Forest_7b125fa7-16a7-4015-9455-b1b52aff7256" name="Nottingham Forest" connection="Query - Nottingham Forest"/>
          <x15:modelTable id="Crystal Palace_74e271be-7933-453b-95bc-b1d9985ecbcb" name="Crystal Palace" connection="Query - Crystal Palace]"/>
          <x15:modelTable id="Las Palmas_3599d9d1-6a57-4817-8810-76e88bef6977" name="Las Palmas" connection="Query - Las Palmas"/>
          <x15:modelTable id="Valencia  2_53532fc6-d38c-4fe8-bb5a-baaac70cb7d7" name="Valencia  2" connection="Query - Valencia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4" l="1"/>
  <c r="L18" i="4"/>
  <c r="F4" i="19"/>
  <c r="L6" i="19"/>
  <c r="L5" i="19"/>
  <c r="L4" i="19"/>
  <c r="M7" i="4"/>
  <c r="M8" i="4"/>
  <c r="M9" i="4"/>
  <c r="M10" i="4"/>
  <c r="B15" i="4"/>
  <c r="F7" i="19"/>
  <c r="G7" i="19" s="1"/>
  <c r="F8" i="19"/>
  <c r="G8" i="19" s="1"/>
  <c r="F9" i="19"/>
  <c r="G9" i="19" s="1"/>
  <c r="F10" i="19"/>
  <c r="G10" i="19" s="1"/>
  <c r="F11" i="19"/>
  <c r="Q5" i="19"/>
  <c r="Q6" i="19"/>
  <c r="R6" i="19" s="1"/>
  <c r="Q7" i="19"/>
  <c r="R7" i="19" s="1"/>
  <c r="Q8" i="19"/>
  <c r="R8" i="19" s="1"/>
  <c r="Q9" i="19"/>
  <c r="R9" i="19" s="1"/>
  <c r="Q10" i="19"/>
  <c r="R10" i="19" s="1"/>
  <c r="Q11" i="19"/>
  <c r="Q12" i="19"/>
  <c r="T7" i="19"/>
  <c r="Q4" i="19"/>
  <c r="R4" i="19" s="1"/>
  <c r="T4" i="19"/>
  <c r="T6" i="19"/>
  <c r="T8" i="19"/>
  <c r="T9" i="19"/>
  <c r="T10" i="19"/>
  <c r="A8" i="19"/>
  <c r="I8" i="19"/>
  <c r="A7" i="19"/>
  <c r="I7" i="19"/>
  <c r="G11" i="19"/>
  <c r="I11" i="19"/>
  <c r="I9" i="19"/>
  <c r="A6" i="19"/>
  <c r="I6" i="19"/>
  <c r="F6" i="19" s="1"/>
  <c r="G6" i="19" s="1"/>
  <c r="I10" i="19"/>
  <c r="I12" i="19"/>
  <c r="F12" i="19" s="1"/>
  <c r="T5" i="19"/>
  <c r="T12" i="19"/>
  <c r="T11" i="19"/>
  <c r="I5" i="19"/>
  <c r="F5" i="19" s="1"/>
  <c r="I4" i="19"/>
  <c r="A5" i="19"/>
  <c r="A4" i="19"/>
  <c r="R5" i="19" l="1"/>
  <c r="R11" i="19"/>
  <c r="G12" i="19"/>
  <c r="R12" i="19"/>
  <c r="G5" i="19"/>
  <c r="G4" i="19"/>
  <c r="Q13" i="19"/>
  <c r="M48" i="19"/>
  <c r="N48" i="19" s="1"/>
  <c r="M49" i="19"/>
  <c r="N49" i="19" s="1"/>
  <c r="M50" i="19"/>
  <c r="N50" i="19" s="1"/>
  <c r="M51" i="19"/>
  <c r="N51" i="19" s="1"/>
  <c r="M52" i="19"/>
  <c r="N52" i="19" s="1"/>
  <c r="M53" i="19"/>
  <c r="N53" i="19" s="1"/>
  <c r="M54" i="19"/>
  <c r="N54" i="19" s="1"/>
  <c r="M46" i="19"/>
  <c r="N46" i="19" s="1"/>
  <c r="P16" i="4"/>
  <c r="R13" i="19" l="1"/>
  <c r="S12" i="19" s="1"/>
  <c r="G13" i="19"/>
  <c r="H12" i="19" s="1"/>
  <c r="M47" i="19"/>
  <c r="N47" i="19" s="1"/>
  <c r="K3" i="2"/>
  <c r="C15" i="4"/>
  <c r="H11" i="19" l="1"/>
  <c r="S11" i="19"/>
  <c r="M55" i="19"/>
  <c r="N45" i="19"/>
  <c r="N55" i="19" s="1"/>
  <c r="E4" i="2"/>
  <c r="E5" i="2"/>
  <c r="E6" i="2"/>
  <c r="E7" i="2"/>
  <c r="E8" i="2"/>
  <c r="E9" i="2"/>
  <c r="E10" i="2"/>
  <c r="E11" i="2"/>
  <c r="E12" i="2"/>
  <c r="E13" i="2"/>
  <c r="E3" i="2"/>
  <c r="C22" i="3"/>
  <c r="J22" i="3" s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22" i="3"/>
  <c r="I22" i="3" s="1"/>
  <c r="M6" i="4"/>
  <c r="Q16" i="4"/>
  <c r="F40" i="3"/>
  <c r="C23" i="3"/>
  <c r="J23" i="3" s="1"/>
  <c r="B23" i="3"/>
  <c r="I23" i="3" s="1"/>
  <c r="C14" i="3"/>
  <c r="H43" i="2"/>
  <c r="H42" i="2"/>
  <c r="H33" i="2" a="1"/>
  <c r="H36" i="2" s="1"/>
  <c r="K13" i="2"/>
  <c r="H13" i="2"/>
  <c r="C13" i="2"/>
  <c r="B13" i="2"/>
  <c r="A13" i="2"/>
  <c r="K12" i="2"/>
  <c r="H12" i="2"/>
  <c r="C12" i="2"/>
  <c r="B12" i="2"/>
  <c r="A12" i="2"/>
  <c r="K11" i="2"/>
  <c r="H11" i="2"/>
  <c r="C11" i="2"/>
  <c r="B11" i="2"/>
  <c r="A11" i="2"/>
  <c r="K10" i="2"/>
  <c r="H10" i="2"/>
  <c r="C10" i="2"/>
  <c r="B10" i="2"/>
  <c r="A10" i="2"/>
  <c r="K9" i="2"/>
  <c r="H9" i="2"/>
  <c r="C9" i="2"/>
  <c r="B9" i="2"/>
  <c r="A9" i="2"/>
  <c r="K8" i="2"/>
  <c r="H8" i="2"/>
  <c r="C8" i="2"/>
  <c r="B8" i="2"/>
  <c r="A8" i="2"/>
  <c r="K7" i="2"/>
  <c r="H7" i="2"/>
  <c r="C7" i="2"/>
  <c r="B7" i="2"/>
  <c r="A7" i="2"/>
  <c r="K6" i="2"/>
  <c r="H6" i="2"/>
  <c r="C6" i="2"/>
  <c r="B6" i="2"/>
  <c r="A6" i="2"/>
  <c r="K5" i="2"/>
  <c r="H5" i="2"/>
  <c r="C5" i="2"/>
  <c r="B5" i="2"/>
  <c r="A5" i="2"/>
  <c r="K4" i="2"/>
  <c r="H4" i="2"/>
  <c r="C4" i="2"/>
  <c r="B4" i="2"/>
  <c r="A4" i="2"/>
  <c r="H3" i="2"/>
  <c r="C3" i="2"/>
  <c r="B3" i="2"/>
  <c r="A3" i="2"/>
  <c r="I39" i="1"/>
  <c r="I38" i="1"/>
  <c r="H29" i="1" a="1"/>
  <c r="K31" i="1" s="1"/>
  <c r="K13" i="1"/>
  <c r="H13" i="1"/>
  <c r="E13" i="1"/>
  <c r="A13" i="1"/>
  <c r="K12" i="1"/>
  <c r="H12" i="1"/>
  <c r="E12" i="1"/>
  <c r="A12" i="1"/>
  <c r="K11" i="1"/>
  <c r="H11" i="1"/>
  <c r="E11" i="1"/>
  <c r="A11" i="1"/>
  <c r="K10" i="1"/>
  <c r="H10" i="1"/>
  <c r="E10" i="1"/>
  <c r="A10" i="1"/>
  <c r="K9" i="1"/>
  <c r="H9" i="1"/>
  <c r="E9" i="1"/>
  <c r="A9" i="1"/>
  <c r="K8" i="1"/>
  <c r="H8" i="1"/>
  <c r="E8" i="1"/>
  <c r="A8" i="1"/>
  <c r="K7" i="1"/>
  <c r="H7" i="1"/>
  <c r="E7" i="1"/>
  <c r="A7" i="1"/>
  <c r="K6" i="1"/>
  <c r="H6" i="1"/>
  <c r="E6" i="1"/>
  <c r="A6" i="1"/>
  <c r="K5" i="1"/>
  <c r="H5" i="1"/>
  <c r="E5" i="1"/>
  <c r="A5" i="1"/>
  <c r="K4" i="1"/>
  <c r="H4" i="1"/>
  <c r="E4" i="1"/>
  <c r="A4" i="1"/>
  <c r="K3" i="1"/>
  <c r="H3" i="1"/>
  <c r="E3" i="1"/>
  <c r="A3" i="1"/>
  <c r="F5" i="2" l="1"/>
  <c r="G5" i="2" s="1" a="1"/>
  <c r="G5" i="2" s="1"/>
  <c r="I5" i="2" s="1"/>
  <c r="F3" i="2"/>
  <c r="G3" i="2" s="1" a="1"/>
  <c r="G3" i="2" s="1"/>
  <c r="I3" i="2" s="1"/>
  <c r="C27" i="3"/>
  <c r="C26" i="3" s="1"/>
  <c r="J26" i="3"/>
  <c r="B27" i="3"/>
  <c r="I26" i="3"/>
  <c r="C20" i="2"/>
  <c r="B20" i="2"/>
  <c r="L3" i="1"/>
  <c r="F6" i="1"/>
  <c r="G6" i="1" s="1" a="1"/>
  <c r="G6" i="1" s="1"/>
  <c r="I6" i="1" s="1"/>
  <c r="J35" i="2"/>
  <c r="H14" i="1"/>
  <c r="D12" i="2"/>
  <c r="D13" i="2"/>
  <c r="F9" i="2"/>
  <c r="G9" i="2" s="1" a="1"/>
  <c r="G9" i="2" s="1"/>
  <c r="I9" i="2" s="1"/>
  <c r="F6" i="2"/>
  <c r="G6" i="2" s="1" a="1"/>
  <c r="G6" i="2" s="1"/>
  <c r="I6" i="2" s="1"/>
  <c r="L8" i="2"/>
  <c r="D6" i="1"/>
  <c r="L10" i="1"/>
  <c r="L13" i="1"/>
  <c r="L5" i="1"/>
  <c r="F3" i="1"/>
  <c r="G3" i="1" s="1" a="1"/>
  <c r="G3" i="1" s="1"/>
  <c r="F7" i="1"/>
  <c r="G7" i="1" s="1" a="1"/>
  <c r="G7" i="1" s="1"/>
  <c r="I7" i="1" s="1"/>
  <c r="L9" i="1"/>
  <c r="F11" i="2"/>
  <c r="G11" i="2" s="1" a="1"/>
  <c r="G11" i="2" s="1"/>
  <c r="I11" i="2" s="1"/>
  <c r="L12" i="2"/>
  <c r="D6" i="2"/>
  <c r="F12" i="1"/>
  <c r="G12" i="1" s="1" a="1"/>
  <c r="G12" i="1" s="1"/>
  <c r="J12" i="1" s="1"/>
  <c r="M12" i="1" s="1"/>
  <c r="F13" i="2"/>
  <c r="G13" i="2" s="1" a="1"/>
  <c r="G13" i="2" s="1"/>
  <c r="I13" i="2" s="1"/>
  <c r="F12" i="2"/>
  <c r="G12" i="2" s="1" a="1"/>
  <c r="G12" i="2" s="1"/>
  <c r="I12" i="2" s="1"/>
  <c r="L11" i="2"/>
  <c r="D11" i="2"/>
  <c r="D8" i="2"/>
  <c r="F8" i="2"/>
  <c r="G8" i="2" s="1" a="1"/>
  <c r="G8" i="2" s="1"/>
  <c r="I8" i="2" s="1"/>
  <c r="D7" i="2"/>
  <c r="F7" i="2"/>
  <c r="G7" i="2" s="1" a="1"/>
  <c r="G7" i="2" s="1"/>
  <c r="I7" i="2" s="1"/>
  <c r="L7" i="2"/>
  <c r="L5" i="2"/>
  <c r="D5" i="2"/>
  <c r="D4" i="2"/>
  <c r="D13" i="1"/>
  <c r="F13" i="1"/>
  <c r="G13" i="1" s="1" a="1"/>
  <c r="G13" i="1" s="1"/>
  <c r="J13" i="1" s="1"/>
  <c r="M13" i="1" s="1"/>
  <c r="D11" i="1"/>
  <c r="F10" i="1"/>
  <c r="G10" i="1" s="1" a="1"/>
  <c r="G10" i="1" s="1"/>
  <c r="I10" i="1" s="1"/>
  <c r="D9" i="1"/>
  <c r="F9" i="1"/>
  <c r="G9" i="1" s="1" a="1"/>
  <c r="G9" i="1" s="1"/>
  <c r="I9" i="1" s="1"/>
  <c r="L8" i="1"/>
  <c r="D5" i="1"/>
  <c r="F5" i="1"/>
  <c r="G5" i="1" s="1" a="1"/>
  <c r="G5" i="1" s="1"/>
  <c r="I5" i="1" s="1"/>
  <c r="F4" i="1"/>
  <c r="G4" i="1" s="1" a="1"/>
  <c r="G4" i="1" s="1"/>
  <c r="I4" i="1" s="1"/>
  <c r="K32" i="1"/>
  <c r="J33" i="1"/>
  <c r="D8" i="1"/>
  <c r="D10" i="1"/>
  <c r="K33" i="1"/>
  <c r="D12" i="1"/>
  <c r="I29" i="1"/>
  <c r="C14" i="1"/>
  <c r="D3" i="1"/>
  <c r="J29" i="1"/>
  <c r="F8" i="1"/>
  <c r="G8" i="1" s="1" a="1"/>
  <c r="G8" i="1" s="1"/>
  <c r="I8" i="1" s="1"/>
  <c r="L12" i="1"/>
  <c r="H30" i="1"/>
  <c r="C22" i="1"/>
  <c r="B20" i="1"/>
  <c r="B23" i="1"/>
  <c r="C20" i="1"/>
  <c r="B24" i="2"/>
  <c r="D24" i="2" s="1"/>
  <c r="L4" i="2"/>
  <c r="L10" i="2"/>
  <c r="F10" i="2"/>
  <c r="G10" i="2" s="1" a="1"/>
  <c r="G10" i="2" s="1"/>
  <c r="I10" i="2" s="1"/>
  <c r="C14" i="2"/>
  <c r="C5" i="3" s="1"/>
  <c r="B22" i="1"/>
  <c r="I30" i="1"/>
  <c r="J15" i="3"/>
  <c r="J4" i="3"/>
  <c r="B14" i="2"/>
  <c r="C15" i="3" s="1"/>
  <c r="B21" i="2" a="1"/>
  <c r="B21" i="2" s="1"/>
  <c r="D21" i="2" s="1"/>
  <c r="L3" i="2"/>
  <c r="D3" i="2"/>
  <c r="B23" i="2"/>
  <c r="B21" i="1" a="1"/>
  <c r="B21" i="1" s="1"/>
  <c r="D21" i="1" s="1"/>
  <c r="I31" i="1"/>
  <c r="J10" i="3"/>
  <c r="F4" i="2"/>
  <c r="G4" i="2" s="1" a="1"/>
  <c r="G4" i="2" s="1"/>
  <c r="I4" i="2" s="1"/>
  <c r="L9" i="2"/>
  <c r="D9" i="2"/>
  <c r="D10" i="2"/>
  <c r="L7" i="1"/>
  <c r="D7" i="1"/>
  <c r="B24" i="1"/>
  <c r="D24" i="1" s="1"/>
  <c r="L13" i="2"/>
  <c r="J31" i="1"/>
  <c r="B4" i="3"/>
  <c r="I15" i="3"/>
  <c r="I4" i="3"/>
  <c r="C42" i="3" s="1"/>
  <c r="B14" i="1"/>
  <c r="L4" i="1"/>
  <c r="D4" i="1"/>
  <c r="L6" i="1"/>
  <c r="C23" i="1"/>
  <c r="B10" i="3"/>
  <c r="B5" i="3"/>
  <c r="I10" i="3"/>
  <c r="I5" i="3"/>
  <c r="F11" i="1"/>
  <c r="L11" i="1"/>
  <c r="J32" i="1"/>
  <c r="J30" i="1"/>
  <c r="H32" i="1"/>
  <c r="K29" i="1"/>
  <c r="I33" i="1"/>
  <c r="H31" i="1"/>
  <c r="H29" i="1"/>
  <c r="H33" i="1"/>
  <c r="K30" i="1"/>
  <c r="I32" i="1"/>
  <c r="L6" i="2"/>
  <c r="J36" i="2"/>
  <c r="J34" i="2"/>
  <c r="I36" i="2"/>
  <c r="I34" i="2"/>
  <c r="K37" i="2"/>
  <c r="K35" i="2"/>
  <c r="K33" i="2"/>
  <c r="K36" i="2"/>
  <c r="K34" i="2"/>
  <c r="H33" i="2"/>
  <c r="H37" i="2"/>
  <c r="J5" i="3"/>
  <c r="C22" i="2"/>
  <c r="C23" i="2"/>
  <c r="I33" i="2"/>
  <c r="I37" i="2"/>
  <c r="J33" i="2"/>
  <c r="J37" i="2"/>
  <c r="H34" i="2"/>
  <c r="B22" i="2"/>
  <c r="H35" i="2"/>
  <c r="H14" i="2"/>
  <c r="I35" i="2"/>
  <c r="C10" i="3"/>
  <c r="J16" i="3" l="1"/>
  <c r="J17" i="3" s="1"/>
  <c r="F27" i="2"/>
  <c r="J11" i="3"/>
  <c r="C11" i="3"/>
  <c r="D40" i="3"/>
  <c r="I11" i="3"/>
  <c r="D42" i="3"/>
  <c r="L10" i="3"/>
  <c r="J3" i="1"/>
  <c r="I3" i="1"/>
  <c r="F25" i="1" s="1"/>
  <c r="F26" i="1" s="1"/>
  <c r="I3" i="3" s="1"/>
  <c r="B26" i="3"/>
  <c r="E16" i="2"/>
  <c r="L35" i="2"/>
  <c r="I7" i="3"/>
  <c r="F42" i="3" s="1"/>
  <c r="I12" i="1"/>
  <c r="I6" i="3"/>
  <c r="E42" i="3" s="1"/>
  <c r="P33" i="1"/>
  <c r="O33" i="1"/>
  <c r="N33" i="1"/>
  <c r="L33" i="1"/>
  <c r="N35" i="2"/>
  <c r="D20" i="2"/>
  <c r="D23" i="2"/>
  <c r="E10" i="3"/>
  <c r="J3" i="2"/>
  <c r="M3" i="2" s="1"/>
  <c r="I13" i="1"/>
  <c r="I9" i="3"/>
  <c r="F27" i="1"/>
  <c r="D14" i="1"/>
  <c r="B9" i="3" s="1"/>
  <c r="I8" i="3"/>
  <c r="G42" i="3" s="1"/>
  <c r="B29" i="1"/>
  <c r="B7" i="3" s="1"/>
  <c r="G11" i="1" a="1"/>
  <c r="G11" i="1" s="1"/>
  <c r="B28" i="1"/>
  <c r="D28" i="1" s="1"/>
  <c r="B6" i="3" s="1"/>
  <c r="E40" i="3" s="1"/>
  <c r="D20" i="1"/>
  <c r="B15" i="3" s="1"/>
  <c r="M33" i="1"/>
  <c r="K39" i="1"/>
  <c r="B30" i="1"/>
  <c r="D30" i="1" s="1"/>
  <c r="B8" i="3" s="1"/>
  <c r="I16" i="3"/>
  <c r="I17" i="3" s="1"/>
  <c r="P29" i="1"/>
  <c r="Q29" i="1"/>
  <c r="M29" i="1"/>
  <c r="N29" i="1"/>
  <c r="G43" i="1"/>
  <c r="L29" i="1"/>
  <c r="K38" i="1"/>
  <c r="M10" i="3"/>
  <c r="N37" i="2"/>
  <c r="M37" i="2"/>
  <c r="L37" i="2"/>
  <c r="N32" i="1"/>
  <c r="Q32" i="1"/>
  <c r="L32" i="1"/>
  <c r="G42" i="1"/>
  <c r="O32" i="1"/>
  <c r="P32" i="1"/>
  <c r="M32" i="1"/>
  <c r="J9" i="3"/>
  <c r="O20" i="2" a="1"/>
  <c r="J20" i="2" a="1"/>
  <c r="D14" i="2"/>
  <c r="C9" i="3" s="1"/>
  <c r="M31" i="1"/>
  <c r="O31" i="1"/>
  <c r="G41" i="1"/>
  <c r="P31" i="1"/>
  <c r="N31" i="1"/>
  <c r="L31" i="1"/>
  <c r="Q31" i="1"/>
  <c r="L14" i="2"/>
  <c r="Q33" i="1"/>
  <c r="O29" i="1"/>
  <c r="G39" i="1"/>
  <c r="D43" i="3"/>
  <c r="M5" i="3"/>
  <c r="G40" i="1"/>
  <c r="M30" i="1"/>
  <c r="N30" i="1"/>
  <c r="Q30" i="1"/>
  <c r="P30" i="1"/>
  <c r="O30" i="1"/>
  <c r="L30" i="1"/>
  <c r="M34" i="2"/>
  <c r="L34" i="2"/>
  <c r="N34" i="2"/>
  <c r="D41" i="3"/>
  <c r="F5" i="3"/>
  <c r="N33" i="2"/>
  <c r="M33" i="2"/>
  <c r="O33" i="2"/>
  <c r="O38" i="2" s="1"/>
  <c r="L33" i="2"/>
  <c r="I43" i="2"/>
  <c r="I42" i="2"/>
  <c r="D22" i="1"/>
  <c r="I14" i="2"/>
  <c r="B25" i="2" s="1"/>
  <c r="B26" i="2" s="1"/>
  <c r="F25" i="2"/>
  <c r="F10" i="3"/>
  <c r="L36" i="2"/>
  <c r="M36" i="2"/>
  <c r="N36" i="2"/>
  <c r="J38" i="1"/>
  <c r="J39" i="1"/>
  <c r="J8" i="3"/>
  <c r="J7" i="3"/>
  <c r="J6" i="3"/>
  <c r="B30" i="2"/>
  <c r="D30" i="2" s="1"/>
  <c r="C8" i="3" s="1"/>
  <c r="B29" i="2"/>
  <c r="D29" i="2" s="1"/>
  <c r="C7" i="3" s="1"/>
  <c r="B28" i="2"/>
  <c r="D28" i="2" s="1"/>
  <c r="C6" i="3" s="1"/>
  <c r="T5" i="1" a="1"/>
  <c r="L14" i="1"/>
  <c r="J42" i="2"/>
  <c r="J43" i="2"/>
  <c r="L5" i="3"/>
  <c r="U22" i="1" a="1"/>
  <c r="L15" i="3"/>
  <c r="I12" i="3"/>
  <c r="M15" i="3"/>
  <c r="J12" i="3"/>
  <c r="M35" i="2"/>
  <c r="L4" i="3"/>
  <c r="C43" i="3"/>
  <c r="M4" i="3"/>
  <c r="D22" i="2"/>
  <c r="E5" i="3"/>
  <c r="C40" i="3"/>
  <c r="D23" i="1"/>
  <c r="C4" i="3" l="1"/>
  <c r="C41" i="3" s="1"/>
  <c r="B11" i="3"/>
  <c r="H40" i="3" s="1"/>
  <c r="B42" i="3"/>
  <c r="M3" i="1"/>
  <c r="J4" i="1"/>
  <c r="J5" i="1" s="1"/>
  <c r="J6" i="1" s="1"/>
  <c r="L7" i="3"/>
  <c r="J4" i="2"/>
  <c r="M4" i="2" s="1"/>
  <c r="L6" i="3"/>
  <c r="M9" i="3"/>
  <c r="M34" i="1"/>
  <c r="M38" i="1" s="1"/>
  <c r="Q34" i="1"/>
  <c r="N39" i="1" s="1"/>
  <c r="E8" i="3"/>
  <c r="E9" i="3"/>
  <c r="B12" i="3"/>
  <c r="I40" i="3" s="1"/>
  <c r="F15" i="3"/>
  <c r="E15" i="3"/>
  <c r="F7" i="3"/>
  <c r="G40" i="3"/>
  <c r="D29" i="1"/>
  <c r="L16" i="3"/>
  <c r="L34" i="1"/>
  <c r="L38" i="1" s="1"/>
  <c r="P34" i="1"/>
  <c r="M39" i="1" s="1"/>
  <c r="N34" i="1"/>
  <c r="N38" i="1" s="1"/>
  <c r="J11" i="1"/>
  <c r="M11" i="1" s="1"/>
  <c r="I11" i="1"/>
  <c r="I14" i="1" s="1"/>
  <c r="B25" i="1" s="1"/>
  <c r="B26" i="1" s="1"/>
  <c r="G14" i="1"/>
  <c r="H42" i="3"/>
  <c r="L11" i="3"/>
  <c r="M21" i="2" a="1"/>
  <c r="D27" i="2"/>
  <c r="C16" i="3"/>
  <c r="C17" i="3" s="1"/>
  <c r="U26" i="1"/>
  <c r="U23" i="1"/>
  <c r="U24" i="1"/>
  <c r="U28" i="1"/>
  <c r="U22" i="1"/>
  <c r="U27" i="1"/>
  <c r="U30" i="1"/>
  <c r="U29" i="1"/>
  <c r="U25" i="1"/>
  <c r="D25" i="2"/>
  <c r="E41" i="3"/>
  <c r="F6" i="3"/>
  <c r="M38" i="2"/>
  <c r="G41" i="3"/>
  <c r="F8" i="3"/>
  <c r="T12" i="1"/>
  <c r="T5" i="1"/>
  <c r="T11" i="1"/>
  <c r="T7" i="1"/>
  <c r="T6" i="1"/>
  <c r="T9" i="1"/>
  <c r="T8" i="1"/>
  <c r="T13" i="1"/>
  <c r="T10" i="1"/>
  <c r="E6" i="3"/>
  <c r="K42" i="3"/>
  <c r="H43" i="3"/>
  <c r="M11" i="3"/>
  <c r="B16" i="3"/>
  <c r="B17" i="3" s="1"/>
  <c r="D27" i="1"/>
  <c r="G44" i="1"/>
  <c r="N38" i="2"/>
  <c r="M6" i="3"/>
  <c r="E43" i="3"/>
  <c r="O34" i="1"/>
  <c r="O38" i="1" s="1"/>
  <c r="Q21" i="1" a="1"/>
  <c r="M7" i="3"/>
  <c r="F43" i="3"/>
  <c r="H41" i="3"/>
  <c r="M16" i="3"/>
  <c r="I43" i="3"/>
  <c r="M12" i="3"/>
  <c r="I42" i="3"/>
  <c r="L12" i="3"/>
  <c r="M8" i="3"/>
  <c r="G43" i="3"/>
  <c r="F26" i="2"/>
  <c r="J3" i="3" s="1"/>
  <c r="L8" i="3"/>
  <c r="C12" i="3"/>
  <c r="I41" i="3" s="1"/>
  <c r="F9" i="3"/>
  <c r="L9" i="3"/>
  <c r="J23" i="2"/>
  <c r="J30" i="2"/>
  <c r="J22" i="2"/>
  <c r="J24" i="2"/>
  <c r="J26" i="2"/>
  <c r="J25" i="2"/>
  <c r="J20" i="2"/>
  <c r="J29" i="2"/>
  <c r="J28" i="2"/>
  <c r="J27" i="2"/>
  <c r="J21" i="2"/>
  <c r="O27" i="2"/>
  <c r="O20" i="2"/>
  <c r="O26" i="2"/>
  <c r="O28" i="2"/>
  <c r="O25" i="2"/>
  <c r="O24" i="2"/>
  <c r="O22" i="2"/>
  <c r="O21" i="2"/>
  <c r="O29" i="2"/>
  <c r="O23" i="2"/>
  <c r="F41" i="3"/>
  <c r="E7" i="3"/>
  <c r="F11" i="3" l="1"/>
  <c r="E11" i="3"/>
  <c r="F4" i="3"/>
  <c r="E4" i="3"/>
  <c r="M5" i="1"/>
  <c r="M4" i="1"/>
  <c r="E17" i="3"/>
  <c r="J5" i="2"/>
  <c r="M5" i="2" s="1"/>
  <c r="P39" i="1"/>
  <c r="P38" i="1"/>
  <c r="B13" i="3" s="1"/>
  <c r="D26" i="1"/>
  <c r="B3" i="3" s="1"/>
  <c r="D25" i="1"/>
  <c r="L39" i="1"/>
  <c r="D26" i="2"/>
  <c r="K43" i="3"/>
  <c r="M17" i="3"/>
  <c r="E16" i="3"/>
  <c r="F12" i="3"/>
  <c r="C25" i="3"/>
  <c r="B25" i="3"/>
  <c r="D25" i="3" s="1"/>
  <c r="I25" i="3"/>
  <c r="K25" i="3" s="1"/>
  <c r="F16" i="3"/>
  <c r="J14" i="3"/>
  <c r="I14" i="3"/>
  <c r="B14" i="3"/>
  <c r="L17" i="3"/>
  <c r="Q21" i="1"/>
  <c r="Q24" i="1"/>
  <c r="Q23" i="1"/>
  <c r="Q25" i="1"/>
  <c r="Q22" i="1"/>
  <c r="M29" i="2"/>
  <c r="M28" i="2"/>
  <c r="M21" i="2"/>
  <c r="M22" i="2"/>
  <c r="M25" i="2"/>
  <c r="M24" i="2"/>
  <c r="M27" i="2"/>
  <c r="M26" i="2"/>
  <c r="M23" i="2"/>
  <c r="M6" i="1"/>
  <c r="J7" i="1"/>
  <c r="K17" i="3"/>
  <c r="U31" i="1"/>
  <c r="X24" i="1" s="1"/>
  <c r="J31" i="2"/>
  <c r="R21" i="2" s="1" a="1"/>
  <c r="R21" i="2" s="1"/>
  <c r="O30" i="2"/>
  <c r="U22" i="2" s="1" a="1"/>
  <c r="U22" i="2" s="1"/>
  <c r="J19" i="3" s="1"/>
  <c r="M3" i="3"/>
  <c r="B43" i="3"/>
  <c r="L3" i="3"/>
  <c r="G31" i="2"/>
  <c r="E12" i="3"/>
  <c r="T14" i="1"/>
  <c r="X10" i="1" s="1"/>
  <c r="J13" i="3" l="1"/>
  <c r="J43" i="3" s="1"/>
  <c r="L43" i="3" s="1"/>
  <c r="U21" i="2" a="1"/>
  <c r="U21" i="2" s="1"/>
  <c r="J18" i="3" s="1"/>
  <c r="X13" i="1"/>
  <c r="B21" i="3" s="1"/>
  <c r="X11" i="1"/>
  <c r="B19" i="3" s="1"/>
  <c r="X26" i="1"/>
  <c r="I21" i="3" s="1"/>
  <c r="X23" i="1"/>
  <c r="I18" i="3" s="1"/>
  <c r="X25" i="1"/>
  <c r="I20" i="3" s="1"/>
  <c r="X12" i="1"/>
  <c r="B20" i="3" s="1"/>
  <c r="B40" i="3"/>
  <c r="K41" i="3"/>
  <c r="C3" i="3"/>
  <c r="J6" i="2"/>
  <c r="J7" i="2" s="1"/>
  <c r="C13" i="3"/>
  <c r="J41" i="3" s="1"/>
  <c r="I13" i="3"/>
  <c r="P40" i="1"/>
  <c r="C18" i="3"/>
  <c r="L14" i="3"/>
  <c r="F17" i="3"/>
  <c r="I19" i="3"/>
  <c r="G36" i="3" s="1"/>
  <c r="J40" i="3"/>
  <c r="F14" i="3"/>
  <c r="E14" i="3"/>
  <c r="J8" i="1"/>
  <c r="J9" i="1" s="1"/>
  <c r="M7" i="1"/>
  <c r="M30" i="2"/>
  <c r="K40" i="3"/>
  <c r="D17" i="3"/>
  <c r="B18" i="3"/>
  <c r="U23" i="2"/>
  <c r="J20" i="3" s="1"/>
  <c r="U24" i="2"/>
  <c r="J21" i="3" s="1"/>
  <c r="R23" i="2"/>
  <c r="C20" i="3" s="1"/>
  <c r="R22" i="2"/>
  <c r="C19" i="3" s="1"/>
  <c r="R24" i="2"/>
  <c r="C21" i="3" s="1"/>
  <c r="M14" i="3"/>
  <c r="M13" i="3" l="1"/>
  <c r="F36" i="3"/>
  <c r="F35" i="3"/>
  <c r="G35" i="3"/>
  <c r="I105" i="5"/>
  <c r="L40" i="3"/>
  <c r="B41" i="3"/>
  <c r="L41" i="3" s="1"/>
  <c r="E3" i="3"/>
  <c r="F3" i="3"/>
  <c r="M6" i="2"/>
  <c r="E13" i="3"/>
  <c r="F13" i="3"/>
  <c r="J42" i="3"/>
  <c r="L42" i="3" s="1"/>
  <c r="L13" i="3"/>
  <c r="F21" i="3"/>
  <c r="M18" i="3"/>
  <c r="M21" i="3"/>
  <c r="E20" i="3"/>
  <c r="D20" i="3"/>
  <c r="E21" i="3"/>
  <c r="D21" i="3"/>
  <c r="M8" i="1"/>
  <c r="L19" i="3"/>
  <c r="K19" i="3"/>
  <c r="K18" i="3"/>
  <c r="L18" i="3"/>
  <c r="L20" i="3"/>
  <c r="K20" i="3"/>
  <c r="F20" i="3"/>
  <c r="K21" i="3"/>
  <c r="L21" i="3"/>
  <c r="J8" i="2"/>
  <c r="M7" i="2"/>
  <c r="M19" i="3"/>
  <c r="E18" i="3"/>
  <c r="D18" i="3"/>
  <c r="F19" i="3"/>
  <c r="M20" i="3"/>
  <c r="E19" i="3"/>
  <c r="D19" i="3"/>
  <c r="F18" i="3"/>
  <c r="E35" i="3" l="1"/>
  <c r="C36" i="3"/>
  <c r="E36" i="3"/>
  <c r="C35" i="3"/>
  <c r="D35" i="3"/>
  <c r="D36" i="3"/>
  <c r="B24" i="3"/>
  <c r="J24" i="3"/>
  <c r="C24" i="3"/>
  <c r="M9" i="1"/>
  <c r="J10" i="1"/>
  <c r="M10" i="1" s="1"/>
  <c r="I24" i="3"/>
  <c r="M8" i="2"/>
  <c r="J9" i="2"/>
  <c r="M14" i="1" l="1"/>
  <c r="M9" i="2"/>
  <c r="J10" i="2"/>
  <c r="J11" i="2" l="1"/>
  <c r="M10" i="2"/>
  <c r="J12" i="2" l="1"/>
  <c r="M11" i="2"/>
  <c r="J13" i="2" l="1"/>
  <c r="M12" i="2"/>
  <c r="M13" i="2" l="1"/>
  <c r="M14" i="2" s="1"/>
  <c r="J14" i="2"/>
  <c r="F227" i="19"/>
  <c r="H227" i="19" s="1"/>
  <c r="F226" i="19"/>
  <c r="H226" i="19" s="1"/>
  <c r="F228" i="19"/>
  <c r="H228" i="19" s="1"/>
  <c r="F225" i="19"/>
  <c r="H225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7AA76F6-A37F-48A8-9617-C4A66A0A8B4F}" keepAlive="1" name="ModelConnection_ExternalData_10" description="Data Model" type="5" refreshedVersion="8" minRefreshableVersion="5" saveData="1">
    <dbPr connection="Data Model Connection" command="Nottingham Forest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E8A91DF-AA6D-4F52-806C-CDBFE27619C4}" keepAlive="1" name="ModelConnection_ExternalData_11" description="Data Model" type="5" refreshedVersion="8" minRefreshableVersion="5" saveData="1">
    <dbPr connection="Data Model Connection" command="Crystal Palace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CB207AA-2E0C-46DC-91B2-4723E3EB8D24}" keepAlive="1" name="ModelConnection_ExternalData_2" description="Data Model" type="5" refreshedVersion="8" minRefreshableVersion="5" saveData="1">
    <dbPr connection="Data Model Connection" command="West Ham United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EDAC48F-851E-41FF-824B-F3E5257C82C0}" keepAlive="1" name="ModelConnection_ExternalData_31" description="Data Model" type="5" refreshedVersion="8" minRefreshableVersion="5" saveData="1">
    <dbPr connection="Data Model Connection" command="Fulham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FE77472E-C8D6-4459-BE88-0F092163A92D}" keepAlive="1" name="ModelConnection_ExternalData_4" description="Data Model" type="5" refreshedVersion="8" minRefreshableVersion="5" saveData="1">
    <dbPr connection="Data Model Connection" command="Mallorca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900E4F72-C264-4FB6-8255-828057CB948E}" keepAlive="1" name="ModelConnection_ExternalData_5" description="Data Model" type="5" refreshedVersion="8" minRefreshableVersion="5" saveData="1">
    <dbPr connection="Data Model Connection" command="Aston Villa  2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FE3A274D-7064-4B67-8C3C-C3F7092784A1}" keepAlive="1" name="ModelConnection_ExternalData_7" description="Data Model" type="5" refreshedVersion="8" minRefreshableVersion="5" saveData="1">
    <dbPr connection="Data Model Connection" command="Manchester City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E5B948A5-7A73-4E36-A81C-E4AB95F2F442}" keepAlive="1" name="ModelConnection_ExternalData_71" description="Data Model" type="5" refreshedVersion="8" minRefreshableVersion="5" saveData="1">
    <dbPr connection="Data Model Connection" command="Las Palmas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1A83EA5E-0DF6-4A7F-9504-BAF0F1E70D93}" keepAlive="1" name="ModelConnection_ExternalData_8" description="Data Model" type="5" refreshedVersion="8" minRefreshableVersion="5" saveData="1">
    <dbPr connection="Data Model Connection" command="Liverpool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26B4A9FA-89E0-48D6-AAFC-BF4EEED51553}" keepAlive="1" name="ModelConnection_ExternalData_81" description="Data Model" type="5" refreshedVersion="8" minRefreshableVersion="5" saveData="1">
    <dbPr connection="Data Model Connection" command="Valencia  2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B7302DC-BF04-4577-9B63-D434D37A66EE}" keepAlive="1" name="ModelConnection_ExternalData_9" description="Data Model" type="5" refreshedVersion="8" minRefreshableVersion="5" saveData="1">
    <dbPr connection="Data Model Connection" command="Chelsea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F0432328-FE98-49A9-82F6-BD306192575B}" keepAlive="1" name="Query - AFC Bournemouth" description="Connection to the 'AFC Bournemouth' query in the workbook." type="5" refreshedVersion="8" background="1" saveData="1">
    <dbPr connection="Provider=Microsoft.Mashup.OleDb.1;Data Source=$Workbook$;Location=&quot;AFC Bournemouth&quot;;Extended Properties=&quot;&quot;" command="SELECT * FROM [AFC Bournemouth]"/>
  </connection>
  <connection id="13" xr16:uid="{B1649A10-FE00-48CE-9E45-38D90278DECB}" keepAlive="1" name="Query - Alavés" description="Connection to the 'Alavés' query in the workbook." type="5" refreshedVersion="8" background="1" saveData="1">
    <dbPr connection="Provider=Microsoft.Mashup.OleDb.1;Data Source=$Workbook$;Location=Alavés;Extended Properties=&quot;&quot;" command="SELECT * FROM [Alavés]"/>
  </connection>
  <connection id="14" xr16:uid="{9753BD09-7166-46C0-B084-9ED7273149F2}" keepAlive="1" name="Query - Arsenal" description="Connection to the 'Arsenal' query in the workbook." type="5" refreshedVersion="8" background="1" saveData="1">
    <dbPr connection="Provider=Microsoft.Mashup.OleDb.1;Data Source=$Workbook$;Location=Arsenal;Extended Properties=&quot;&quot;" command="SELECT * FROM [Arsenal]"/>
  </connection>
  <connection id="15" xr16:uid="{7652F010-2318-4F46-882B-6CE69EE2DFA6}" name="Query - Aston Villa (2)" description="Connection to the 'Aston Villa (2)' query in the workbook." type="100" refreshedVersion="8" minRefreshableVersion="5">
    <extLst>
      <ext xmlns:x15="http://schemas.microsoft.com/office/spreadsheetml/2010/11/main" uri="{DE250136-89BD-433C-8126-D09CA5730AF9}">
        <x15:connection id="806af4bf-847e-417d-8f24-55e508b8ff5d"/>
      </ext>
    </extLst>
  </connection>
  <connection id="16" xr16:uid="{611205FE-85EF-47FA-8E95-0153CE7432C1}" keepAlive="1" name="Query - Athletic Club" description="Connection to the 'Athletic Club' query in the workbook." type="5" refreshedVersion="8" background="1" saveData="1">
    <dbPr connection="Provider=Microsoft.Mashup.OleDb.1;Data Source=$Workbook$;Location=&quot;Athletic Club&quot;;Extended Properties=&quot;&quot;" command="SELECT * FROM [Athletic Club]"/>
  </connection>
  <connection id="17" xr16:uid="{1CEAC966-FCFF-42D0-9E4C-34D5A5BFC42D}" keepAlive="1" name="Query - Atlético Madrid" description="Connection to the 'Atlético Madrid' query in the workbook." type="5" refreshedVersion="8" background="1" saveData="1">
    <dbPr connection="Provider=Microsoft.Mashup.OleDb.1;Data Source=$Workbook$;Location=&quot;Atlético Madrid&quot;;Extended Properties=&quot;&quot;" command="SELECT * FROM [Atlético Madrid]"/>
  </connection>
  <connection id="18" xr16:uid="{C3B7D277-215E-4574-A57E-3B838484DE09}" keepAlive="1" name="Query - Barcelona" description="Connection to the 'Barcelona' query in the workbook." type="5" refreshedVersion="8" background="1" saveData="1">
    <dbPr connection="Provider=Microsoft.Mashup.OleDb.1;Data Source=$Workbook$;Location=Barcelona;Extended Properties=&quot;&quot;" command="SELECT * FROM [Barcelona]"/>
  </connection>
  <connection id="19" xr16:uid="{7889F0ED-D6D7-49CA-9E88-61B637AEB6EE}" keepAlive="1" name="Query - Bayer Leverkusen" description="Connection to the 'Bayer Leverkusen' query in the workbook." type="5" refreshedVersion="8" background="1" saveData="1">
    <dbPr connection="Provider=Microsoft.Mashup.OleDb.1;Data Source=$Workbook$;Location=&quot;Bayer Leverkusen&quot;;Extended Properties=&quot;&quot;" command="SELECT * FROM [Bayer Leverkusen]"/>
  </connection>
  <connection id="20" xr16:uid="{F45699AC-B338-4EB4-B756-330073BA2375}" keepAlive="1" name="Query - Brentford" description="Connection to the 'Brentford' query in the workbook." type="5" refreshedVersion="8" background="1" saveData="1">
    <dbPr connection="Provider=Microsoft.Mashup.OleDb.1;Data Source=$Workbook$;Location=Brentford;Extended Properties=&quot;&quot;" command="SELECT * FROM [Brentford]"/>
  </connection>
  <connection id="21" xr16:uid="{F0F37333-7391-4DB8-A32D-AA6A11AD3C77}" keepAlive="1" name="Query - Brighton" description="Connection to the 'Brighton' query in the workbook." type="5" refreshedVersion="8" background="1" saveData="1">
    <dbPr connection="Provider=Microsoft.Mashup.OleDb.1;Data Source=$Workbook$;Location=Brighton;Extended Properties=&quot;&quot;" command="SELECT * FROM [Brighton]"/>
  </connection>
  <connection id="22" xr16:uid="{61B532D0-744D-4872-B720-4D20528AB6F6}" keepAlive="1" name="Query - Celta Vigo" description="Connection to the 'Celta Vigo' query in the workbook." type="5" refreshedVersion="8" background="1" saveData="1">
    <dbPr connection="Provider=Microsoft.Mashup.OleDb.1;Data Source=$Workbook$;Location=&quot;Celta Vigo&quot;;Extended Properties=&quot;&quot;" command="SELECT * FROM [Celta Vigo]"/>
  </connection>
  <connection id="23" xr16:uid="{1F17EDD9-0F63-4A46-BD03-4B0D21D5B01B}" name="Query - Chelsea" description="Connection to the 'Chelsea' query in the workbook." type="100" refreshedVersion="8" minRefreshableVersion="5">
    <extLst>
      <ext xmlns:x15="http://schemas.microsoft.com/office/spreadsheetml/2010/11/main" uri="{DE250136-89BD-433C-8126-D09CA5730AF9}">
        <x15:connection id="0dbc5513-4c32-43cb-aac5-328d04e4d186"/>
      </ext>
    </extLst>
  </connection>
  <connection id="24" xr16:uid="{6E58FA4C-A40A-4EDA-8E0E-D3DFE7ADAF5C}" name="Query - Crystal Palace]" description="Connection to the 'Crystal Palace]' query in the workbook." type="100" refreshedVersion="8" minRefreshableVersion="5">
    <extLst>
      <ext xmlns:x15="http://schemas.microsoft.com/office/spreadsheetml/2010/11/main" uri="{DE250136-89BD-433C-8126-D09CA5730AF9}">
        <x15:connection id="4a9faf99-e767-46e2-ab74-8a0f94d74dd9"/>
      </ext>
    </extLst>
  </connection>
  <connection id="25" xr16:uid="{43C2C59D-864A-41F6-8A7E-AFE97FE0C02F}" keepAlive="1" name="Query - Espanyol" description="Connection to the 'Espanyol' query in the workbook." type="5" refreshedVersion="8" background="1" saveData="1">
    <dbPr connection="Provider=Microsoft.Mashup.OleDb.1;Data Source=$Workbook$;Location=Espanyol;Extended Properties=&quot;&quot;" command="SELECT * FROM [Espanyol]"/>
  </connection>
  <connection id="26" xr16:uid="{B969BFEE-2EAA-469B-9811-A425AFA17918}" keepAlive="1" name="Query - Everton" description="Connection to the 'Everton' query in the workbook." type="5" refreshedVersion="8" background="1" saveData="1">
    <dbPr connection="Provider=Microsoft.Mashup.OleDb.1;Data Source=$Workbook$;Location=Everton;Extended Properties=&quot;&quot;" command="SELECT * FROM [Everton]"/>
  </connection>
  <connection id="27" xr16:uid="{9E2173C3-BBBC-4C28-9B0E-8347CB6426AD}" name="Query - Fulham" description="Connection to the 'Fulham' query in the workbook." type="100" refreshedVersion="8" minRefreshableVersion="5">
    <extLst>
      <ext xmlns:x15="http://schemas.microsoft.com/office/spreadsheetml/2010/11/main" uri="{DE250136-89BD-433C-8126-D09CA5730AF9}">
        <x15:connection id="2847c9d4-2993-41b7-a09f-c0d03b6006ea">
          <x15:oledbPr connection="Provider=Microsoft.Mashup.OleDb.1;Data Source=$Workbook$;Location=Fulham;Extended Properties=&quot;&quot;">
            <x15:dbTables>
              <x15:dbTable name="Fulham"/>
            </x15:dbTables>
          </x15:oledbPr>
        </x15:connection>
      </ext>
    </extLst>
  </connection>
  <connection id="28" xr16:uid="{BF027628-3756-4EAF-9618-B2CF8D68A2FB}" keepAlive="1" name="Query - Getafe" description="Connection to the 'Getafe' query in the workbook." type="5" refreshedVersion="8" background="1" saveData="1">
    <dbPr connection="Provider=Microsoft.Mashup.OleDb.1;Data Source=$Workbook$;Location=Getafe;Extended Properties=&quot;&quot;" command="SELECT * FROM [Getafe]"/>
  </connection>
  <connection id="29" xr16:uid="{EA13B0C2-2981-4F6E-B8B8-37900A1F72A0}" keepAlive="1" name="Query - Girona" description="Connection to the 'Girona' query in the workbook." type="5" refreshedVersion="8" background="1" saveData="1">
    <dbPr connection="Provider=Microsoft.Mashup.OleDb.1;Data Source=$Workbook$;Location=Girona;Extended Properties=&quot;&quot;" command="SELECT * FROM [Girona]"/>
  </connection>
  <connection id="30" xr16:uid="{229ED271-5634-476E-8BEE-60EBCB64AEB5}" keepAlive="1" name="Query - Ipswich Town" description="Connection to the 'Ipswich Town' query in the workbook." type="5" refreshedVersion="8" background="1" saveData="1">
    <dbPr connection="Provider=Microsoft.Mashup.OleDb.1;Data Source=$Workbook$;Location=&quot;Ipswich Town&quot;;Extended Properties=&quot;&quot;" command="SELECT * FROM [Ipswich Town]"/>
  </connection>
  <connection id="31" xr16:uid="{F3FDE893-8383-446F-A376-FA5665589307}" name="Query - Las Palmas" description="Connection to the 'Las Palmas' query in the workbook." type="100" refreshedVersion="8" minRefreshableVersion="5">
    <extLst>
      <ext xmlns:x15="http://schemas.microsoft.com/office/spreadsheetml/2010/11/main" uri="{DE250136-89BD-433C-8126-D09CA5730AF9}">
        <x15:connection id="59a71022-4d4d-4f0b-8a1e-bee84ac7bc75">
          <x15:oledbPr connection="Provider=Microsoft.Mashup.OleDb.1;Data Source=$Workbook$;Location=&quot;Las Palmas&quot;;Extended Properties=&quot;&quot;">
            <x15:dbTables>
              <x15:dbTable name="Las Palmas"/>
            </x15:dbTables>
          </x15:oledbPr>
        </x15:connection>
      </ext>
    </extLst>
  </connection>
  <connection id="32" xr16:uid="{786368CB-11D0-46F4-9AA6-419F00FB5451}" keepAlive="1" name="Query - Leganés" description="Connection to the 'Leganés' query in the workbook." type="5" refreshedVersion="8" background="1" saveData="1">
    <dbPr connection="Provider=Microsoft.Mashup.OleDb.1;Data Source=$Workbook$;Location=Leganés;Extended Properties=&quot;&quot;" command="SELECT * FROM [Leganés]"/>
  </connection>
  <connection id="33" xr16:uid="{562C0151-819A-4318-A802-B46AC271F19C}" keepAlive="1" name="Query - Leicester City" description="Connection to the 'Leicester City' query in the workbook." type="5" refreshedVersion="8" background="1" saveData="1">
    <dbPr connection="Provider=Microsoft.Mashup.OleDb.1;Data Source=$Workbook$;Location=&quot;Leicester City&quot;;Extended Properties=&quot;&quot;" command="SELECT * FROM [Leicester City]"/>
  </connection>
  <connection id="34" xr16:uid="{3DA18379-79F6-4C30-8F63-496C86077F61}" name="Query - Liverpool" description="Connection to the 'Liverpool' query in the workbook." type="100" refreshedVersion="8" minRefreshableVersion="5">
    <extLst>
      <ext xmlns:x15="http://schemas.microsoft.com/office/spreadsheetml/2010/11/main" uri="{DE250136-89BD-433C-8126-D09CA5730AF9}">
        <x15:connection id="969be038-8489-4ddc-8e6c-cc03e1ff1fbc"/>
      </ext>
    </extLst>
  </connection>
  <connection id="35" xr16:uid="{73259CD3-725A-4A31-9689-08C6DE9063A6}" name="Query - Mallorca" description="Connection to the 'Mallorca' query in the workbook." type="100" refreshedVersion="8" minRefreshableVersion="5">
    <extLst>
      <ext xmlns:x15="http://schemas.microsoft.com/office/spreadsheetml/2010/11/main" uri="{DE250136-89BD-433C-8126-D09CA5730AF9}">
        <x15:connection id="31ae5451-04cb-4263-b432-36840fff9ff5"/>
      </ext>
    </extLst>
  </connection>
  <connection id="36" xr16:uid="{A9CD072B-C347-4D7E-B6AF-78B701EDA09E}" name="Query - Manchester City" description="Connection to the 'Manchester City' query in the workbook." type="100" refreshedVersion="8" minRefreshableVersion="5">
    <extLst>
      <ext xmlns:x15="http://schemas.microsoft.com/office/spreadsheetml/2010/11/main" uri="{DE250136-89BD-433C-8126-D09CA5730AF9}">
        <x15:connection id="f9a94ccf-b99a-4d1f-928f-11421ef5ee97">
          <x15:oledbPr connection="Provider=Microsoft.Mashup.OleDb.1;Data Source=$Workbook$;Location=&quot;Manchester City&quot;;Extended Properties=&quot;&quot;">
            <x15:dbTables>
              <x15:dbTable name="Manchester City"/>
            </x15:dbTables>
          </x15:oledbPr>
        </x15:connection>
      </ext>
    </extLst>
  </connection>
  <connection id="37" xr16:uid="{C3F39693-07FB-4A4B-B406-44C57E09FA02}" keepAlive="1" name="Query - Manchester United" description="Connection to the 'Manchester United' query in the workbook." type="5" refreshedVersion="8" background="1" saveData="1">
    <dbPr connection="Provider=Microsoft.Mashup.OleDb.1;Data Source=$Workbook$;Location=&quot;Manchester United&quot;;Extended Properties=&quot;&quot;" command="SELECT * FROM [Manchester United]"/>
  </connection>
  <connection id="38" xr16:uid="{E095809E-CBE6-4E8D-BFE4-1E00074394FB}" keepAlive="1" name="Query - Newcastle United" description="Connection to the 'Newcastle United' query in the workbook." type="5" refreshedVersion="8" background="1" saveData="1">
    <dbPr connection="Provider=Microsoft.Mashup.OleDb.1;Data Source=$Workbook$;Location=&quot;Newcastle United&quot;;Extended Properties=&quot;&quot;" command="SELECT * FROM [Newcastle United]"/>
  </connection>
  <connection id="39" xr16:uid="{D4BA295E-843B-45A0-89CE-1F067EFC805C}" name="Query - Nottingham Forest" description="Connection to the 'Nottingham Forest' query in the workbook." type="100" refreshedVersion="8" minRefreshableVersion="5">
    <extLst>
      <ext xmlns:x15="http://schemas.microsoft.com/office/spreadsheetml/2010/11/main" uri="{DE250136-89BD-433C-8126-D09CA5730AF9}">
        <x15:connection id="311c26d0-6ec3-4131-951d-b68986277371"/>
      </ext>
    </extLst>
  </connection>
  <connection id="40" xr16:uid="{4DE9AA20-1FEE-4752-8E93-A5C06EE59874}" keepAlive="1" name="Query - Osasuna" description="Connection to the 'Osasuna' query in the workbook." type="5" refreshedVersion="8" background="1" saveData="1">
    <dbPr connection="Provider=Microsoft.Mashup.OleDb.1;Data Source=$Workbook$;Location=Osasuna;Extended Properties=&quot;&quot;" command="SELECT * FROM [Osasuna]"/>
  </connection>
  <connection id="41" xr16:uid="{46901213-098C-4123-A84A-47ADAF0546CC}" keepAlive="1" name="Query - Premier League Table" description="Connection to the 'Premier League Table' query in the workbook." type="5" refreshedVersion="8" background="1" saveData="1">
    <dbPr connection="Provider=Microsoft.Mashup.OleDb.1;Data Source=$Workbook$;Location=&quot;Premier League Table&quot;;Extended Properties=&quot;&quot;" command="SELECT * FROM [Premier League Table]"/>
  </connection>
  <connection id="42" xr16:uid="{791BF538-5264-4BAD-9142-664C1AA32654}" keepAlive="1" name="Query - Rayo Vallecano" description="Connection to the 'Rayo Vallecano' query in the workbook." type="5" refreshedVersion="8" background="1" saveData="1">
    <dbPr connection="Provider=Microsoft.Mashup.OleDb.1;Data Source=$Workbook$;Location=&quot;Rayo Vallecano&quot;;Extended Properties=&quot;&quot;" command="SELECT * FROM [Rayo Vallecano]"/>
  </connection>
  <connection id="43" xr16:uid="{CA134B8B-E612-42A2-8628-2653994B4569}" keepAlive="1" name="Query - Real Betis" description="Connection to the 'Real Betis' query in the workbook." type="5" refreshedVersion="8" background="1" saveData="1">
    <dbPr connection="Provider=Microsoft.Mashup.OleDb.1;Data Source=$Workbook$;Location=&quot;Real Betis&quot;;Extended Properties=&quot;&quot;" command="SELECT * FROM [Real Betis]"/>
  </connection>
  <connection id="44" xr16:uid="{E3CB470D-5BFD-45E0-AFD0-B983F6E30798}" keepAlive="1" name="Query - Real Madrid" description="Connection to the 'Real Madrid' query in the workbook." type="5" refreshedVersion="8" background="1" saveData="1">
    <dbPr connection="Provider=Microsoft.Mashup.OleDb.1;Data Source=$Workbook$;Location=&quot;Real Madrid&quot;;Extended Properties=&quot;&quot;" command="SELECT * FROM [Real Madrid]"/>
  </connection>
  <connection id="45" xr16:uid="{C0F79752-E86B-4230-BD3F-1189CB49FB77}" keepAlive="1" name="Query - Real Sociedad" description="Connection to the 'Real Sociedad' query in the workbook." type="5" refreshedVersion="8" background="1" saveData="1">
    <dbPr connection="Provider=Microsoft.Mashup.OleDb.1;Data Source=$Workbook$;Location=&quot;Real Sociedad&quot;;Extended Properties=&quot;&quot;" command="SELECT * FROM [Real Sociedad]"/>
  </connection>
  <connection id="46" xr16:uid="{0812E1F8-B492-4406-8986-B016BBCB5819}" keepAlive="1" name="Query - Real Valladolid" description="Connection to the 'Real Valladolid' query in the workbook." type="5" refreshedVersion="8" background="1" saveData="1">
    <dbPr connection="Provider=Microsoft.Mashup.OleDb.1;Data Source=$Workbook$;Location=&quot;Real Valladolid&quot;;Extended Properties=&quot;&quot;" command="SELECT * FROM [Real Valladolid]"/>
  </connection>
  <connection id="47" xr16:uid="{B1355A4F-221B-4952-9C47-C04062F594DC}" keepAlive="1" name="Query - Sevilla" description="Connection to the 'Sevilla' query in the workbook." type="5" refreshedVersion="8" background="1" saveData="1">
    <dbPr connection="Provider=Microsoft.Mashup.OleDb.1;Data Source=$Workbook$;Location=Sevilla;Extended Properties=&quot;&quot;" command="SELECT * FROM [Sevilla]"/>
  </connection>
  <connection id="48" xr16:uid="{989E10D0-2D1D-4735-A380-246B66AD9704}" keepAlive="1" name="Query - Southampton" description="Connection to the 'Southampton' query in the workbook." type="5" refreshedVersion="8" background="1" saveData="1">
    <dbPr connection="Provider=Microsoft.Mashup.OleDb.1;Data Source=$Workbook$;Location=Southampton;Extended Properties=&quot;&quot;" command="SELECT * FROM [Southampton]"/>
  </connection>
  <connection id="49" xr16:uid="{CF9884A6-FE7F-4DBD-966B-13822E255FD9}" keepAlive="1" name="Query - Tottenham Hotspur" description="Connection to the 'Tottenham Hotspur' query in the workbook." type="5" refreshedVersion="8" background="1" saveData="1">
    <dbPr connection="Provider=Microsoft.Mashup.OleDb.1;Data Source=$Workbook$;Location=&quot;Tottenham Hotspur&quot;;Extended Properties=&quot;&quot;" command="SELECT * FROM [Tottenham Hotspur]"/>
  </connection>
  <connection id="50" xr16:uid="{6A38495A-C8EB-467D-9341-C48D9A8BD7E0}" name="Query - Valencia (2)" description="Connection to the 'Valencia (2)' query in the workbook." type="100" refreshedVersion="8" minRefreshableVersion="5">
    <extLst>
      <ext xmlns:x15="http://schemas.microsoft.com/office/spreadsheetml/2010/11/main" uri="{DE250136-89BD-433C-8126-D09CA5730AF9}">
        <x15:connection id="957f4b32-1bf4-48ae-807f-268a6af907ad">
          <x15:oledbPr connection="Provider=Microsoft.Mashup.OleDb.1;Data Source=$Workbook$;Location=&quot;Valencia (2)&quot;;Extended Properties=&quot;&quot;">
            <x15:dbTables>
              <x15:dbTable name="Valencia (2)"/>
            </x15:dbTables>
          </x15:oledbPr>
        </x15:connection>
      </ext>
    </extLst>
  </connection>
  <connection id="51" xr16:uid="{C516F9BE-A54A-43DC-9092-D3787A9D7A72}" keepAlive="1" name="Query - Villarreal" description="Connection to the 'Villarreal' query in the workbook." type="5" refreshedVersion="8" background="1" saveData="1">
    <dbPr connection="Provider=Microsoft.Mashup.OleDb.1;Data Source=$Workbook$;Location=Villarreal;Extended Properties=&quot;&quot;" command="SELECT * FROM [Villarreal]"/>
  </connection>
  <connection id="52" xr16:uid="{967BA088-C7BC-46AD-B95C-966AF4ACE629}" name="Query - West Ham United" description="Connection to the 'West Ham United' query in the workbook." type="100" refreshedVersion="8" minRefreshableVersion="5">
    <extLst>
      <ext xmlns:x15="http://schemas.microsoft.com/office/spreadsheetml/2010/11/main" uri="{DE250136-89BD-433C-8126-D09CA5730AF9}">
        <x15:connection id="088e60fd-2686-414d-8e70-d65d19a46491"/>
      </ext>
    </extLst>
  </connection>
  <connection id="53" xr16:uid="{A05F415A-86E5-4D35-A39D-CDFAD052E857}" keepAlive="1" name="Query - Wolverhampton Wanderers(1)" description="Connection to the 'Wolverhampton Wanderers' query in the workbook." type="5" refreshedVersion="8" background="1" saveData="1">
    <dbPr connection="Provider=Microsoft.Mashup.OleDb.1;Data Source=$Workbook$;Location=&quot;Wolverhampton Wanderers&quot;;Extended Properties=&quot;&quot;" command="SELECT * FROM [Wolverhampton Wanderers]"/>
  </connection>
  <connection id="54" xr16:uid="{A3B926B4-B349-4E64-AD77-B2264FFDE5E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<sst xmlns="http://schemas.openxmlformats.org/spreadsheetml/2006/main" count="3424" uniqueCount="548">
  <si>
    <t>HOME</t>
  </si>
  <si>
    <t>Opponent</t>
  </si>
  <si>
    <t>me result</t>
  </si>
  <si>
    <t>OR</t>
  </si>
  <si>
    <t>Total</t>
  </si>
  <si>
    <t>me place</t>
  </si>
  <si>
    <t>Win/loss</t>
  </si>
  <si>
    <t>Point</t>
  </si>
  <si>
    <t>weight</t>
  </si>
  <si>
    <t>weighted point</t>
  </si>
  <si>
    <t>RUNNING POINT</t>
  </si>
  <si>
    <t>Running match</t>
  </si>
  <si>
    <t>BTTS</t>
  </si>
  <si>
    <t>Form index</t>
  </si>
  <si>
    <t>Frequency for 11 games</t>
  </si>
  <si>
    <t>GOALS</t>
  </si>
  <si>
    <t>FREQUENCY</t>
  </si>
  <si>
    <t>OVER FOR 11 GAMES</t>
  </si>
  <si>
    <t xml:space="preserve">OVER </t>
  </si>
  <si>
    <t>RESULT</t>
  </si>
  <si>
    <t xml:space="preserve">OVER 0.5 </t>
  </si>
  <si>
    <t>OVER 1.5</t>
  </si>
  <si>
    <t xml:space="preserve">OVER 2.5 </t>
  </si>
  <si>
    <t xml:space="preserve">OVER 3.5 </t>
  </si>
  <si>
    <t>11 GAMES</t>
  </si>
  <si>
    <t>Metrics</t>
  </si>
  <si>
    <t>AWAY</t>
  </si>
  <si>
    <t>5 GAMES</t>
  </si>
  <si>
    <t>FREQUENCY OF H2H</t>
  </si>
  <si>
    <t xml:space="preserve">Goals </t>
  </si>
  <si>
    <t>Frequency</t>
  </si>
  <si>
    <t>Frequency for 5 games</t>
  </si>
  <si>
    <t>OVER FOR 5 GAMES</t>
  </si>
  <si>
    <t>OVER 0.5</t>
  </si>
  <si>
    <t>OVER 2.5</t>
  </si>
  <si>
    <t>OVER 3.5</t>
  </si>
  <si>
    <t>H.R</t>
  </si>
  <si>
    <t>A.R</t>
  </si>
  <si>
    <t>TOTAL</t>
  </si>
  <si>
    <t>HH WIN</t>
  </si>
  <si>
    <t>HAW WIN</t>
  </si>
  <si>
    <t>DRAW</t>
  </si>
  <si>
    <t>AWH WIN</t>
  </si>
  <si>
    <t>AAWIN</t>
  </si>
  <si>
    <t>Liverpool</t>
  </si>
  <si>
    <t>Aston Vila</t>
  </si>
  <si>
    <t>Arsenal</t>
  </si>
  <si>
    <t>METRICS</t>
  </si>
  <si>
    <t xml:space="preserve">HOME WIN </t>
  </si>
  <si>
    <t>AWAY WIN</t>
  </si>
  <si>
    <t>totalwins</t>
  </si>
  <si>
    <t>Chelsea</t>
  </si>
  <si>
    <t>BTTS H2H</t>
  </si>
  <si>
    <t>Newcastle United</t>
  </si>
  <si>
    <t>Brighton And Hove Albion</t>
  </si>
  <si>
    <t>Nottingham Forest</t>
  </si>
  <si>
    <t>Fulham</t>
  </si>
  <si>
    <t>Tootenham Hotspur</t>
  </si>
  <si>
    <t>Manchester United</t>
  </si>
  <si>
    <t>Brentford</t>
  </si>
  <si>
    <t>AFC Bournemouth</t>
  </si>
  <si>
    <t>West Ham United</t>
  </si>
  <si>
    <t>Leicester City</t>
  </si>
  <si>
    <t>Crystal Palace</t>
  </si>
  <si>
    <t>Ipswich Town</t>
  </si>
  <si>
    <t>Southampton</t>
  </si>
  <si>
    <t>Wolverhampton Wanderers</t>
  </si>
  <si>
    <t>Everton</t>
  </si>
  <si>
    <t>FREQUENCY TABLE FOR TEAM PERFORMANCE</t>
  </si>
  <si>
    <t>Frequency for h2h</t>
  </si>
  <si>
    <t>Frequency for 5 games team p</t>
  </si>
  <si>
    <t>RESULT HOME</t>
  </si>
  <si>
    <t xml:space="preserve">RESULT </t>
  </si>
  <si>
    <t>FREQUENCY TABLE FOR H2H</t>
  </si>
  <si>
    <t>Column1</t>
  </si>
  <si>
    <t xml:space="preserve">Frequency </t>
  </si>
  <si>
    <t>over under for 11 games</t>
  </si>
  <si>
    <t>Over under for 5 games</t>
  </si>
  <si>
    <t xml:space="preserve">GOALS </t>
  </si>
  <si>
    <t xml:space="preserve">OVER 1.5 </t>
  </si>
  <si>
    <t>HOME WIN</t>
  </si>
  <si>
    <t xml:space="preserve">METRIC </t>
  </si>
  <si>
    <t>TOTALS</t>
  </si>
  <si>
    <t>Column2</t>
  </si>
  <si>
    <t>HR</t>
  </si>
  <si>
    <t>AR</t>
  </si>
  <si>
    <t>HOMEWIN</t>
  </si>
  <si>
    <t>FORM</t>
  </si>
  <si>
    <t>A.SCORED</t>
  </si>
  <si>
    <t>A.CONCEDED</t>
  </si>
  <si>
    <t>T.P WINS</t>
  </si>
  <si>
    <t>T.P LOSS</t>
  </si>
  <si>
    <t>TP.DRAW</t>
  </si>
  <si>
    <t>Total goals game</t>
  </si>
  <si>
    <t>TOTAL CONCEDED</t>
  </si>
  <si>
    <t>Goal ratio</t>
  </si>
  <si>
    <t>GOAL difference</t>
  </si>
  <si>
    <t>H2H WINS</t>
  </si>
  <si>
    <t>H2H DRAW</t>
  </si>
  <si>
    <t>TOTAL GOALS ME</t>
  </si>
  <si>
    <t>BTTS%</t>
  </si>
  <si>
    <t>OVE1.5</t>
  </si>
  <si>
    <t>OVER2.5</t>
  </si>
  <si>
    <t>0VER 3.5</t>
  </si>
  <si>
    <t>Team moral</t>
  </si>
  <si>
    <t>POINT</t>
  </si>
  <si>
    <t>no of wins FROM METRIC</t>
  </si>
  <si>
    <t xml:space="preserve">H2H BTTS </t>
  </si>
  <si>
    <t>clean sheets</t>
  </si>
  <si>
    <t>A.Scored</t>
  </si>
  <si>
    <t>A.concended</t>
  </si>
  <si>
    <t>T.p wins</t>
  </si>
  <si>
    <t>T.p Loss</t>
  </si>
  <si>
    <t>T.p Draw</t>
  </si>
  <si>
    <t>Goal difference</t>
  </si>
  <si>
    <t>H2H wins</t>
  </si>
  <si>
    <t>Home 11</t>
  </si>
  <si>
    <t>AWAY 11</t>
  </si>
  <si>
    <t>Home 5</t>
  </si>
  <si>
    <t>Away 5</t>
  </si>
  <si>
    <t xml:space="preserve">BTTS  </t>
  </si>
  <si>
    <t>GAME 11</t>
  </si>
  <si>
    <t>Game 5</t>
  </si>
  <si>
    <t>if both teams concedes more than one goal per game</t>
  </si>
  <si>
    <t>suggest that btts likely</t>
  </si>
  <si>
    <t>H</t>
  </si>
  <si>
    <t>A</t>
  </si>
  <si>
    <t>ME RESULT</t>
  </si>
  <si>
    <t>OPPONENT RESULT</t>
  </si>
  <si>
    <t>HEAD TO HEAD</t>
  </si>
  <si>
    <t>MERESULT</t>
  </si>
  <si>
    <t>total</t>
  </si>
  <si>
    <t>Team standing</t>
  </si>
  <si>
    <t>NUMBER OF GOALS GREATER THAN 0</t>
  </si>
  <si>
    <t>STANDING</t>
  </si>
  <si>
    <t>STDING %</t>
  </si>
  <si>
    <t>teams name</t>
  </si>
  <si>
    <t>a</t>
  </si>
  <si>
    <t>RUNNING MATCH</t>
  </si>
  <si>
    <t>WEIGHT</t>
  </si>
  <si>
    <t>b</t>
  </si>
  <si>
    <t>c</t>
  </si>
  <si>
    <t>d</t>
  </si>
  <si>
    <t>f</t>
  </si>
  <si>
    <t>g</t>
  </si>
  <si>
    <t>h</t>
  </si>
  <si>
    <t>j</t>
  </si>
  <si>
    <t>k</t>
  </si>
  <si>
    <t>l</t>
  </si>
  <si>
    <t>m</t>
  </si>
  <si>
    <t xml:space="preserve">  </t>
  </si>
  <si>
    <r>
      <rPr>
        <b/>
        <sz val="11"/>
        <color theme="1"/>
        <rFont val="Aptos Narrow"/>
        <family val="2"/>
      </rPr>
      <t>Form</t>
    </r>
    <r>
      <rPr>
        <sz val="11"/>
        <color theme="1"/>
        <rFont val="Aptos Narrow"/>
        <family val="2"/>
      </rPr>
      <t>: &gt; 60%</t>
    </r>
  </si>
  <si>
    <r>
      <rPr>
        <b/>
        <sz val="11"/>
        <color theme="1"/>
        <rFont val="Aptos Narrow"/>
        <family val="2"/>
      </rPr>
      <t>A. Scored</t>
    </r>
    <r>
      <rPr>
        <sz val="11"/>
        <color theme="1"/>
        <rFont val="Aptos Narrow"/>
        <family val="2"/>
      </rPr>
      <t>: &gt; 1.5 goals</t>
    </r>
  </si>
  <si>
    <r>
      <rPr>
        <b/>
        <sz val="11"/>
        <color theme="1"/>
        <rFont val="Aptos Narrow"/>
        <family val="2"/>
      </rPr>
      <t>T.P WINS</t>
    </r>
    <r>
      <rPr>
        <sz val="11"/>
        <color theme="1"/>
        <rFont val="Aptos Narrow"/>
        <family val="2"/>
      </rPr>
      <t>: &gt; 7 wins</t>
    </r>
  </si>
  <si>
    <r>
      <rPr>
        <b/>
        <sz val="11"/>
        <color theme="1"/>
        <rFont val="Aptos Narrow"/>
        <family val="2"/>
      </rPr>
      <t>T.P LOSS</t>
    </r>
    <r>
      <rPr>
        <sz val="11"/>
        <color theme="1"/>
        <rFont val="Aptos Narrow"/>
        <family val="2"/>
      </rPr>
      <t>: &lt; 4 losses</t>
    </r>
  </si>
  <si>
    <r>
      <rPr>
        <b/>
        <sz val="11"/>
        <color theme="1"/>
        <rFont val="Aptos Narrow"/>
        <family val="2"/>
      </rPr>
      <t>T.P DRAW</t>
    </r>
    <r>
      <rPr>
        <sz val="11"/>
        <color theme="1"/>
        <rFont val="Aptos Narrow"/>
        <family val="2"/>
      </rPr>
      <t>: &gt; 3 draws</t>
    </r>
  </si>
  <si>
    <r>
      <rPr>
        <b/>
        <sz val="11"/>
        <color theme="1"/>
        <rFont val="Aptos Narrow"/>
        <family val="2"/>
      </rPr>
      <t>EG</t>
    </r>
    <r>
      <rPr>
        <sz val="11"/>
        <color theme="1"/>
        <rFont val="Aptos Narrow"/>
        <family val="2"/>
      </rPr>
      <t>: &gt; 1.5 goals</t>
    </r>
  </si>
  <si>
    <r>
      <rPr>
        <b/>
        <sz val="11"/>
        <color theme="1"/>
        <rFont val="Aptos Narrow"/>
        <family val="2"/>
      </rPr>
      <t>Total Conceded</t>
    </r>
    <r>
      <rPr>
        <sz val="11"/>
        <color theme="1"/>
        <rFont val="Aptos Narrow"/>
        <family val="2"/>
      </rPr>
      <t>: &lt; 1.5 goals</t>
    </r>
  </si>
  <si>
    <r>
      <rPr>
        <b/>
        <sz val="11"/>
        <color theme="1"/>
        <rFont val="Aptos Narrow"/>
        <family val="2"/>
      </rPr>
      <t>Goal Ratio</t>
    </r>
    <r>
      <rPr>
        <sz val="11"/>
        <color theme="1"/>
        <rFont val="Aptos Narrow"/>
        <family val="2"/>
      </rPr>
      <t>: &gt; 2 goals</t>
    </r>
  </si>
  <si>
    <t>NOTE:</t>
  </si>
  <si>
    <t>TOTAL GOALS CONCEDED &gt;12</t>
  </si>
  <si>
    <r>
      <rPr>
        <b/>
        <sz val="11"/>
        <color theme="1"/>
        <rFont val="Aptos Narrow"/>
        <family val="2"/>
      </rPr>
      <t>Possession</t>
    </r>
    <r>
      <rPr>
        <sz val="11"/>
        <color theme="1"/>
        <rFont val="Aptos Narrow"/>
        <family val="2"/>
      </rPr>
      <t>: &gt; 55%</t>
    </r>
  </si>
  <si>
    <r>
      <rPr>
        <b/>
        <sz val="11"/>
        <color theme="1"/>
        <rFont val="Aptos Narrow"/>
        <family val="2"/>
      </rPr>
      <t>BTTS</t>
    </r>
    <r>
      <rPr>
        <sz val="11"/>
        <color theme="1"/>
        <rFont val="Aptos Narrow"/>
        <family val="2"/>
      </rPr>
      <t>: &gt; 60%</t>
    </r>
  </si>
  <si>
    <r>
      <rPr>
        <b/>
        <sz val="11"/>
        <color theme="1"/>
        <rFont val="Aptos Narrow"/>
        <family val="2"/>
      </rPr>
      <t>A. Shots on Target</t>
    </r>
    <r>
      <rPr>
        <sz val="11"/>
        <color theme="1"/>
        <rFont val="Aptos Narrow"/>
        <family val="2"/>
      </rPr>
      <t>: &gt; 4 shots</t>
    </r>
  </si>
  <si>
    <r>
      <rPr>
        <b/>
        <sz val="11"/>
        <color theme="1"/>
        <rFont val="Aptos Narrow"/>
        <family val="2"/>
      </rPr>
      <t>Total Wins H2H</t>
    </r>
    <r>
      <rPr>
        <sz val="11"/>
        <color theme="1"/>
        <rFont val="Aptos Narrow"/>
        <family val="2"/>
      </rPr>
      <t>: &gt; 2 wins</t>
    </r>
  </si>
  <si>
    <r>
      <rPr>
        <b/>
        <sz val="11"/>
        <color theme="1"/>
        <rFont val="Aptos Narrow"/>
        <family val="2"/>
      </rPr>
      <t>Goal Difference</t>
    </r>
    <r>
      <rPr>
        <sz val="11"/>
        <color theme="1"/>
        <rFont val="Aptos Narrow"/>
        <family val="2"/>
      </rPr>
      <t>: &gt; 15</t>
    </r>
  </si>
  <si>
    <t>Doble chance</t>
  </si>
  <si>
    <t>Decision Criteria for Double Chance Bet</t>
  </si>
  <si>
    <t>For a Double Chance bet, we focus on the idea that the team we're analyzing is either going to win or draw. The following layout will help in making that decision:</t>
  </si>
  <si>
    <r>
      <rPr>
        <b/>
        <sz val="11"/>
        <color theme="1"/>
        <rFont val="Aptos Narrow"/>
        <family val="2"/>
      </rPr>
      <t>High Confidence (Strongly Favor Double Chance Bet)</t>
    </r>
    <r>
      <rPr>
        <sz val="11"/>
        <color theme="1"/>
        <rFont val="Aptos Narrow"/>
        <family val="2"/>
      </rPr>
      <t>:</t>
    </r>
  </si>
  <si>
    <r>
      <rPr>
        <b/>
        <sz val="11"/>
        <color theme="1"/>
        <rFont val="Aptos Narrow"/>
        <family val="2"/>
      </rPr>
      <t>Condition</t>
    </r>
    <r>
      <rPr>
        <sz val="11"/>
        <color theme="1"/>
        <rFont val="Aptos Narrow"/>
        <family val="2"/>
      </rPr>
      <t>: 8 or more metrics meet the threshold values.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</si>
  <si>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When the majority of key performance indicators suggest strength, the likelihood of the team avoiding a loss is high.</t>
    </r>
  </si>
  <si>
    <r>
      <rPr>
        <b/>
        <sz val="11"/>
        <color theme="1"/>
        <rFont val="Aptos Narrow"/>
        <family val="2"/>
      </rPr>
      <t>Moderate Confidence (Favor Double Chance Bet with Caution)</t>
    </r>
    <r>
      <rPr>
        <sz val="11"/>
        <color theme="1"/>
        <rFont val="Aptos Narrow"/>
        <family val="2"/>
      </rPr>
      <t>:</t>
    </r>
  </si>
  <si>
    <r>
      <rPr>
        <b/>
        <sz val="11"/>
        <color theme="1"/>
        <rFont val="Aptos Narrow"/>
        <family val="2"/>
      </rPr>
      <t>Condition</t>
    </r>
    <r>
      <rPr>
        <sz val="11"/>
        <color theme="1"/>
        <rFont val="Aptos Narrow"/>
        <family val="2"/>
      </rPr>
      <t>: 5-7 metrics meet the threshold values.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</si>
  <si>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The team shows potential strength, but there might be vulnerabilities. Double Chance is still favorable but should be approached with some caution.</t>
    </r>
  </si>
  <si>
    <r>
      <rPr>
        <b/>
        <sz val="11"/>
        <color theme="1"/>
        <rFont val="Aptos Narrow"/>
        <family val="2"/>
      </rPr>
      <t>Low Confidence (Avoid Double Chance Bet)</t>
    </r>
    <r>
      <rPr>
        <sz val="11"/>
        <color theme="1"/>
        <rFont val="Aptos Narrow"/>
        <family val="2"/>
      </rPr>
      <t>:</t>
    </r>
  </si>
  <si>
    <r>
      <rPr>
        <b/>
        <sz val="11"/>
        <color theme="1"/>
        <rFont val="Aptos Narrow"/>
        <family val="2"/>
      </rPr>
      <t>Condition</t>
    </r>
    <r>
      <rPr>
        <sz val="11"/>
        <color theme="1"/>
        <rFont val="Aptos Narrow"/>
        <family val="2"/>
      </rPr>
      <t>: Fewer than 5 metrics meet the threshold values.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</si>
  <si>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The team is not meeting enough critical thresholds to justify a Double Chance bet confidently.</t>
    </r>
  </si>
  <si>
    <t>Combined Metric Analysis for BTTS</t>
  </si>
  <si>
    <r>
      <rPr>
        <b/>
        <sz val="11"/>
        <color theme="1"/>
        <rFont val="Aptos Narrow"/>
        <family val="2"/>
      </rPr>
      <t>Step 1</t>
    </r>
    <r>
      <rPr>
        <sz val="11"/>
        <color theme="1"/>
        <rFont val="Aptos Narrow"/>
        <family val="2"/>
      </rPr>
      <t xml:space="preserve">: </t>
    </r>
    <r>
      <rPr>
        <b/>
        <sz val="11"/>
        <color theme="1"/>
        <rFont val="Aptos Narrow"/>
        <family val="2"/>
      </rPr>
      <t>Individual Team Analysis</t>
    </r>
  </si>
  <si>
    <r>
      <rPr>
        <sz val="11"/>
        <color theme="1"/>
        <rFont val="Aptos Narrow"/>
        <family val="2"/>
      </rPr>
      <t xml:space="preserve">Evaluate </t>
    </r>
    <r>
      <rPr>
        <b/>
        <sz val="11"/>
        <color theme="1"/>
        <rFont val="Aptos Narrow"/>
        <family val="2"/>
      </rPr>
      <t>Home Team (H.R)</t>
    </r>
    <r>
      <rPr>
        <sz val="11"/>
        <color theme="1"/>
        <rFont val="Aptos Narrow"/>
        <family val="2"/>
      </rPr>
      <t xml:space="preserve"> against all 13 thresholds.</t>
    </r>
  </si>
  <si>
    <r>
      <rPr>
        <sz val="11"/>
        <color theme="1"/>
        <rFont val="Aptos Narrow"/>
        <family val="2"/>
      </rPr>
      <t xml:space="preserve">Evaluate </t>
    </r>
    <r>
      <rPr>
        <b/>
        <sz val="11"/>
        <color theme="1"/>
        <rFont val="Aptos Narrow"/>
        <family val="2"/>
      </rPr>
      <t>Away Team (A.R)</t>
    </r>
    <r>
      <rPr>
        <sz val="11"/>
        <color theme="1"/>
        <rFont val="Aptos Narrow"/>
        <family val="2"/>
      </rPr>
      <t xml:space="preserve"> against all 13 thresholds.</t>
    </r>
  </si>
  <si>
    <r>
      <rPr>
        <b/>
        <sz val="11"/>
        <color theme="1"/>
        <rFont val="Aptos Narrow"/>
        <family val="2"/>
      </rPr>
      <t>Step 2</t>
    </r>
    <r>
      <rPr>
        <sz val="11"/>
        <color theme="1"/>
        <rFont val="Aptos Narrow"/>
        <family val="2"/>
      </rPr>
      <t xml:space="preserve">: </t>
    </r>
    <r>
      <rPr>
        <b/>
        <sz val="11"/>
        <color theme="1"/>
        <rFont val="Aptos Narrow"/>
        <family val="2"/>
      </rPr>
      <t>Threshold Count</t>
    </r>
  </si>
  <si>
    <r>
      <rPr>
        <b/>
        <sz val="11"/>
        <color theme="1"/>
        <rFont val="Aptos Narrow"/>
        <family val="2"/>
      </rPr>
      <t>High BTTS Potential</t>
    </r>
    <r>
      <rPr>
        <sz val="11"/>
        <color theme="1"/>
        <rFont val="Aptos Narrow"/>
        <family val="2"/>
      </rPr>
      <t xml:space="preserve">: If a team meets or exceeds </t>
    </r>
    <r>
      <rPr>
        <b/>
        <sz val="11"/>
        <color theme="1"/>
        <rFont val="Aptos Narrow"/>
        <family val="2"/>
      </rPr>
      <t>10 out of 13</t>
    </r>
    <r>
      <rPr>
        <sz val="11"/>
        <color theme="1"/>
        <rFont val="Aptos Narrow"/>
        <family val="2"/>
      </rPr>
      <t xml:space="preserve"> thresholds, it suggests a strong likelihood for BTTS.</t>
    </r>
  </si>
  <si>
    <r>
      <rPr>
        <b/>
        <sz val="11"/>
        <color theme="1"/>
        <rFont val="Aptos Narrow"/>
        <family val="2"/>
      </rPr>
      <t>Moderate BTTS Potential</t>
    </r>
    <r>
      <rPr>
        <sz val="11"/>
        <color theme="1"/>
        <rFont val="Aptos Narrow"/>
        <family val="2"/>
      </rPr>
      <t xml:space="preserve">: If a team meets </t>
    </r>
    <r>
      <rPr>
        <b/>
        <sz val="11"/>
        <color theme="1"/>
        <rFont val="Aptos Narrow"/>
        <family val="2"/>
      </rPr>
      <t>7 to 9</t>
    </r>
    <r>
      <rPr>
        <sz val="11"/>
        <color theme="1"/>
        <rFont val="Aptos Narrow"/>
        <family val="2"/>
      </rPr>
      <t xml:space="preserve"> thresholds, there's still a good chance for BTTS.</t>
    </r>
  </si>
  <si>
    <r>
      <rPr>
        <b/>
        <sz val="11"/>
        <color theme="1"/>
        <rFont val="Aptos Narrow"/>
        <family val="2"/>
      </rPr>
      <t>Low BTTS Potential</t>
    </r>
    <r>
      <rPr>
        <sz val="11"/>
        <color theme="1"/>
        <rFont val="Aptos Narrow"/>
        <family val="2"/>
      </rPr>
      <t xml:space="preserve">: If a team meets fewer than </t>
    </r>
    <r>
      <rPr>
        <b/>
        <sz val="11"/>
        <color theme="1"/>
        <rFont val="Aptos Narrow"/>
        <family val="2"/>
      </rPr>
      <t>7</t>
    </r>
    <r>
      <rPr>
        <sz val="11"/>
        <color theme="1"/>
        <rFont val="Aptos Narrow"/>
        <family val="2"/>
      </rPr>
      <t xml:space="preserve"> thresholds, BTTS might be less likely.</t>
    </r>
  </si>
  <si>
    <r>
      <rPr>
        <b/>
        <sz val="11"/>
        <color theme="1"/>
        <rFont val="Aptos Narrow"/>
        <family val="2"/>
      </rPr>
      <t>Step 3</t>
    </r>
    <r>
      <rPr>
        <sz val="11"/>
        <color theme="1"/>
        <rFont val="Aptos Narrow"/>
        <family val="2"/>
      </rPr>
      <t xml:space="preserve">: </t>
    </r>
    <r>
      <rPr>
        <b/>
        <sz val="11"/>
        <color theme="1"/>
        <rFont val="Aptos Narrow"/>
        <family val="2"/>
      </rPr>
      <t>Combined Team Analysis</t>
    </r>
  </si>
  <si>
    <r>
      <rPr>
        <b/>
        <sz val="11"/>
        <color theme="1"/>
        <rFont val="Aptos Narrow"/>
        <family val="2"/>
      </rPr>
      <t>High BTTS Probability</t>
    </r>
    <r>
      <rPr>
        <sz val="11"/>
        <color theme="1"/>
        <rFont val="Aptos Narrow"/>
        <family val="2"/>
      </rPr>
      <t xml:space="preserve">: Both teams meet or exceed </t>
    </r>
    <r>
      <rPr>
        <b/>
        <sz val="11"/>
        <color theme="1"/>
        <rFont val="Aptos Narrow"/>
        <family val="2"/>
      </rPr>
      <t>10 out of 13</t>
    </r>
    <r>
      <rPr>
        <sz val="11"/>
        <color theme="1"/>
        <rFont val="Aptos Narrow"/>
        <family val="2"/>
      </rPr>
      <t xml:space="preserve"> thresholds.</t>
    </r>
  </si>
  <si>
    <r>
      <rPr>
        <b/>
        <sz val="11"/>
        <color theme="1"/>
        <rFont val="Aptos Narrow"/>
        <family val="2"/>
      </rPr>
      <t>Moderate BTTS Probability</t>
    </r>
    <r>
      <rPr>
        <sz val="11"/>
        <color theme="1"/>
        <rFont val="Aptos Narrow"/>
        <family val="2"/>
      </rPr>
      <t xml:space="preserve">: Both teams meet or exceed </t>
    </r>
    <r>
      <rPr>
        <b/>
        <sz val="11"/>
        <color theme="1"/>
        <rFont val="Aptos Narrow"/>
        <family val="2"/>
      </rPr>
      <t>7 to 9</t>
    </r>
    <r>
      <rPr>
        <sz val="11"/>
        <color theme="1"/>
        <rFont val="Aptos Narrow"/>
        <family val="2"/>
      </rPr>
      <t xml:space="preserve"> thresholds.</t>
    </r>
  </si>
  <si>
    <r>
      <rPr>
        <b/>
        <sz val="11"/>
        <color theme="1"/>
        <rFont val="Aptos Narrow"/>
        <family val="2"/>
      </rPr>
      <t>Low BTTS Probability</t>
    </r>
    <r>
      <rPr>
        <sz val="11"/>
        <color theme="1"/>
        <rFont val="Aptos Narrow"/>
        <family val="2"/>
      </rPr>
      <t xml:space="preserve">: Either or both teams fail to meet at least </t>
    </r>
    <r>
      <rPr>
        <b/>
        <sz val="11"/>
        <color theme="1"/>
        <rFont val="Aptos Narrow"/>
        <family val="2"/>
      </rPr>
      <t>7 thresholds</t>
    </r>
    <r>
      <rPr>
        <sz val="11"/>
        <color theme="1"/>
        <rFont val="Aptos Narrow"/>
        <family val="2"/>
      </rPr>
      <t>.</t>
    </r>
  </si>
  <si>
    <r>
      <rPr>
        <b/>
        <sz val="11"/>
        <color theme="1"/>
        <rFont val="Aptos Narrow"/>
        <family val="2"/>
      </rPr>
      <t>Step 4</t>
    </r>
    <r>
      <rPr>
        <sz val="11"/>
        <color theme="1"/>
        <rFont val="Aptos Narrow"/>
        <family val="2"/>
      </rPr>
      <t xml:space="preserve">: </t>
    </r>
    <r>
      <rPr>
        <b/>
        <sz val="11"/>
        <color theme="1"/>
        <rFont val="Aptos Narrow"/>
        <family val="2"/>
      </rPr>
      <t>Final Decision</t>
    </r>
  </si>
  <si>
    <r>
      <rPr>
        <b/>
        <sz val="11"/>
        <color theme="1"/>
        <rFont val="Aptos Narrow"/>
        <family val="2"/>
      </rPr>
      <t>Place BTTS Bet</t>
    </r>
    <r>
      <rPr>
        <sz val="11"/>
        <color theme="1"/>
        <rFont val="Aptos Narrow"/>
        <family val="2"/>
      </rPr>
      <t xml:space="preserve">: If both teams fall under </t>
    </r>
    <r>
      <rPr>
        <b/>
        <sz val="11"/>
        <color theme="1"/>
        <rFont val="Aptos Narrow"/>
        <family val="2"/>
      </rPr>
      <t>High or Moderate BTTS Probability</t>
    </r>
    <r>
      <rPr>
        <sz val="11"/>
        <color theme="1"/>
        <rFont val="Aptos Narrow"/>
        <family val="2"/>
      </rPr>
      <t>.</t>
    </r>
  </si>
  <si>
    <r>
      <rPr>
        <b/>
        <sz val="11"/>
        <color theme="1"/>
        <rFont val="Aptos Narrow"/>
        <family val="2"/>
      </rPr>
      <t>Avoid BTTS Bet</t>
    </r>
    <r>
      <rPr>
        <sz val="11"/>
        <color theme="1"/>
        <rFont val="Aptos Narrow"/>
        <family val="2"/>
      </rPr>
      <t xml:space="preserve">: If either team is categorized as </t>
    </r>
    <r>
      <rPr>
        <b/>
        <sz val="11"/>
        <color theme="1"/>
        <rFont val="Aptos Narrow"/>
        <family val="2"/>
      </rPr>
      <t>Low BTTS Probability</t>
    </r>
    <r>
      <rPr>
        <sz val="11"/>
        <color theme="1"/>
        <rFont val="Aptos Narrow"/>
        <family val="2"/>
      </rPr>
      <t>.</t>
    </r>
  </si>
  <si>
    <t>OVER AND UNDER</t>
  </si>
  <si>
    <t>Framework for Testing Over/Under Bets</t>
  </si>
  <si>
    <t>Over 0.5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</si>
  <si>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Over 0.5 bet if:</t>
    </r>
  </si>
  <si>
    <r>
      <rPr>
        <b/>
        <sz val="11"/>
        <color theme="1"/>
        <rFont val="Aptos Narrow"/>
        <family val="2"/>
      </rPr>
      <t>Form &gt; 60%</t>
    </r>
    <r>
      <rPr>
        <sz val="11"/>
        <color theme="1"/>
        <rFont val="Aptos Narrow"/>
        <family val="2"/>
      </rPr>
      <t xml:space="preserve"> for at least one team.</t>
    </r>
  </si>
  <si>
    <r>
      <rPr>
        <b/>
        <sz val="11"/>
        <color theme="1"/>
        <rFont val="Aptos Narrow"/>
        <family val="2"/>
      </rPr>
      <t>A.Scored &gt; 1.5</t>
    </r>
    <r>
      <rPr>
        <sz val="11"/>
        <color theme="1"/>
        <rFont val="Aptos Narrow"/>
        <family val="2"/>
      </rPr>
      <t xml:space="preserve"> goals.</t>
    </r>
  </si>
  <si>
    <r>
      <rPr>
        <b/>
        <sz val="11"/>
        <color theme="1"/>
        <rFont val="Aptos Narrow"/>
        <family val="2"/>
      </rPr>
      <t>Total Conceded &gt; 1.5</t>
    </r>
    <r>
      <rPr>
        <sz val="11"/>
        <color theme="1"/>
        <rFont val="Aptos Narrow"/>
        <family val="2"/>
      </rPr>
      <t xml:space="preserve"> goals for at least one team.</t>
    </r>
  </si>
  <si>
    <r>
      <rPr>
        <b/>
        <sz val="11"/>
        <color theme="1"/>
        <rFont val="Aptos Narrow"/>
        <family val="2"/>
      </rPr>
      <t>A.Shots on Target &gt; 4</t>
    </r>
    <r>
      <rPr>
        <sz val="11"/>
        <color theme="1"/>
        <rFont val="Aptos Narrow"/>
        <family val="2"/>
      </rPr>
      <t xml:space="preserve"> shots for at least one team.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</si>
  <si>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These metrics suggest that at least one goal is highly probable.</t>
    </r>
  </si>
  <si>
    <t>Under 0.5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</si>
  <si>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Under 0.5 bet if:</t>
    </r>
  </si>
  <si>
    <r>
      <rPr>
        <b/>
        <sz val="11"/>
        <color theme="1"/>
        <rFont val="Aptos Narrow"/>
        <family val="2"/>
      </rPr>
      <t>Form &lt; 60%</t>
    </r>
    <r>
      <rPr>
        <sz val="11"/>
        <color theme="1"/>
        <rFont val="Aptos Narrow"/>
        <family val="2"/>
      </rPr>
      <t xml:space="preserve"> for both teams.</t>
    </r>
  </si>
  <si>
    <r>
      <rPr>
        <b/>
        <sz val="11"/>
        <color theme="1"/>
        <rFont val="Aptos Narrow"/>
        <family val="2"/>
      </rPr>
      <t>A.Scored &lt; 1.5</t>
    </r>
    <r>
      <rPr>
        <sz val="11"/>
        <color theme="1"/>
        <rFont val="Aptos Narrow"/>
        <family val="2"/>
      </rPr>
      <t xml:space="preserve"> goals for both teams.</t>
    </r>
  </si>
  <si>
    <r>
      <rPr>
        <b/>
        <sz val="11"/>
        <color theme="1"/>
        <rFont val="Aptos Narrow"/>
        <family val="2"/>
      </rPr>
      <t>Total Conceded &lt; 1.5</t>
    </r>
    <r>
      <rPr>
        <sz val="11"/>
        <color theme="1"/>
        <rFont val="Aptos Narrow"/>
        <family val="2"/>
      </rPr>
      <t xml:space="preserve"> goals for both teams.</t>
    </r>
  </si>
  <si>
    <r>
      <rPr>
        <b/>
        <sz val="11"/>
        <color theme="1"/>
        <rFont val="Aptos Narrow"/>
        <family val="2"/>
      </rPr>
      <t>A.Shots on Target &lt; 4</t>
    </r>
    <r>
      <rPr>
        <sz val="11"/>
        <color theme="1"/>
        <rFont val="Aptos Narrow"/>
        <family val="2"/>
      </rPr>
      <t xml:space="preserve"> shots for both teams.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</si>
  <si>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These metrics indicate a low-scoring game.</t>
    </r>
  </si>
  <si>
    <t>Over 1.5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</si>
  <si>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Over 1.5 bet if:</t>
    </r>
  </si>
  <si>
    <r>
      <rPr>
        <b/>
        <sz val="11"/>
        <color theme="1"/>
        <rFont val="Aptos Narrow"/>
        <family val="2"/>
      </rPr>
      <t>Form &gt; 60%</t>
    </r>
    <r>
      <rPr>
        <sz val="11"/>
        <color theme="1"/>
        <rFont val="Aptos Narrow"/>
        <family val="2"/>
      </rPr>
      <t xml:space="preserve"> for both teams.</t>
    </r>
  </si>
  <si>
    <r>
      <rPr>
        <b/>
        <sz val="11"/>
        <color theme="1"/>
        <rFont val="Aptos Narrow"/>
        <family val="2"/>
      </rPr>
      <t>A.Scored &gt; 1.5</t>
    </r>
    <r>
      <rPr>
        <sz val="11"/>
        <color theme="1"/>
        <rFont val="Aptos Narrow"/>
        <family val="2"/>
      </rPr>
      <t xml:space="preserve"> goals for both teams.</t>
    </r>
  </si>
  <si>
    <r>
      <rPr>
        <b/>
        <sz val="11"/>
        <color theme="1"/>
        <rFont val="Aptos Narrow"/>
        <family val="2"/>
      </rPr>
      <t>EG &gt; 1.5</t>
    </r>
    <r>
      <rPr>
        <sz val="11"/>
        <color theme="1"/>
        <rFont val="Aptos Narrow"/>
        <family val="2"/>
      </rPr>
      <t xml:space="preserve"> goals.</t>
    </r>
  </si>
  <si>
    <r>
      <rPr>
        <b/>
        <sz val="11"/>
        <color theme="1"/>
        <rFont val="Aptos Narrow"/>
        <family val="2"/>
      </rPr>
      <t>BTTS &gt; 60%</t>
    </r>
    <r>
      <rPr>
        <sz val="11"/>
        <color theme="1"/>
        <rFont val="Aptos Narrow"/>
        <family val="2"/>
      </rPr>
      <t>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</si>
  <si>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High form and scoring metrics suggest at least 2 goals are likely.</t>
    </r>
  </si>
  <si>
    <t>Under 1.5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</si>
  <si>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Under 1.5 bet if:</t>
    </r>
  </si>
  <si>
    <r>
      <rPr>
        <b/>
        <sz val="11"/>
        <color theme="1"/>
        <rFont val="Aptos Narrow"/>
        <family val="2"/>
      </rPr>
      <t>EG &lt; 1.5</t>
    </r>
    <r>
      <rPr>
        <sz val="11"/>
        <color theme="1"/>
        <rFont val="Aptos Narrow"/>
        <family val="2"/>
      </rPr>
      <t xml:space="preserve"> goals.</t>
    </r>
  </si>
  <si>
    <r>
      <rPr>
        <b/>
        <sz val="11"/>
        <color theme="1"/>
        <rFont val="Aptos Narrow"/>
        <family val="2"/>
      </rPr>
      <t>BTTS &lt; 60%</t>
    </r>
    <r>
      <rPr>
        <sz val="11"/>
        <color theme="1"/>
        <rFont val="Aptos Narrow"/>
        <family val="2"/>
      </rPr>
      <t>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</si>
  <si>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Low form and scoring metrics suggest fewer than 2 goals.</t>
    </r>
  </si>
  <si>
    <t>Over 2.5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</si>
  <si>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Over 2.5 bet if: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</si>
  <si>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Strong attacking metrics and defensive vulnerabilities suggest 3 or more goals.</t>
    </r>
  </si>
  <si>
    <t>Under 2.5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</si>
  <si>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Under 2.5 bet if: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</si>
  <si>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Weak attacking metrics and strong defense suggest fewer than 3 goals.</t>
    </r>
  </si>
  <si>
    <t>Over 3.5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</si>
  <si>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Over 3.5 bet if:</t>
    </r>
  </si>
  <si>
    <r>
      <rPr>
        <b/>
        <sz val="11"/>
        <color theme="1"/>
        <rFont val="Aptos Narrow"/>
        <family val="2"/>
      </rPr>
      <t>A.Scored &gt; 2</t>
    </r>
    <r>
      <rPr>
        <sz val="11"/>
        <color theme="1"/>
        <rFont val="Aptos Narrow"/>
        <family val="2"/>
      </rPr>
      <t xml:space="preserve"> goals for both teams.</t>
    </r>
  </si>
  <si>
    <r>
      <rPr>
        <b/>
        <sz val="11"/>
        <color theme="1"/>
        <rFont val="Aptos Narrow"/>
        <family val="2"/>
      </rPr>
      <t>Goal Ratio &gt; 2</t>
    </r>
    <r>
      <rPr>
        <sz val="11"/>
        <color theme="1"/>
        <rFont val="Aptos Narrow"/>
        <family val="2"/>
      </rPr>
      <t xml:space="preserve"> goals.</t>
    </r>
  </si>
  <si>
    <r>
      <rPr>
        <b/>
        <sz val="11"/>
        <color theme="1"/>
        <rFont val="Aptos Narrow"/>
        <family val="2"/>
      </rPr>
      <t>A.Shots on Target &gt; 4</t>
    </r>
    <r>
      <rPr>
        <sz val="11"/>
        <color theme="1"/>
        <rFont val="Aptos Narrow"/>
        <family val="2"/>
      </rPr>
      <t xml:space="preserve"> shots for both teams.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</si>
  <si>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Extremely high-scoring potential with both teams likely to contribute.</t>
    </r>
  </si>
  <si>
    <t>Under 3.5 Goals</t>
  </si>
  <si>
    <r>
      <rPr>
        <b/>
        <sz val="11"/>
        <color theme="1"/>
        <rFont val="Aptos Narrow"/>
        <family val="2"/>
      </rPr>
      <t>Criteria</t>
    </r>
    <r>
      <rPr>
        <sz val="11"/>
        <color theme="1"/>
        <rFont val="Aptos Narrow"/>
        <family val="2"/>
      </rPr>
      <t>: Place an Under 3.5 bet if:</t>
    </r>
  </si>
  <si>
    <r>
      <rPr>
        <b/>
        <sz val="11"/>
        <color theme="1"/>
        <rFont val="Aptos Narrow"/>
        <family val="2"/>
      </rPr>
      <t>A.Scored &lt; 2</t>
    </r>
    <r>
      <rPr>
        <sz val="11"/>
        <color theme="1"/>
        <rFont val="Aptos Narrow"/>
        <family val="2"/>
      </rPr>
      <t xml:space="preserve"> goals for both teams.</t>
    </r>
  </si>
  <si>
    <r>
      <rPr>
        <b/>
        <sz val="11"/>
        <color theme="1"/>
        <rFont val="Aptos Narrow"/>
        <family val="2"/>
      </rPr>
      <t>Goal Ratio &lt; 2</t>
    </r>
    <r>
      <rPr>
        <sz val="11"/>
        <color theme="1"/>
        <rFont val="Aptos Narrow"/>
        <family val="2"/>
      </rPr>
      <t xml:space="preserve"> goals.</t>
    </r>
  </si>
  <si>
    <r>
      <rPr>
        <b/>
        <sz val="11"/>
        <color theme="1"/>
        <rFont val="Aptos Narrow"/>
        <family val="2"/>
      </rPr>
      <t>Rationale</t>
    </r>
    <r>
      <rPr>
        <sz val="11"/>
        <color theme="1"/>
        <rFont val="Aptos Narrow"/>
        <family val="2"/>
      </rPr>
      <t>: Moderate scoring potential with a cap at 3 goals.</t>
    </r>
  </si>
  <si>
    <t>Home</t>
  </si>
  <si>
    <t>Away</t>
  </si>
  <si>
    <t>Position</t>
  </si>
  <si>
    <t>Las Palmas</t>
  </si>
  <si>
    <t>Sevilla</t>
  </si>
  <si>
    <t>Real Betis</t>
  </si>
  <si>
    <t>DRAWS</t>
  </si>
  <si>
    <t>AVERAGE SCORED</t>
  </si>
  <si>
    <t>GOALS CONEDED</t>
  </si>
  <si>
    <t>TOTAL MATCHES</t>
  </si>
  <si>
    <t>N.FORM</t>
  </si>
  <si>
    <t>TOTAL WIN(W)</t>
  </si>
  <si>
    <t>TOTAL LOSS(L)</t>
  </si>
  <si>
    <t>TOTAL DRAW (D)</t>
  </si>
  <si>
    <t>Rayo Vallecano</t>
  </si>
  <si>
    <t>Criteria</t>
  </si>
  <si>
    <t>Double chance or Draw</t>
  </si>
  <si>
    <t>if the a team uses much metrics lets say 5 to beat another team then this counts</t>
  </si>
  <si>
    <t>Double chance or eithere</t>
  </si>
  <si>
    <t>if both teams are having similar metrics or their metrics just have difference of 1-3</t>
  </si>
  <si>
    <t>Rules</t>
  </si>
  <si>
    <t>OVER UNDER</t>
  </si>
  <si>
    <t>1. OVER 0.5 GREATER THAN 80% FOR BOTH TEAMS</t>
  </si>
  <si>
    <t>2. ONE MUST BE ABOVE 50% AVERAGE</t>
  </si>
  <si>
    <t>3. AT LEAST average goal conceded must be greater than one for one team</t>
  </si>
  <si>
    <t xml:space="preserve">over 1.5 </t>
  </si>
  <si>
    <t>all over o.5 must be met</t>
  </si>
  <si>
    <t>two teams must be above 50%</t>
  </si>
  <si>
    <t>both must have an average goal conceded greater than one</t>
  </si>
  <si>
    <t>both must have an average goal scored greater than 1.5</t>
  </si>
  <si>
    <t>teams having good clean sheet is consered a plus, but not the two teams</t>
  </si>
  <si>
    <t>both teams should have a btts percentage greater than 55% FOR 5 or one should have up to 80%</t>
  </si>
  <si>
    <t>Number fo games for the left section</t>
  </si>
  <si>
    <t>Double chance 2</t>
  </si>
  <si>
    <t>ALWAYS CHOOSE OVER 1.5 OVER BTTS, UNLESS BTTS HAS HIGH VALUE</t>
  </si>
  <si>
    <t>Over 0.5</t>
  </si>
  <si>
    <t>.</t>
  </si>
  <si>
    <t>Alavés</t>
  </si>
  <si>
    <t>Barcelona</t>
  </si>
  <si>
    <t>Getafe</t>
  </si>
  <si>
    <t>Real Madrid</t>
  </si>
  <si>
    <t>Espanyol</t>
  </si>
  <si>
    <t>Real Sociedad</t>
  </si>
  <si>
    <t>Celta Vigo</t>
  </si>
  <si>
    <t>Real Valladolid</t>
  </si>
  <si>
    <t>Mallorca</t>
  </si>
  <si>
    <t>Leganés</t>
  </si>
  <si>
    <t>Me score</t>
  </si>
  <si>
    <t>Brighton &amp; Hove Albion</t>
  </si>
  <si>
    <t>Tottenham Hotspur</t>
  </si>
  <si>
    <t>Ferencvaros</t>
  </si>
  <si>
    <t>Bayern Munich</t>
  </si>
  <si>
    <t>Queens Park Rangers</t>
  </si>
  <si>
    <t>Opps score</t>
  </si>
  <si>
    <t>Manchester City</t>
  </si>
  <si>
    <t>Aston Villa</t>
  </si>
  <si>
    <t>Me result</t>
  </si>
  <si>
    <t>OPPS RESULT</t>
  </si>
  <si>
    <t>Preston North End</t>
  </si>
  <si>
    <t>Birmingham City</t>
  </si>
  <si>
    <t>Wycombe Wanderers</t>
  </si>
  <si>
    <t>Young Boys</t>
  </si>
  <si>
    <t>Borussia Dortmund</t>
  </si>
  <si>
    <t>Date</t>
  </si>
  <si>
    <t>Home score</t>
  </si>
  <si>
    <t>Away score</t>
  </si>
  <si>
    <t>Sun, Oct 6</t>
  </si>
  <si>
    <t>Wed, Oct 2</t>
  </si>
  <si>
    <t>Sun, Sep 29</t>
  </si>
  <si>
    <t>Tue, Sep 24</t>
  </si>
  <si>
    <t>Sat, Sep 21</t>
  </si>
  <si>
    <t>Tue, Sep 17</t>
  </si>
  <si>
    <t>Sat, Sep 14</t>
  </si>
  <si>
    <t>Sat, Aug 31</t>
  </si>
  <si>
    <t>Sat, Aug 24</t>
  </si>
  <si>
    <t>Sat, Aug 17</t>
  </si>
  <si>
    <t>Sat, Aug 10</t>
  </si>
  <si>
    <t>#out of 10</t>
  </si>
  <si>
    <t>Game_ID</t>
  </si>
  <si>
    <t>ID</t>
  </si>
  <si>
    <t>The max odd is 1.2</t>
  </si>
  <si>
    <t>Never bet without the use of the system</t>
  </si>
  <si>
    <t>Index</t>
  </si>
  <si>
    <t>Burnley</t>
  </si>
  <si>
    <t>Slovan Bratislava</t>
  </si>
  <si>
    <t>Watford</t>
  </si>
  <si>
    <t>Internazionale</t>
  </si>
  <si>
    <t>AC Milan</t>
  </si>
  <si>
    <t>Celtic</t>
  </si>
  <si>
    <t>Team</t>
  </si>
  <si>
    <t>point</t>
  </si>
  <si>
    <t>Bologna</t>
  </si>
  <si>
    <t>KAA Gent</t>
  </si>
  <si>
    <t>Barrow</t>
  </si>
  <si>
    <t>Servette</t>
  </si>
  <si>
    <t>América</t>
  </si>
  <si>
    <t>Wrexham</t>
  </si>
  <si>
    <t>Villarreal</t>
  </si>
  <si>
    <t>Osasuna</t>
  </si>
  <si>
    <t>Girona</t>
  </si>
  <si>
    <t>Atlético Madrid</t>
  </si>
  <si>
    <t>Sunderland</t>
  </si>
  <si>
    <t>Index.1</t>
  </si>
  <si>
    <t>Norwich City</t>
  </si>
  <si>
    <t>Nantes</t>
  </si>
  <si>
    <t>Crawley Town</t>
  </si>
  <si>
    <t>Charlton Athletic</t>
  </si>
  <si>
    <t>Bodo/Glimt</t>
  </si>
  <si>
    <t>Opps</t>
  </si>
  <si>
    <t>Valencia</t>
  </si>
  <si>
    <t>Athletic Club</t>
  </si>
  <si>
    <t>PSV Eindhoven</t>
  </si>
  <si>
    <t>odds</t>
  </si>
  <si>
    <t>allocation</t>
  </si>
  <si>
    <t>bet type</t>
  </si>
  <si>
    <t>win</t>
  </si>
  <si>
    <t>Column3</t>
  </si>
  <si>
    <t>Column4</t>
  </si>
  <si>
    <t>Column5</t>
  </si>
  <si>
    <t>Column6</t>
  </si>
  <si>
    <t>RB Leipzig</t>
  </si>
  <si>
    <t>Sparta Prague</t>
  </si>
  <si>
    <t>Tue, Oct 22</t>
  </si>
  <si>
    <t>Sat, Oct 19</t>
  </si>
  <si>
    <t>Walsall</t>
  </si>
  <si>
    <t>Tranmere Rovers</t>
  </si>
  <si>
    <t>Lens</t>
  </si>
  <si>
    <t>FC Augsburg</t>
  </si>
  <si>
    <t>Palermo</t>
  </si>
  <si>
    <t>Shrewsbury Town</t>
  </si>
  <si>
    <t>Sat, Oct 5</t>
  </si>
  <si>
    <t>Mon, Sep 30</t>
  </si>
  <si>
    <t>Wed, Aug 28</t>
  </si>
  <si>
    <t>Sun, Aug 25</t>
  </si>
  <si>
    <t>Wed, Jul 24</t>
  </si>
  <si>
    <t>Sat, Jul 20</t>
  </si>
  <si>
    <t xml:space="preserve">ASTON </t>
  </si>
  <si>
    <t>NOTT</t>
  </si>
  <si>
    <t>Cardiff City</t>
  </si>
  <si>
    <t>Wed, Aug 7</t>
  </si>
  <si>
    <t>Lazio</t>
  </si>
  <si>
    <t>Positon</t>
  </si>
  <si>
    <t>Sat, Sep 28</t>
  </si>
  <si>
    <t>Sun, Sep 22</t>
  </si>
  <si>
    <t>Wed, Sep 18</t>
  </si>
  <si>
    <t>Tue, Aug 27</t>
  </si>
  <si>
    <t>Leyton Orient</t>
  </si>
  <si>
    <t>Colchester United</t>
  </si>
  <si>
    <t>Sun, Aug 18</t>
  </si>
  <si>
    <t>Fri, Aug 9</t>
  </si>
  <si>
    <t>VfL Wolfsburg</t>
  </si>
  <si>
    <t>Sat, Aug 3</t>
  </si>
  <si>
    <t>Thu, Jul 25</t>
  </si>
  <si>
    <t>Benfica</t>
  </si>
  <si>
    <t>AFC Wimbledon</t>
  </si>
  <si>
    <t>Tue, Oct 1</t>
  </si>
  <si>
    <t>Sun, Sep 15</t>
  </si>
  <si>
    <t>Sun, Sep 1</t>
  </si>
  <si>
    <t>Wed, May 22</t>
  </si>
  <si>
    <t>Paris Saint-Germain</t>
  </si>
  <si>
    <t>Wed, Sep 25</t>
  </si>
  <si>
    <t>Bolton Wanderers</t>
  </si>
  <si>
    <t>Thu, Sep 19</t>
  </si>
  <si>
    <t>Atalanta</t>
  </si>
  <si>
    <t>Sun, Aug 11</t>
  </si>
  <si>
    <t>Lyon</t>
  </si>
  <si>
    <t>Bayer Leverkusen</t>
  </si>
  <si>
    <t>Wed, Jul 31</t>
  </si>
  <si>
    <t>Sat, Jul 27</t>
  </si>
  <si>
    <t>Sat, Oct 26</t>
  </si>
  <si>
    <t>Doncaster Rovers</t>
  </si>
  <si>
    <t>AS Roma</t>
  </si>
  <si>
    <t>Tue, Jul 30</t>
  </si>
  <si>
    <t>Coventry City</t>
  </si>
  <si>
    <t>Thu, Oct 24</t>
  </si>
  <si>
    <t>Fenerbahce</t>
  </si>
  <si>
    <t>Thu, Oct 3</t>
  </si>
  <si>
    <t>FC Porto</t>
  </si>
  <si>
    <t>FC Twente</t>
  </si>
  <si>
    <t>Barnsley</t>
  </si>
  <si>
    <t>Fri, Aug 16</t>
  </si>
  <si>
    <t>Rangers</t>
  </si>
  <si>
    <t>Mon, Jul 15</t>
  </si>
  <si>
    <t>Rosenborg</t>
  </si>
  <si>
    <t>AZ Alkmaar</t>
  </si>
  <si>
    <t>Thu, Sep 26</t>
  </si>
  <si>
    <t>FK Qarabag</t>
  </si>
  <si>
    <t>Mon, Aug 19</t>
  </si>
  <si>
    <t>K-League All-Stars</t>
  </si>
  <si>
    <t>Vissel Kobe</t>
  </si>
  <si>
    <t>Wed, Jul 17</t>
  </si>
  <si>
    <t>Heart of Midlothian</t>
  </si>
  <si>
    <t>Panathinaikos</t>
  </si>
  <si>
    <t>Slavia Prague</t>
  </si>
  <si>
    <t>Thu, Aug 15</t>
  </si>
  <si>
    <t>VfB Stuttgart</t>
  </si>
  <si>
    <t>Tue, Oct 29</t>
  </si>
  <si>
    <t>SD Compostela</t>
  </si>
  <si>
    <t>Fri, Oct 18</t>
  </si>
  <si>
    <t>Fri, Sep 20</t>
  </si>
  <si>
    <t>Tenerife</t>
  </si>
  <si>
    <t>Levante</t>
  </si>
  <si>
    <t>SV 07 Elversberg</t>
  </si>
  <si>
    <t>Werder Bremen</t>
  </si>
  <si>
    <t>Wed, Oct 23</t>
  </si>
  <si>
    <t>Brest</t>
  </si>
  <si>
    <t>Eintracht Frankfurt</t>
  </si>
  <si>
    <t>Holstein Kiel</t>
  </si>
  <si>
    <t>Feyenoord Rotterdam</t>
  </si>
  <si>
    <t>TSG Hoffenheim</t>
  </si>
  <si>
    <t>FC Carl Zeiss Jena</t>
  </si>
  <si>
    <t>Fri, Aug 23</t>
  </si>
  <si>
    <t>Borussia Monchengladbach</t>
  </si>
  <si>
    <t>Fri, Jul 26</t>
  </si>
  <si>
    <t>Rot-Weiss Essen</t>
  </si>
  <si>
    <t>Homescore</t>
  </si>
  <si>
    <t>Awayscore</t>
  </si>
  <si>
    <t>Sun, Oct 27</t>
  </si>
  <si>
    <t>Mon, Sep 16</t>
  </si>
  <si>
    <t>Thu, Aug 29</t>
  </si>
  <si>
    <t>Astur CF</t>
  </si>
  <si>
    <t>Fri, Sep 27</t>
  </si>
  <si>
    <t>Wed, Oct 30</t>
  </si>
  <si>
    <t>CD Extremadura</t>
  </si>
  <si>
    <t>Lucena CF</t>
  </si>
  <si>
    <t>Sun, Oct 20</t>
  </si>
  <si>
    <t>Fri, Oct 4</t>
  </si>
  <si>
    <t>Fri, Sep 13</t>
  </si>
  <si>
    <t>Poblense</t>
  </si>
  <si>
    <t>Mon, Aug 26</t>
  </si>
  <si>
    <t>Tue, Aug 6</t>
  </si>
  <si>
    <t>CD Villamuriel</t>
  </si>
  <si>
    <t>Lille</t>
  </si>
  <si>
    <t>Wed, Aug 14</t>
  </si>
  <si>
    <t>Juventus</t>
  </si>
  <si>
    <t>Kitchee</t>
  </si>
  <si>
    <t>Numancia</t>
  </si>
  <si>
    <t>Shakhtar Donetsk</t>
  </si>
  <si>
    <t>Stoke City</t>
  </si>
  <si>
    <t>Current bal</t>
  </si>
  <si>
    <t>AS Monaco</t>
  </si>
  <si>
    <t>Mon, Aug 12</t>
  </si>
  <si>
    <t>Thu, Oct 31</t>
  </si>
  <si>
    <t>San Tirso SD</t>
  </si>
  <si>
    <t>Fri, Oct 25</t>
  </si>
  <si>
    <t>CD Gévora</t>
  </si>
  <si>
    <t>F.C. København</t>
  </si>
  <si>
    <t>Legia Warsaw</t>
  </si>
  <si>
    <t>Mon, Sep 23</t>
  </si>
  <si>
    <t>Kryvbas KR</t>
  </si>
  <si>
    <t>Thu, Aug 22</t>
  </si>
  <si>
    <t>Cádiz</t>
  </si>
  <si>
    <t>Al Ittihad</t>
  </si>
  <si>
    <t>SV Austria Salzburg</t>
  </si>
  <si>
    <t>Mon, Oct 28</t>
  </si>
  <si>
    <t>Ontiñena CF</t>
  </si>
  <si>
    <t>Mon, Nov 4</t>
  </si>
  <si>
    <t>Sheffield Wednesday</t>
  </si>
  <si>
    <t>Sat, Nov 2</t>
  </si>
  <si>
    <t>Tue, Nov 5</t>
  </si>
  <si>
    <t>Chiclana</t>
  </si>
  <si>
    <t>Fri, Nov 1</t>
  </si>
  <si>
    <t>Sporting CP</t>
  </si>
  <si>
    <t>Wed, Nov 6</t>
  </si>
  <si>
    <t>Club Brugge</t>
  </si>
  <si>
    <t>Sun, Nov 3</t>
  </si>
  <si>
    <t>Las Rozas CF</t>
  </si>
  <si>
    <t>Orlando Pirates</t>
  </si>
  <si>
    <t>Postion</t>
  </si>
  <si>
    <t>home</t>
  </si>
  <si>
    <t>away</t>
  </si>
  <si>
    <t>Time</t>
  </si>
  <si>
    <t>First Game</t>
  </si>
  <si>
    <t>2nd Game</t>
  </si>
  <si>
    <t>Percent of bal</t>
  </si>
  <si>
    <t>Expected total</t>
  </si>
  <si>
    <t>VALUE</t>
  </si>
  <si>
    <t xml:space="preserve">Value </t>
  </si>
  <si>
    <t>Return</t>
  </si>
  <si>
    <t>INDEX</t>
  </si>
  <si>
    <t>Thu, Nov 7</t>
  </si>
  <si>
    <t>PAOK Salonika</t>
  </si>
  <si>
    <t>Galatasaray</t>
  </si>
  <si>
    <t>FC Noah</t>
  </si>
  <si>
    <t>NK Celje</t>
  </si>
  <si>
    <t>Opps Score</t>
  </si>
  <si>
    <t>UD San Pedro</t>
  </si>
  <si>
    <t>UE Vic</t>
  </si>
  <si>
    <t>Ludogorets Razgrad</t>
  </si>
  <si>
    <t>Viktoria Plzen</t>
  </si>
  <si>
    <t>Maccabi Tel-Aviv</t>
  </si>
  <si>
    <t>Anderlecht</t>
  </si>
  <si>
    <t>Nice</t>
  </si>
  <si>
    <t>Stade Rennais</t>
  </si>
  <si>
    <t>Red Star Belgrade</t>
  </si>
  <si>
    <t>Celta vigo</t>
  </si>
  <si>
    <t>Man United</t>
  </si>
  <si>
    <t>Leicester</t>
  </si>
  <si>
    <t>Notteham</t>
  </si>
  <si>
    <t>Newcastle</t>
  </si>
  <si>
    <t>Tottenham</t>
  </si>
  <si>
    <t>Ipswich</t>
  </si>
  <si>
    <t>Athletico madrid</t>
  </si>
  <si>
    <t>Athletic club</t>
  </si>
  <si>
    <t>Real sociedad</t>
  </si>
  <si>
    <t>Sun, Nov 10</t>
  </si>
  <si>
    <t>Sat, Nov 9</t>
  </si>
  <si>
    <t>1. FC Heidenheim 1846</t>
  </si>
  <si>
    <t>Wed, Nov 27</t>
  </si>
  <si>
    <t>Sat, Nov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</si>
</sst>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$&quot;* #,##0.00_-;\-&quot;$&quot;* #,##0.00_-;_-&quot;$&quot;* &quot;-&quot;??_-;_-@_-"/>
    <numFmt numFmtId="164" formatCode="General\ &quot;WIN&quot;"/>
    <numFmt numFmtId="165" formatCode="General\ &quot;LOSS&quot;"/>
    <numFmt numFmtId="166" formatCode="_-&quot;$&quot;* #,##0_-;\-&quot;$&quot;* #,##0_-;_-&quot;$&quot;* &quot;-&quot;??_-;_-@_-"/>
  </numFmts>
  <fonts count="3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ptos Narrow"/>
      <family val="2"/>
    </font>
    <font>
      <sz val="11"/>
      <color theme="1"/>
      <name val="Aptos Narrow"/>
      <family val="2"/>
    </font>
    <font>
      <sz val="11"/>
      <color theme="1"/>
      <name val="Calibri"/>
      <family val="2"/>
      <scheme val="minor"/>
    </font>
    <font>
      <b/>
      <sz val="11"/>
      <color theme="0"/>
      <name val="Aptos Narrow"/>
      <family val="2"/>
    </font>
    <font>
      <sz val="11"/>
      <color theme="0"/>
      <name val="Aptos Narrow"/>
      <family val="2"/>
    </font>
    <font>
      <sz val="11"/>
      <color theme="1"/>
      <name val="Arial"/>
      <family val="2"/>
    </font>
    <font>
      <b/>
      <sz val="11"/>
      <color rgb="FFFF0000"/>
      <name val="Aptos Narrow"/>
      <family val="2"/>
    </font>
    <font>
      <sz val="10"/>
      <color theme="1"/>
      <name val="Arial"/>
      <family val="2"/>
    </font>
    <font>
      <sz val="14"/>
      <color theme="1"/>
      <name val="Aptos Narrow"/>
      <family val="2"/>
    </font>
    <font>
      <sz val="11"/>
      <color rgb="FF000000"/>
      <name val="&quot;Aptos Narrow&quot;"/>
    </font>
    <font>
      <b/>
      <sz val="12"/>
      <color theme="1"/>
      <name val="Aptos Narrow"/>
      <family val="2"/>
    </font>
    <font>
      <b/>
      <sz val="13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scheme val="minor"/>
    </font>
    <font>
      <b/>
      <sz val="11"/>
      <color theme="0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0D0D0"/>
        <bgColor rgb="FFD0D0D0"/>
      </patternFill>
    </fill>
    <fill>
      <patternFill patternType="solid">
        <fgColor theme="4"/>
        <bgColor theme="4"/>
      </patternFill>
    </fill>
    <fill>
      <patternFill patternType="solid">
        <fgColor rgb="FFC1E4F5"/>
        <bgColor rgb="FFC1E4F5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83CAEB"/>
        <bgColor rgb="FF83CAEB"/>
      </patternFill>
    </fill>
    <fill>
      <patternFill patternType="solid">
        <fgColor theme="5"/>
        <bgColor theme="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rgb="FFC6EFCE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45B0E1"/>
      </left>
      <right/>
      <top style="thin">
        <color rgb="FF45B0E1"/>
      </top>
      <bottom/>
      <diagonal/>
    </border>
    <border>
      <left/>
      <right style="thin">
        <color rgb="FF45B0E1"/>
      </right>
      <top style="thin">
        <color rgb="FF45B0E1"/>
      </top>
      <bottom/>
      <diagonal/>
    </border>
    <border>
      <left/>
      <right/>
      <top style="thin">
        <color rgb="FF45B0E1"/>
      </top>
      <bottom/>
      <diagonal/>
    </border>
    <border>
      <left style="thin">
        <color rgb="FF45B0E1"/>
      </left>
      <right/>
      <top style="thin">
        <color rgb="FF45B0E1"/>
      </top>
      <bottom style="thin">
        <color rgb="FF45B0E1"/>
      </bottom>
      <diagonal/>
    </border>
    <border>
      <left/>
      <right style="thin">
        <color rgb="FF45B0E1"/>
      </right>
      <top style="thin">
        <color rgb="FF45B0E1"/>
      </top>
      <bottom style="thin">
        <color rgb="FF45B0E1"/>
      </bottom>
      <diagonal/>
    </border>
    <border>
      <left style="thin">
        <color rgb="FF45B0E1"/>
      </left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rgb="FF45B0E1"/>
      </top>
      <bottom style="thin">
        <color rgb="FF45B0E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theme="5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9" fontId="11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30" fillId="16" borderId="0" applyNumberFormat="0" applyBorder="0" applyAlignment="0" applyProtection="0"/>
    <xf numFmtId="0" fontId="23" fillId="17" borderId="36" applyNumberFormat="0" applyAlignment="0" applyProtection="0"/>
  </cellStyleXfs>
  <cellXfs count="171">
    <xf numFmtId="0" fontId="0" fillId="0" borderId="0" xfId="0"/>
    <xf numFmtId="0" fontId="9" fillId="2" borderId="1" xfId="0" applyFont="1" applyFill="1" applyBorder="1"/>
    <xf numFmtId="0" fontId="10" fillId="0" borderId="0" xfId="0" applyFont="1"/>
    <xf numFmtId="2" fontId="10" fillId="0" borderId="0" xfId="0" applyNumberFormat="1" applyFont="1"/>
    <xf numFmtId="0" fontId="13" fillId="0" borderId="0" xfId="0" applyFont="1"/>
    <xf numFmtId="0" fontId="10" fillId="0" borderId="2" xfId="0" applyFont="1" applyBorder="1"/>
    <xf numFmtId="0" fontId="9" fillId="0" borderId="0" xfId="0" applyFont="1"/>
    <xf numFmtId="0" fontId="10" fillId="0" borderId="5" xfId="0" applyFont="1" applyBorder="1"/>
    <xf numFmtId="0" fontId="10" fillId="0" borderId="6" xfId="0" applyFont="1" applyBorder="1"/>
    <xf numFmtId="0" fontId="10" fillId="0" borderId="4" xfId="0" applyFont="1" applyBorder="1"/>
    <xf numFmtId="9" fontId="10" fillId="0" borderId="0" xfId="0" applyNumberFormat="1" applyFont="1"/>
    <xf numFmtId="0" fontId="10" fillId="0" borderId="7" xfId="0" applyFont="1" applyBorder="1"/>
    <xf numFmtId="0" fontId="14" fillId="0" borderId="0" xfId="0" applyFont="1"/>
    <xf numFmtId="0" fontId="10" fillId="0" borderId="8" xfId="0" applyFont="1" applyBorder="1"/>
    <xf numFmtId="0" fontId="10" fillId="0" borderId="9" xfId="0" applyFont="1" applyBorder="1"/>
    <xf numFmtId="0" fontId="15" fillId="7" borderId="1" xfId="0" applyFont="1" applyFill="1" applyBorder="1"/>
    <xf numFmtId="2" fontId="9" fillId="0" borderId="0" xfId="0" applyNumberFormat="1" applyFont="1"/>
    <xf numFmtId="2" fontId="9" fillId="0" borderId="4" xfId="0" applyNumberFormat="1" applyFont="1" applyBorder="1"/>
    <xf numFmtId="2" fontId="10" fillId="0" borderId="4" xfId="0" applyNumberFormat="1" applyFont="1" applyBorder="1"/>
    <xf numFmtId="1" fontId="10" fillId="0" borderId="4" xfId="0" applyNumberFormat="1" applyFont="1" applyBorder="1"/>
    <xf numFmtId="1" fontId="10" fillId="0" borderId="3" xfId="0" applyNumberFormat="1" applyFont="1" applyBorder="1"/>
    <xf numFmtId="0" fontId="10" fillId="0" borderId="10" xfId="0" applyFont="1" applyBorder="1"/>
    <xf numFmtId="0" fontId="10" fillId="0" borderId="11" xfId="0" applyFont="1" applyBorder="1"/>
    <xf numFmtId="1" fontId="10" fillId="0" borderId="12" xfId="0" applyNumberFormat="1" applyFont="1" applyBorder="1"/>
    <xf numFmtId="0" fontId="10" fillId="6" borderId="13" xfId="0" applyFont="1" applyFill="1" applyBorder="1"/>
    <xf numFmtId="0" fontId="10" fillId="4" borderId="14" xfId="0" applyFont="1" applyFill="1" applyBorder="1"/>
    <xf numFmtId="1" fontId="10" fillId="0" borderId="0" xfId="0" applyNumberFormat="1" applyFont="1"/>
    <xf numFmtId="0" fontId="18" fillId="0" borderId="18" xfId="0" applyFont="1" applyBorder="1" applyAlignment="1">
      <alignment horizontal="right"/>
    </xf>
    <xf numFmtId="0" fontId="18" fillId="0" borderId="20" xfId="0" applyFont="1" applyBorder="1" applyAlignment="1">
      <alignment horizontal="right"/>
    </xf>
    <xf numFmtId="0" fontId="18" fillId="0" borderId="4" xfId="0" applyFont="1" applyBorder="1" applyAlignment="1">
      <alignment horizontal="right"/>
    </xf>
    <xf numFmtId="0" fontId="18" fillId="0" borderId="19" xfId="0" applyFont="1" applyBorder="1" applyAlignment="1">
      <alignment horizontal="right"/>
    </xf>
    <xf numFmtId="4" fontId="10" fillId="0" borderId="0" xfId="0" applyNumberFormat="1" applyFont="1"/>
    <xf numFmtId="9" fontId="18" fillId="0" borderId="19" xfId="0" applyNumberFormat="1" applyFont="1" applyBorder="1" applyAlignment="1">
      <alignment horizontal="right"/>
    </xf>
    <xf numFmtId="0" fontId="19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0" fontId="0" fillId="8" borderId="21" xfId="0" applyFill="1" applyBorder="1"/>
    <xf numFmtId="0" fontId="0" fillId="8" borderId="22" xfId="0" applyFill="1" applyBorder="1"/>
    <xf numFmtId="0" fontId="0" fillId="8" borderId="23" xfId="0" applyFill="1" applyBorder="1"/>
    <xf numFmtId="0" fontId="21" fillId="8" borderId="21" xfId="0" applyFont="1" applyFill="1" applyBorder="1"/>
    <xf numFmtId="0" fontId="8" fillId="0" borderId="0" xfId="0" applyFont="1"/>
    <xf numFmtId="0" fontId="0" fillId="11" borderId="0" xfId="0" applyFill="1"/>
    <xf numFmtId="0" fontId="0" fillId="0" borderId="24" xfId="0" applyBorder="1"/>
    <xf numFmtId="0" fontId="9" fillId="0" borderId="24" xfId="0" applyFont="1" applyBorder="1"/>
    <xf numFmtId="0" fontId="18" fillId="0" borderId="24" xfId="0" applyFont="1" applyBorder="1"/>
    <xf numFmtId="0" fontId="18" fillId="0" borderId="24" xfId="0" applyFont="1" applyBorder="1" applyAlignment="1">
      <alignment horizontal="right"/>
    </xf>
    <xf numFmtId="0" fontId="8" fillId="8" borderId="21" xfId="0" applyFont="1" applyFill="1" applyBorder="1"/>
    <xf numFmtId="0" fontId="8" fillId="9" borderId="24" xfId="0" applyFont="1" applyFill="1" applyBorder="1"/>
    <xf numFmtId="0" fontId="8" fillId="0" borderId="21" xfId="0" applyFont="1" applyBorder="1"/>
    <xf numFmtId="0" fontId="10" fillId="0" borderId="13" xfId="0" applyFont="1" applyBorder="1"/>
    <xf numFmtId="2" fontId="8" fillId="0" borderId="0" xfId="0" applyNumberFormat="1" applyFont="1"/>
    <xf numFmtId="0" fontId="12" fillId="3" borderId="5" xfId="0" applyFont="1" applyFill="1" applyBorder="1"/>
    <xf numFmtId="0" fontId="12" fillId="3" borderId="6" xfId="0" applyFont="1" applyFill="1" applyBorder="1"/>
    <xf numFmtId="0" fontId="12" fillId="5" borderId="2" xfId="0" applyFont="1" applyFill="1" applyBorder="1"/>
    <xf numFmtId="2" fontId="12" fillId="5" borderId="3" xfId="0" applyNumberFormat="1" applyFont="1" applyFill="1" applyBorder="1"/>
    <xf numFmtId="0" fontId="10" fillId="6" borderId="2" xfId="0" applyFont="1" applyFill="1" applyBorder="1"/>
    <xf numFmtId="2" fontId="10" fillId="6" borderId="3" xfId="0" applyNumberFormat="1" applyFont="1" applyFill="1" applyBorder="1"/>
    <xf numFmtId="1" fontId="10" fillId="6" borderId="3" xfId="0" applyNumberFormat="1" applyFont="1" applyFill="1" applyBorder="1"/>
    <xf numFmtId="0" fontId="12" fillId="3" borderId="7" xfId="0" applyFont="1" applyFill="1" applyBorder="1"/>
    <xf numFmtId="0" fontId="10" fillId="4" borderId="5" xfId="0" applyFont="1" applyFill="1" applyBorder="1"/>
    <xf numFmtId="0" fontId="10" fillId="4" borderId="7" xfId="0" applyFont="1" applyFill="1" applyBorder="1"/>
    <xf numFmtId="0" fontId="10" fillId="4" borderId="6" xfId="0" applyFont="1" applyFill="1" applyBorder="1"/>
    <xf numFmtId="0" fontId="10" fillId="4" borderId="8" xfId="0" applyFont="1" applyFill="1" applyBorder="1"/>
    <xf numFmtId="0" fontId="10" fillId="4" borderId="9" xfId="0" applyFont="1" applyFill="1" applyBorder="1"/>
    <xf numFmtId="0" fontId="8" fillId="0" borderId="24" xfId="0" applyFont="1" applyBorder="1"/>
    <xf numFmtId="0" fontId="7" fillId="8" borderId="23" xfId="0" applyFont="1" applyFill="1" applyBorder="1"/>
    <xf numFmtId="2" fontId="10" fillId="8" borderId="23" xfId="0" applyNumberFormat="1" applyFont="1" applyFill="1" applyBorder="1"/>
    <xf numFmtId="0" fontId="7" fillId="0" borderId="23" xfId="0" applyFont="1" applyBorder="1"/>
    <xf numFmtId="0" fontId="10" fillId="0" borderId="23" xfId="0" applyFont="1" applyBorder="1"/>
    <xf numFmtId="2" fontId="10" fillId="0" borderId="23" xfId="0" applyNumberFormat="1" applyFont="1" applyBorder="1"/>
    <xf numFmtId="0" fontId="10" fillId="8" borderId="23" xfId="0" applyFont="1" applyFill="1" applyBorder="1"/>
    <xf numFmtId="0" fontId="21" fillId="8" borderId="23" xfId="0" applyFont="1" applyFill="1" applyBorder="1"/>
    <xf numFmtId="0" fontId="21" fillId="0" borderId="23" xfId="0" applyFont="1" applyBorder="1"/>
    <xf numFmtId="0" fontId="12" fillId="13" borderId="1" xfId="0" applyFont="1" applyFill="1" applyBorder="1"/>
    <xf numFmtId="0" fontId="23" fillId="13" borderId="1" xfId="0" applyFont="1" applyFill="1" applyBorder="1"/>
    <xf numFmtId="0" fontId="24" fillId="0" borderId="27" xfId="0" applyFont="1" applyBorder="1"/>
    <xf numFmtId="2" fontId="9" fillId="0" borderId="27" xfId="0" applyNumberFormat="1" applyFont="1" applyBorder="1"/>
    <xf numFmtId="0" fontId="7" fillId="3" borderId="0" xfId="0" applyFont="1" applyFill="1"/>
    <xf numFmtId="2" fontId="10" fillId="3" borderId="0" xfId="0" applyNumberFormat="1" applyFont="1" applyFill="1"/>
    <xf numFmtId="0" fontId="7" fillId="4" borderId="0" xfId="0" applyFont="1" applyFill="1"/>
    <xf numFmtId="2" fontId="10" fillId="4" borderId="0" xfId="0" applyNumberFormat="1" applyFont="1" applyFill="1"/>
    <xf numFmtId="0" fontId="7" fillId="12" borderId="0" xfId="0" applyFont="1" applyFill="1"/>
    <xf numFmtId="2" fontId="10" fillId="12" borderId="0" xfId="0" applyNumberFormat="1" applyFont="1" applyFill="1"/>
    <xf numFmtId="0" fontId="7" fillId="0" borderId="0" xfId="0" applyFont="1"/>
    <xf numFmtId="0" fontId="6" fillId="0" borderId="0" xfId="0" applyFont="1"/>
    <xf numFmtId="9" fontId="10" fillId="0" borderId="0" xfId="1" applyFont="1"/>
    <xf numFmtId="0" fontId="10" fillId="0" borderId="28" xfId="0" applyFont="1" applyBorder="1"/>
    <xf numFmtId="0" fontId="21" fillId="0" borderId="31" xfId="0" applyFont="1" applyBorder="1"/>
    <xf numFmtId="0" fontId="21" fillId="0" borderId="32" xfId="0" applyFont="1" applyBorder="1"/>
    <xf numFmtId="0" fontId="21" fillId="0" borderId="33" xfId="0" applyFont="1" applyBorder="1"/>
    <xf numFmtId="0" fontId="25" fillId="0" borderId="31" xfId="0" applyFont="1" applyBorder="1"/>
    <xf numFmtId="0" fontId="25" fillId="0" borderId="32" xfId="0" applyFont="1" applyBorder="1"/>
    <xf numFmtId="0" fontId="25" fillId="0" borderId="33" xfId="0" applyFont="1" applyBorder="1"/>
    <xf numFmtId="0" fontId="0" fillId="0" borderId="25" xfId="0" applyBorder="1"/>
    <xf numFmtId="0" fontId="0" fillId="0" borderId="26" xfId="0" applyBorder="1"/>
    <xf numFmtId="0" fontId="8" fillId="14" borderId="0" xfId="0" applyFont="1" applyFill="1"/>
    <xf numFmtId="0" fontId="9" fillId="15" borderId="0" xfId="0" applyFont="1" applyFill="1"/>
    <xf numFmtId="9" fontId="10" fillId="15" borderId="15" xfId="0" applyNumberFormat="1" applyFont="1" applyFill="1" applyBorder="1"/>
    <xf numFmtId="9" fontId="10" fillId="15" borderId="16" xfId="0" applyNumberFormat="1" applyFont="1" applyFill="1" applyBorder="1"/>
    <xf numFmtId="0" fontId="10" fillId="15" borderId="17" xfId="0" applyFont="1" applyFill="1" applyBorder="1"/>
    <xf numFmtId="0" fontId="8" fillId="15" borderId="0" xfId="0" applyFont="1" applyFill="1"/>
    <xf numFmtId="9" fontId="10" fillId="15" borderId="0" xfId="0" applyNumberFormat="1" applyFont="1" applyFill="1"/>
    <xf numFmtId="0" fontId="21" fillId="15" borderId="0" xfId="0" applyFont="1" applyFill="1"/>
    <xf numFmtId="9" fontId="8" fillId="15" borderId="0" xfId="1" applyFont="1" applyFill="1"/>
    <xf numFmtId="0" fontId="0" fillId="0" borderId="1" xfId="0" applyBorder="1"/>
    <xf numFmtId="0" fontId="17" fillId="0" borderId="0" xfId="0" applyFont="1"/>
    <xf numFmtId="0" fontId="10" fillId="0" borderId="1" xfId="0" applyFont="1" applyBorder="1"/>
    <xf numFmtId="0" fontId="5" fillId="0" borderId="0" xfId="0" applyFont="1"/>
    <xf numFmtId="0" fontId="16" fillId="0" borderId="1" xfId="0" applyFont="1" applyBorder="1" applyAlignment="1">
      <alignment wrapText="1"/>
    </xf>
    <xf numFmtId="0" fontId="16" fillId="0" borderId="1" xfId="0" applyFont="1" applyBorder="1" applyAlignment="1">
      <alignment horizontal="right" wrapText="1"/>
    </xf>
    <xf numFmtId="0" fontId="16" fillId="0" borderId="1" xfId="0" applyFont="1" applyBorder="1" applyAlignment="1">
      <alignment vertical="center"/>
    </xf>
    <xf numFmtId="0" fontId="9" fillId="0" borderId="1" xfId="0" applyFont="1" applyBorder="1"/>
    <xf numFmtId="9" fontId="10" fillId="0" borderId="1" xfId="0" applyNumberFormat="1" applyFont="1" applyBorder="1"/>
    <xf numFmtId="0" fontId="8" fillId="0" borderId="1" xfId="0" applyFont="1" applyBorder="1"/>
    <xf numFmtId="2" fontId="10" fillId="0" borderId="1" xfId="0" applyNumberFormat="1" applyFont="1" applyBorder="1"/>
    <xf numFmtId="2" fontId="9" fillId="0" borderId="1" xfId="0" applyNumberFormat="1" applyFont="1" applyBorder="1"/>
    <xf numFmtId="164" fontId="10" fillId="0" borderId="1" xfId="0" applyNumberFormat="1" applyFont="1" applyBorder="1"/>
    <xf numFmtId="165" fontId="10" fillId="0" borderId="1" xfId="0" applyNumberFormat="1" applyFont="1" applyBorder="1"/>
    <xf numFmtId="9" fontId="9" fillId="0" borderId="1" xfId="0" applyNumberFormat="1" applyFont="1" applyBorder="1"/>
    <xf numFmtId="0" fontId="21" fillId="0" borderId="1" xfId="0" applyFont="1" applyBorder="1"/>
    <xf numFmtId="9" fontId="0" fillId="0" borderId="1" xfId="1" applyFont="1" applyFill="1" applyBorder="1"/>
    <xf numFmtId="1" fontId="10" fillId="0" borderId="1" xfId="0" applyNumberFormat="1" applyFont="1" applyBorder="1"/>
    <xf numFmtId="49" fontId="9" fillId="0" borderId="1" xfId="0" applyNumberFormat="1" applyFont="1" applyBorder="1"/>
    <xf numFmtId="49" fontId="10" fillId="0" borderId="1" xfId="0" applyNumberFormat="1" applyFont="1" applyBorder="1"/>
    <xf numFmtId="0" fontId="26" fillId="3" borderId="35" xfId="0" applyFont="1" applyFill="1" applyBorder="1"/>
    <xf numFmtId="0" fontId="23" fillId="3" borderId="29" xfId="0" applyFont="1" applyFill="1" applyBorder="1"/>
    <xf numFmtId="0" fontId="26" fillId="3" borderId="29" xfId="0" applyFont="1" applyFill="1" applyBorder="1"/>
    <xf numFmtId="0" fontId="27" fillId="3" borderId="29" xfId="0" applyFont="1" applyFill="1" applyBorder="1"/>
    <xf numFmtId="0" fontId="23" fillId="3" borderId="30" xfId="0" applyFont="1" applyFill="1" applyBorder="1"/>
    <xf numFmtId="0" fontId="4" fillId="10" borderId="35" xfId="0" applyFont="1" applyFill="1" applyBorder="1"/>
    <xf numFmtId="0" fontId="4" fillId="10" borderId="29" xfId="0" applyFont="1" applyFill="1" applyBorder="1"/>
    <xf numFmtId="0" fontId="0" fillId="10" borderId="29" xfId="0" applyFill="1" applyBorder="1"/>
    <xf numFmtId="0" fontId="14" fillId="10" borderId="29" xfId="0" applyFont="1" applyFill="1" applyBorder="1"/>
    <xf numFmtId="0" fontId="0" fillId="10" borderId="30" xfId="0" applyFill="1" applyBorder="1"/>
    <xf numFmtId="0" fontId="4" fillId="0" borderId="34" xfId="0" applyFont="1" applyBorder="1"/>
    <xf numFmtId="0" fontId="4" fillId="0" borderId="25" xfId="0" applyFont="1" applyBorder="1"/>
    <xf numFmtId="0" fontId="14" fillId="0" borderId="25" xfId="0" applyFont="1" applyBorder="1"/>
    <xf numFmtId="9" fontId="10" fillId="15" borderId="0" xfId="1" applyFont="1" applyFill="1"/>
    <xf numFmtId="44" fontId="0" fillId="0" borderId="0" xfId="2" applyFont="1"/>
    <xf numFmtId="44" fontId="0" fillId="0" borderId="0" xfId="0" applyNumberFormat="1"/>
    <xf numFmtId="2" fontId="8" fillId="15" borderId="0" xfId="0" applyNumberFormat="1" applyFont="1" applyFill="1"/>
    <xf numFmtId="9" fontId="0" fillId="0" borderId="0" xfId="1" applyFont="1"/>
    <xf numFmtId="44" fontId="3" fillId="0" borderId="0" xfId="0" applyNumberFormat="1" applyFont="1"/>
    <xf numFmtId="14" fontId="0" fillId="0" borderId="0" xfId="0" applyNumberFormat="1"/>
    <xf numFmtId="18" fontId="0" fillId="0" borderId="0" xfId="0" applyNumberFormat="1"/>
    <xf numFmtId="0" fontId="21" fillId="0" borderId="0" xfId="0" applyFont="1"/>
    <xf numFmtId="0" fontId="2" fillId="0" borderId="0" xfId="0" applyFont="1"/>
    <xf numFmtId="0" fontId="21" fillId="18" borderId="31" xfId="0" applyFont="1" applyFill="1" applyBorder="1"/>
    <xf numFmtId="44" fontId="0" fillId="18" borderId="33" xfId="2" applyFont="1" applyFill="1" applyBorder="1"/>
    <xf numFmtId="44" fontId="2" fillId="0" borderId="0" xfId="2" applyFont="1"/>
    <xf numFmtId="44" fontId="31" fillId="0" borderId="0" xfId="0" applyNumberFormat="1" applyFont="1"/>
    <xf numFmtId="166" fontId="2" fillId="0" borderId="0" xfId="0" applyNumberFormat="1" applyFont="1"/>
    <xf numFmtId="9" fontId="21" fillId="0" borderId="0" xfId="1" applyFont="1"/>
    <xf numFmtId="44" fontId="2" fillId="0" borderId="0" xfId="0" applyNumberFormat="1" applyFont="1"/>
    <xf numFmtId="44" fontId="30" fillId="16" borderId="0" xfId="3" applyNumberFormat="1"/>
    <xf numFmtId="0" fontId="30" fillId="16" borderId="0" xfId="3"/>
    <xf numFmtId="44" fontId="30" fillId="19" borderId="0" xfId="0" applyNumberFormat="1" applyFont="1" applyFill="1"/>
    <xf numFmtId="0" fontId="23" fillId="17" borderId="36" xfId="4"/>
    <xf numFmtId="9" fontId="23" fillId="17" borderId="36" xfId="4" applyNumberFormat="1"/>
    <xf numFmtId="44" fontId="23" fillId="17" borderId="36" xfId="4" applyNumberFormat="1"/>
    <xf numFmtId="18" fontId="2" fillId="0" borderId="0" xfId="0" applyNumberFormat="1" applyFont="1"/>
    <xf numFmtId="14" fontId="2" fillId="0" borderId="0" xfId="0" applyNumberFormat="1" applyFont="1"/>
    <xf numFmtId="20" fontId="0" fillId="0" borderId="0" xfId="2" applyNumberFormat="1" applyFont="1"/>
    <xf numFmtId="20" fontId="0" fillId="0" borderId="0" xfId="0" applyNumberFormat="1"/>
    <xf numFmtId="0" fontId="1" fillId="0" borderId="0" xfId="0" applyFont="1"/>
    <xf numFmtId="0" fontId="0" fillId="0" borderId="0" xfId="0" applyAlignment="1">
      <alignment textRotation="135"/>
    </xf>
    <xf numFmtId="0" fontId="0" fillId="10" borderId="26" xfId="0" applyFill="1" applyBorder="1"/>
    <xf numFmtId="0" fontId="0" fillId="10" borderId="25" xfId="0" applyFont="1" applyFill="1" applyBorder="1"/>
    <xf numFmtId="0" fontId="0" fillId="0" borderId="25" xfId="0" applyFont="1" applyBorder="1"/>
    <xf numFmtId="0" fontId="0" fillId="0" borderId="0" xfId="0" applyNumberFormat="1"/>
  </cellXfs>
  <cellStyles count="5">
    <cellStyle name="Check Cell" xfId="4" builtinId="23"/>
    <cellStyle name="Currency" xfId="2" builtinId="4"/>
    <cellStyle name="Good" xfId="3" builtinId="26"/>
    <cellStyle name="Normal" xfId="0" builtinId="0"/>
    <cellStyle name="Percent" xfId="1" builtinId="5"/>
  </cellStyles>
  <dxfs count="27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indexed="64"/>
          <bgColor rgb="FFC6EFCE"/>
        </patternFill>
      </fill>
    </dxf>
    <dxf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numFmt numFmtId="34" formatCode="_-&quot;$&quot;* #,##0.00_-;\-&quot;$&quot;* #,##0.00_-;_-&quot;$&quot;* &quot;-&quot;??_-;_-@_-"/>
      <fill>
        <patternFill patternType="solid"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-0.249977111117893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2" formatCode="0.00"/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rgb="FF83CAEB"/>
          <bgColor rgb="FF83CA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theme="5"/>
          <bgColor theme="5"/>
        </patternFill>
      </fill>
    </dxf>
    <dxf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border outline="0">
        <top style="thin">
          <color theme="5" tint="0.39997558519241921"/>
        </top>
      </border>
    </dxf>
    <dxf>
      <fill>
        <patternFill patternType="solid">
          <fgColor theme="5" tint="0.79998168889431442"/>
          <bgColor theme="5" tint="0.79998168889431442"/>
        </patternFill>
      </fill>
    </dxf>
    <dxf>
      <border outline="0">
        <top style="thin">
          <color theme="5" tint="0.39997558519241921"/>
        </top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</dxf>
    <dxf>
      <border outline="0"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</dxf>
    <dxf>
      <border outline="0"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5" tint="0.79998168889431442"/>
          <bgColor theme="5" tint="0.79998168889431442"/>
        </patternFill>
      </fill>
    </dxf>
    <dxf>
      <font>
        <b val="0"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F1CEEE"/>
          <bgColor rgb="FFF1CEEE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FAE2D5"/>
          <bgColor rgb="FFFAE2D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D9F2D0"/>
          <bgColor rgb="FFD9F2D0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</dxfs>
  <tableStyles count="18" defaultTableStyle="TableStyleMedium2" defaultPivotStyle="PivotStyleLight16">
    <tableStyle name="HOME  (3)-style" pivot="0" count="4" xr9:uid="{00000000-0011-0000-FFFF-FFFF00000000}">
      <tableStyleElement type="headerRow" dxfId="274"/>
      <tableStyleElement type="totalRow" dxfId="273"/>
      <tableStyleElement type="firstRowStripe" dxfId="272"/>
      <tableStyleElement type="secondRowStripe" dxfId="271"/>
    </tableStyle>
    <tableStyle name="HOME  (3)-style 2" pivot="0" count="4" xr9:uid="{00000000-0011-0000-FFFF-FFFF01000000}">
      <tableStyleElement type="headerRow" dxfId="270"/>
      <tableStyleElement type="totalRow" dxfId="269"/>
      <tableStyleElement type="firstRowStripe" dxfId="268"/>
      <tableStyleElement type="secondRowStripe" dxfId="267"/>
    </tableStyle>
    <tableStyle name="HOME  (3)-style 3" pivot="0" count="3" xr9:uid="{00000000-0011-0000-FFFF-FFFF02000000}">
      <tableStyleElement type="headerRow" dxfId="266"/>
      <tableStyleElement type="firstRowStripe" dxfId="265"/>
      <tableStyleElement type="secondRowStripe" dxfId="264"/>
    </tableStyle>
    <tableStyle name="HOME  (3)-style 4" pivot="0" count="3" xr9:uid="{00000000-0011-0000-FFFF-FFFF03000000}">
      <tableStyleElement type="headerRow" dxfId="263"/>
      <tableStyleElement type="firstRowStripe" dxfId="262"/>
      <tableStyleElement type="secondRowStripe" dxfId="261"/>
    </tableStyle>
    <tableStyle name="HOME  (3)-style 5" pivot="0" count="3" xr9:uid="{00000000-0011-0000-FFFF-FFFF04000000}">
      <tableStyleElement type="headerRow" dxfId="260"/>
      <tableStyleElement type="firstRowStripe" dxfId="259"/>
      <tableStyleElement type="secondRowStripe" dxfId="258"/>
    </tableStyle>
    <tableStyle name="HOME  (3)-style 6" pivot="0" count="4" xr9:uid="{00000000-0011-0000-FFFF-FFFF05000000}">
      <tableStyleElement type="headerRow" dxfId="257"/>
      <tableStyleElement type="totalRow" dxfId="256"/>
      <tableStyleElement type="firstRowStripe" dxfId="255"/>
      <tableStyleElement type="secondRowStripe" dxfId="254"/>
    </tableStyle>
    <tableStyle name="HOME  (3)-style 7" pivot="0" count="4" xr9:uid="{00000000-0011-0000-FFFF-FFFF06000000}">
      <tableStyleElement type="headerRow" dxfId="253"/>
      <tableStyleElement type="totalRow" dxfId="252"/>
      <tableStyleElement type="firstRowStripe" dxfId="251"/>
      <tableStyleElement type="secondRowStripe" dxfId="250"/>
    </tableStyle>
    <tableStyle name="AWAY (2)-style" pivot="0" count="4" xr9:uid="{00000000-0011-0000-FFFF-FFFF07000000}">
      <tableStyleElement type="headerRow" dxfId="249"/>
      <tableStyleElement type="totalRow" dxfId="248"/>
      <tableStyleElement type="firstRowStripe" dxfId="247"/>
      <tableStyleElement type="secondRowStripe" dxfId="246"/>
    </tableStyle>
    <tableStyle name="AWAY (2)-style 2" pivot="0" count="3" xr9:uid="{00000000-0011-0000-FFFF-FFFF08000000}">
      <tableStyleElement type="headerRow" dxfId="245"/>
      <tableStyleElement type="firstRowStripe" dxfId="244"/>
      <tableStyleElement type="secondRowStripe" dxfId="243"/>
    </tableStyle>
    <tableStyle name="AWAY (2)-style 3" pivot="0" count="3" xr9:uid="{00000000-0011-0000-FFFF-FFFF09000000}">
      <tableStyleElement type="headerRow" dxfId="242"/>
      <tableStyleElement type="firstRowStripe" dxfId="241"/>
      <tableStyleElement type="secondRowStripe" dxfId="240"/>
    </tableStyle>
    <tableStyle name="AWAY (2)-style 4" pivot="0" count="3" xr9:uid="{00000000-0011-0000-FFFF-FFFF0A000000}">
      <tableStyleElement type="headerRow" dxfId="239"/>
      <tableStyleElement type="firstRowStripe" dxfId="238"/>
      <tableStyleElement type="secondRowStripe" dxfId="237"/>
    </tableStyle>
    <tableStyle name="AWAY (2)-style 5" pivot="0" count="3" xr9:uid="{00000000-0011-0000-FFFF-FFFF0B000000}">
      <tableStyleElement type="headerRow" dxfId="236"/>
      <tableStyleElement type="firstRowStripe" dxfId="235"/>
      <tableStyleElement type="secondRowStripe" dxfId="234"/>
    </tableStyle>
    <tableStyle name="PREDICTION-style" pivot="0" count="4" xr9:uid="{00000000-0011-0000-FFFF-FFFF0C000000}">
      <tableStyleElement type="headerRow" dxfId="233"/>
      <tableStyleElement type="totalRow" dxfId="232"/>
      <tableStyleElement type="firstRowStripe" dxfId="231"/>
      <tableStyleElement type="secondRowStripe" dxfId="230"/>
    </tableStyle>
    <tableStyle name="PREDICTION-style 2" pivot="0" count="3" xr9:uid="{00000000-0011-0000-FFFF-FFFF0D000000}">
      <tableStyleElement type="headerRow" dxfId="229"/>
      <tableStyleElement type="firstRowStripe" dxfId="228"/>
      <tableStyleElement type="secondRowStripe" dxfId="227"/>
    </tableStyle>
    <tableStyle name="criteria-style" pivot="0" count="3" xr9:uid="{00000000-0011-0000-FFFF-FFFF0E000000}">
      <tableStyleElement type="headerRow" dxfId="226"/>
      <tableStyleElement type="firstRowStripe" dxfId="225"/>
      <tableStyleElement type="secondRowStripe" dxfId="224"/>
    </tableStyle>
    <tableStyle name="criteria-style 2" pivot="0" count="2" xr9:uid="{00000000-0011-0000-FFFF-FFFF0F000000}">
      <tableStyleElement type="firstRowStripe" dxfId="223"/>
      <tableStyleElement type="secondRowStripe" dxfId="222"/>
    </tableStyle>
    <tableStyle name="criteria-style 3" pivot="0" count="3" xr9:uid="{00000000-0011-0000-FFFF-FFFF10000000}">
      <tableStyleElement type="headerRow" dxfId="221"/>
      <tableStyleElement type="firstRowStripe" dxfId="220"/>
      <tableStyleElement type="secondRowStripe" dxfId="219"/>
    </tableStyle>
    <tableStyle name="betting allocation-style" pivot="0" count="3" xr9:uid="{00000000-0011-0000-FFFF-FFFF11000000}">
      <tableStyleElement type="headerRow" dxfId="218"/>
      <tableStyleElement type="firstRowStripe" dxfId="217"/>
      <tableStyleElement type="secondRowStripe" dxfId="2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powerPivotData" Target="model/item.data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onnections" Target="connections.xml"/><Relationship Id="rId4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48C57F4C-6486-45D3-8760-517F85F3F65F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on" tableColumnId="8"/>
      <queryTableField id="9" name="Index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8" xr16:uid="{84F3F742-B282-48E9-BF61-393F3F1EF72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0" xr16:uid="{B502114D-FA3C-4A66-B287-E783176B7432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on" tableColumnId="8"/>
      <queryTableField id="9" name="Index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4E0F4F74-F220-46DD-BBA5-CF63151E07C9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3" xr16:uid="{CD89545E-59CE-4E7A-A7B8-3DB0B4D2ECFE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45" xr16:uid="{E5DA81B8-5F45-4DF7-95DC-C314C29E3A51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0" xr16:uid="{6E8DA782-6A18-49D8-A79F-4902F0C6DD68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score" tableColumnId="4"/>
      <queryTableField id="5" name="Away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9" xr16:uid="{0977AEDF-DE3A-49F7-A6D9-3C2323733814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51" xr16:uid="{01732F33-A3FE-435E-97EF-0E331B36688F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2" xr16:uid="{CFCE9B0B-7CB5-4CD9-849F-ED75D167F28B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9" xr16:uid="{094B5F0E-8F40-4F33-BAAD-31F1C0AD6B36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6" xr16:uid="{887514AB-2308-422E-A619-BE2783F4C8CE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on" tableColumnId="8"/>
      <queryTableField id="9" name="Index" tableColumnId="9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7" xr16:uid="{96AA4252-E54C-4B7C-AFD6-A3C8D13DD441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4" xr16:uid="{ABFE77F4-7AD3-4AB1-A3CE-C9396CADCB26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5" xr16:uid="{D1C29451-DC9C-46B4-B2A9-8389A30A4BAA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Mallorca"/>
    </ext>
  </extLst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2" xr16:uid="{1A24B3CD-94B2-4EA6-A5C7-878C37CF8F1C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result" tableColumnId="5"/>
      <queryTableField id="6" name="Opps score" tableColumnId="6"/>
      <queryTableField id="7" name="Position" tableColumnId="7"/>
      <queryTableField id="8" name="Index" tableColumnId="8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8" xr16:uid="{77B9E09B-CF60-47C8-A882-0ABD2D349411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Las Palmas"/>
    </ext>
  </extLst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47" xr16:uid="{5CD05B34-9871-4971-87A0-75F0B63A53B2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10" xr16:uid="{2517A267-2997-4491-AC34-A443B12A7A42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Valencia (2)"/>
    </ext>
  </extLst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49" xr16:uid="{0C4EB817-4CF1-484C-9682-86CA72D9F95F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37" xr16:uid="{268BAC2F-9BDD-4D16-A2DC-7B4D1C9BB6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on" tableColumnId="8"/>
      <queryTableField id="9" name="Index" tableColumnId="9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6" xr16:uid="{C1D8886B-CEAA-4D81-AD11-C91DA2CC4332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4" xr16:uid="{A5D72235-58DC-4702-8459-8E66D1491B76}" autoFormatId="16" applyNumberFormats="0" applyBorderFormats="0" applyFontFormats="0" applyPatternFormats="0" applyAlignmentFormats="0" applyWidthHeightFormats="0">
  <queryTableRefresh nextId="12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10" name="Position" tableColumnId="8"/>
      <queryTableField id="9" name="Index" tableColumnId="9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8" xr16:uid="{44916F1A-EA40-4D56-8A64-96285401AB95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on" tableColumnId="8"/>
      <queryTableField id="9" name="Index" tableColumnId="9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5D794-58DE-4EB4-A9DD-C1A20089E4B1}" autoFormatId="16" applyNumberFormats="0" applyBorderFormats="0" applyFontFormats="0" applyPatternFormats="0" applyAlignmentFormats="0" applyWidthHeightFormats="0">
  <queryTableRefresh nextId="7">
    <queryTableFields count="6">
      <queryTableField id="1" name="Home" tableColumnId="1"/>
      <queryTableField id="2" name="Away" tableColumnId="2"/>
      <queryTableField id="3" name="Me result" tableColumnId="3"/>
      <queryTableField id="4" name="OPPS RESULT" tableColumnId="4"/>
      <queryTableField id="5" name="Position" tableColumnId="5"/>
      <queryTableField id="6" name="Index" tableColumnId="6"/>
    </queryTableFields>
  </queryTableRefresh>
  <extLst>
    <ext xmlns:x15="http://schemas.microsoft.com/office/spreadsheetml/2010/11/main" uri="{883FBD77-0823-4a55-B5E3-86C4891E6966}">
      <x15:queryTable sourceDataName="Query - Fulham"/>
    </ext>
  </extLst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6" xr16:uid="{1E760B2E-372E-4DBF-9B10-1A85FB92F4D1}" autoFormatId="16" applyNumberFormats="0" applyBorderFormats="0" applyFontFormats="0" applyPatternFormats="0" applyAlignmentFormats="0" applyWidthHeightFormats="0">
  <queryTableRefresh nextId="11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  <extLst>
    <ext xmlns:x15="http://schemas.microsoft.com/office/spreadsheetml/2010/11/main" uri="{883FBD77-0823-4a55-B5E3-86C4891E6966}">
      <x15:queryTable sourceDataName="Query - Aston Villa (2)"/>
    </ext>
  </extLst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7" xr16:uid="{E400F3B7-A200-42C7-96FD-DBD45A425E1C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Manchester City"/>
    </ext>
  </extLst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9" xr16:uid="{94BD89C9-5E54-44E5-B850-DF64F5884C29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Liverpool"/>
    </ext>
  </extLst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connectionId="1" xr16:uid="{A3285DCD-E6EE-4AE7-BD35-F1BF7E9BC030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Nottingham Forest"/>
    </ext>
  </extLst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connectionId="2" xr16:uid="{B2631D59-7475-4ECA-A91A-995485B0E8D9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.1" tableColumnId="8"/>
    </queryTableFields>
  </queryTableRefresh>
  <extLst>
    <ext xmlns:x15="http://schemas.microsoft.com/office/spreadsheetml/2010/11/main" uri="{883FBD77-0823-4a55-B5E3-86C4891E6966}">
      <x15:queryTable sourceDataName="Query - Crystal Palace]"/>
    </ext>
  </extLst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A066717-F438-4C87-BB23-802C3A9982BB}" autoFormatId="16" applyNumberFormats="0" applyBorderFormats="0" applyFontFormats="0" applyPatternFormats="0" applyAlignmentFormats="0" applyWidthHeightFormats="0">
  <queryTableRefresh nextId="7">
    <queryTableFields count="6">
      <queryTableField id="1" name="Home" tableColumnId="1"/>
      <queryTableField id="2" name="Away" tableColumnId="2"/>
      <queryTableField id="3" name="Me score" tableColumnId="3"/>
      <queryTableField id="4" name="Opps score" tableColumnId="4"/>
      <queryTableField id="5" name="Position" tableColumnId="5"/>
      <queryTableField id="6" name="Index" tableColumnId="6"/>
    </queryTableFields>
  </queryTableRefresh>
  <extLst>
    <ext xmlns:x15="http://schemas.microsoft.com/office/spreadsheetml/2010/11/main" uri="{883FBD77-0823-4a55-B5E3-86C4891E6966}">
      <x15:queryTable sourceDataName="Query - West Ham United"/>
    </ext>
  </extLst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11" xr16:uid="{62284C22-D847-4072-AF38-14BE29B020B7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  <extLst>
    <ext xmlns:x15="http://schemas.microsoft.com/office/spreadsheetml/2010/11/main" uri="{883FBD77-0823-4a55-B5E3-86C4891E6966}">
      <x15:queryTable sourceDataName="Query - Chelsea"/>
    </ext>
  </extLst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3DBB99B5-8D23-4253-BFBC-E720D0FB2882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ion" tableColumnId="7"/>
      <queryTableField id="8" name="Index" tableColumnId="8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46897F27-B044-4048-A590-D529471C1C9C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3" xr16:uid="{591E10FB-1B0E-4A58-B0A8-4D13D188C9C3}" autoFormatId="16" applyNumberFormats="0" applyBorderFormats="0" applyFontFormats="0" applyPatternFormats="0" applyAlignmentFormats="0" applyWidthHeightFormats="0">
  <queryTableRefresh nextId="9">
    <queryTableFields count="8">
      <queryTableField id="1" name="Home" tableColumnId="1"/>
      <queryTableField id="2" name="Away" tableColumnId="2"/>
      <queryTableField id="3" name="Home score" tableColumnId="3"/>
      <queryTableField id="4" name="Away score" tableColumnId="4"/>
      <queryTableField id="5" name="Me score" tableColumnId="5"/>
      <queryTableField id="6" name="Opps score" tableColumnId="6"/>
      <queryTableField id="7" name="Positon" tableColumnId="7"/>
      <queryTableField id="8" name="Index" tableColumnId="8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1" xr16:uid="{B77BE043-B78A-4025-A63E-E4544FA3BEC7}" autoFormatId="16" applyNumberFormats="0" applyBorderFormats="0" applyFontFormats="0" applyPatternFormats="0" applyAlignmentFormats="0" applyWidthHeightFormats="0">
  <queryTableRefresh nextId="4">
    <queryTableFields count="3">
      <queryTableField id="1" name="Index" tableColumnId="1"/>
      <queryTableField id="2" name="Team" tableColumnId="2"/>
      <queryTableField id="3" name="point" tableColumnId="3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8" xr16:uid="{B79E8C6C-FFCE-4652-B5E2-926BB5B02D4E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2EF50612-2E67-4019-B2C9-3B6014D71347}" autoFormatId="16" applyNumberFormats="0" applyBorderFormats="0" applyFontFormats="0" applyPatternFormats="0" applyAlignmentFormats="0" applyWidthHeightFormats="0">
  <queryTableRefresh nextId="13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11" name="Opps score" tableColumnId="11"/>
      <queryTableField id="7" name="Positon" tableColumnId="7"/>
      <queryTableField id="9" name="Index" tableColumnId="9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E58A2688-8F64-4C8B-9323-F71F0C130AAE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3" xr16:uid="{1E16654E-B929-4CF2-A07F-0DD0119DDAC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5" xr16:uid="{39FC37F6-8A1B-48D1-8EBC-42991000CE67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6D6E7E74-3BC5-4AAB-AB53-D6F0F5DA1DF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Home" tableColumnId="2"/>
      <queryTableField id="3" name="Away" tableColumnId="3"/>
      <queryTableField id="4" name="Home score" tableColumnId="4"/>
      <queryTableField id="5" name="Away score" tableColumnId="5"/>
      <queryTableField id="6" name="Me score" tableColumnId="6"/>
      <queryTableField id="7" name="Opps score" tableColumnId="7"/>
      <queryTableField id="8" name="Position" tableColumnId="8"/>
      <queryTableField id="9" name="Index" tableColumnId="9"/>
    </queryTableFields>
  </queryTableRefresh>
</queryTable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W9:X13" headerRowDxfId="215" dataDxfId="214" totalsRowDxfId="213">
  <tableColumns count="2">
    <tableColumn id="1" xr3:uid="{00000000-0010-0000-0200-000001000000}" name="OVER " dataDxfId="212"/>
    <tableColumn id="2" xr3:uid="{00000000-0010-0000-0200-000002000000}" name="RESULT" dataDxfId="211"/>
  </tableColumns>
  <tableStyleInfo name="TableStyleLight17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9:D31">
  <tableColumns count="4">
    <tableColumn id="1" xr3:uid="{00000000-0010-0000-0300-000001000000}" name="Metrics"/>
    <tableColumn id="2" xr3:uid="{00000000-0010-0000-0300-000002000000}" name="HOME"/>
    <tableColumn id="3" xr3:uid="{00000000-0010-0000-0300-000003000000}" name="AWAY"/>
    <tableColumn id="4" xr3:uid="{00000000-0010-0000-0300-000004000000}" name="Total" dataDxfId="210"/>
  </tableColumns>
  <tableStyleInfo name="HOME  (3)-style 3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F19:F31">
  <tableColumns count="1">
    <tableColumn id="1" xr3:uid="{00000000-0010-0000-0400-000001000000}" name="5 GAMES"/>
  </tableColumns>
  <tableStyleInfo name="TableStyleLight10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I37:P40" totalsRowCount="1" headerRowDxfId="209" dataDxfId="207" headerRowBorderDxfId="208">
  <tableColumns count="8">
    <tableColumn id="1" xr3:uid="{00000000-0010-0000-0500-000001000000}" name="METRICS" dataDxfId="206"/>
    <tableColumn id="2" xr3:uid="{00000000-0010-0000-0500-000002000000}" name="HOME" dataDxfId="205"/>
    <tableColumn id="3" xr3:uid="{00000000-0010-0000-0500-000003000000}" name="AWAY" dataDxfId="204"/>
    <tableColumn id="4" xr3:uid="{00000000-0010-0000-0500-000004000000}" name="TOTAL" dataDxfId="203"/>
    <tableColumn id="5" xr3:uid="{00000000-0010-0000-0500-000005000000}" name="HOME WIN " dataDxfId="202"/>
    <tableColumn id="6" xr3:uid="{00000000-0010-0000-0500-000006000000}" name="AWAY WIN" dataDxfId="201"/>
    <tableColumn id="7" xr3:uid="{00000000-0010-0000-0500-000007000000}" name="DRAW" dataDxfId="200"/>
    <tableColumn id="8" xr3:uid="{00000000-0010-0000-0500-000008000000}" name="totalwins" totalsRowFunction="custom" dataDxfId="199">
      <totalsRowFormula>SUM(P38:P39)</totalsRowFormula>
    </tableColumn>
  </tableColumns>
  <tableStyleInfo name="HOME  (3)-style 6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G38:G44" totalsRowCount="1" headerRowDxfId="198" dataDxfId="196" totalsRowDxfId="194" headerRowBorderDxfId="197" tableBorderDxfId="195" totalsRowBorderDxfId="193">
  <tableColumns count="1">
    <tableColumn id="1" xr3:uid="{00000000-0010-0000-0600-000001000000}" name="BTTS H2H" totalsRowFunction="custom" dataDxfId="192">
      <totalsRowFormula>SUBTOTAL(109,'HOME  (3)'!$G$39:$G$43)</totalsRowFormula>
    </tableColumn>
  </tableColumns>
  <tableStyleInfo name="HOME  (3)-style 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82275-9C0B-4CF2-9319-EF722D59698C}" name="Table1" displayName="Table1" ref="A2:M14" totalsRowShown="0" headerRowDxfId="191" tableBorderDxfId="190">
  <autoFilter ref="A2:M14" xr:uid="{38882275-9C0B-4CF2-9319-EF722D59698C}"/>
  <tableColumns count="13">
    <tableColumn id="1" xr3:uid="{29C505B0-70F7-442F-8ADA-258BD99A8673}" name="Opponent"/>
    <tableColumn id="2" xr3:uid="{5FD91FD8-F14D-4B05-80FD-CCB0777C3083}" name="me result"/>
    <tableColumn id="3" xr3:uid="{05AC6C53-0CA7-4767-A813-9AFB5041CF41}" name="OR"/>
    <tableColumn id="4" xr3:uid="{A8EEFADF-1A91-463D-83EF-A96B8C84483C}" name="Total"/>
    <tableColumn id="5" xr3:uid="{8E141A09-3102-4369-8FED-CDAA22C98834}" name="me place"/>
    <tableColumn id="6" xr3:uid="{DBE99AAD-27D5-4D5E-9544-24B9BAA2EE4F}" name="Win/loss"/>
    <tableColumn id="7" xr3:uid="{70A7F55A-ACF4-4919-AFE9-F55C03FC0F6A}" name="Point"/>
    <tableColumn id="8" xr3:uid="{6EC33157-7BF8-4DC7-90D6-41C45E32CAB0}" name="weight"/>
    <tableColumn id="9" xr3:uid="{3FACF7FC-30B9-45A8-94DF-80BBAC2D0656}" name="weighted point"/>
    <tableColumn id="10" xr3:uid="{5CCF2194-FC24-4A6E-AF96-C994755A685A}" name="RUNNING POINT"/>
    <tableColumn id="11" xr3:uid="{89EFDE70-8F9D-47E2-AAE7-C4ECA716AE4E}" name="Running match"/>
    <tableColumn id="12" xr3:uid="{B26D6480-0F41-4FAE-B484-95BA092F7035}" name="BTTS"/>
    <tableColumn id="13" xr3:uid="{4C0BC2AF-B2C5-45A4-863F-7E7734ECB986}" name="Form index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19:D31">
  <tableColumns count="4">
    <tableColumn id="1" xr3:uid="{00000000-0010-0000-0800-000001000000}" name="Metrics" dataDxfId="189"/>
    <tableColumn id="2" xr3:uid="{00000000-0010-0000-0800-000002000000}" name="RESULT HOME"/>
    <tableColumn id="3" xr3:uid="{00000000-0010-0000-0800-000003000000}" name="RESULT "/>
    <tableColumn id="4" xr3:uid="{00000000-0010-0000-0800-000004000000}" name="TOTAL"/>
  </tableColumns>
  <tableStyleInfo name="AWAY (2)-style 2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F19:F31">
  <tableColumns count="1">
    <tableColumn id="1" xr3:uid="{00000000-0010-0000-0900-000001000000}" name="5 GAMES"/>
  </tableColumns>
  <tableStyleInfo name="AWAY (2)-style 3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Q20:R24">
  <tableColumns count="2">
    <tableColumn id="1" xr3:uid="{00000000-0010-0000-0A00-000001000000}" name="OVER "/>
    <tableColumn id="2" xr3:uid="{00000000-0010-0000-0A00-000002000000}" name="RESULT"/>
  </tableColumns>
  <tableStyleInfo name="AWAY (2)-style 4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12" displayName="Table_12" ref="H41:M43">
  <tableColumns count="6">
    <tableColumn id="1" xr3:uid="{00000000-0010-0000-0B00-000001000000}" name="METRICS"/>
    <tableColumn id="2" xr3:uid="{00000000-0010-0000-0B00-000002000000}" name="HOME"/>
    <tableColumn id="3" xr3:uid="{00000000-0010-0000-0B00-000003000000}" name="AWAY"/>
    <tableColumn id="4" xr3:uid="{00000000-0010-0000-0B00-000004000000}" name="TOTAL"/>
    <tableColumn id="5" xr3:uid="{00000000-0010-0000-0B00-000005000000}" name="HOME WIN"/>
    <tableColumn id="6" xr3:uid="{00000000-0010-0000-0B00-000006000000}" name="AWAY WIN"/>
  </tableColumns>
  <tableStyleInfo name="AWAY (2)-style 5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E7FC5C-4707-47D8-83D8-539C101EC0FA}" name="Table2" displayName="Table2" ref="A2:M14" totalsRowShown="0" headerRowDxfId="188" dataDxfId="187">
  <autoFilter ref="A2:M14" xr:uid="{40E7FC5C-4707-47D8-83D8-539C101EC0FA}"/>
  <tableColumns count="13">
    <tableColumn id="1" xr3:uid="{F0A7817A-C045-428D-BACA-87D31146E265}" name="Opponent" dataDxfId="186"/>
    <tableColumn id="2" xr3:uid="{0625E1F5-16F9-4879-BE46-C7363C1B29E5}" name="me result" dataDxfId="185"/>
    <tableColumn id="3" xr3:uid="{4F50DA20-6A9B-4BB3-B4DD-353E0A6E2354}" name="OR" dataDxfId="184"/>
    <tableColumn id="4" xr3:uid="{66551781-2C5D-457B-A11B-87B522C77AEB}" name="Total" dataDxfId="183"/>
    <tableColumn id="5" xr3:uid="{DDDE6EFF-E4CD-4EF3-8B2E-B9C986E381E1}" name="me place" dataDxfId="182"/>
    <tableColumn id="6" xr3:uid="{5DB85C60-8437-4EFD-8FA6-8DF945183048}" name="Win/loss" dataDxfId="181"/>
    <tableColumn id="7" xr3:uid="{108D8FFB-F18F-46B2-8823-A6E20B164087}" name="Point" dataDxfId="180"/>
    <tableColumn id="8" xr3:uid="{E3A9893A-47A8-418B-A336-70A28E2DF9AF}" name="weight" dataDxfId="179"/>
    <tableColumn id="9" xr3:uid="{9AB74C53-F8F7-421D-87D9-2B33795288C8}" name="weighted point" dataDxfId="178"/>
    <tableColumn id="10" xr3:uid="{1A0FD41F-0A1B-4638-9018-B6C660B96E37}" name="RUNNING POINT" dataDxfId="177"/>
    <tableColumn id="11" xr3:uid="{49210CDD-C158-4CB9-8E0A-A686C0BEAB7E}" name="Running match" dataDxfId="176"/>
    <tableColumn id="12" xr3:uid="{3F96B1E7-202A-4CAC-BAF9-E3C521484724}" name="BTTS" dataDxfId="175"/>
    <tableColumn id="13" xr3:uid="{F154A8A4-CEBD-496C-8FE2-CF9E907F5D49}" name="Form index" dataDxfId="17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13" displayName="Table_13" ref="A2:F30" headerRowDxfId="173" dataDxfId="172" totalsRowDxfId="171">
  <tableColumns count="6">
    <tableColumn id="1" xr3:uid="{00000000-0010-0000-0C00-000001000000}" name="METRIC " dataDxfId="170"/>
    <tableColumn id="2" xr3:uid="{00000000-0010-0000-0C00-000002000000}" name="H.R" dataDxfId="169"/>
    <tableColumn id="3" xr3:uid="{00000000-0010-0000-0C00-000003000000}" name="A.R" dataDxfId="168"/>
    <tableColumn id="4" xr3:uid="{00000000-0010-0000-0C00-000004000000}" name="TOTALS" dataDxfId="167"/>
    <tableColumn id="5" xr3:uid="{00000000-0010-0000-0C00-000005000000}" name="Column1" dataDxfId="166"/>
    <tableColumn id="6" xr3:uid="{00000000-0010-0000-0C00-000006000000}" name="Column2" dataDxfId="165"/>
  </tableColumns>
  <tableStyleInfo name="PREDICTION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14" displayName="Table_14" ref="H2:M30" headerRowDxfId="164" dataDxfId="163">
  <tableColumns count="6">
    <tableColumn id="1" xr3:uid="{00000000-0010-0000-0D00-000001000000}" name="METRIC " dataDxfId="162"/>
    <tableColumn id="2" xr3:uid="{00000000-0010-0000-0D00-000002000000}" name="HR" dataDxfId="161"/>
    <tableColumn id="3" xr3:uid="{00000000-0010-0000-0D00-000003000000}" name="AR" dataDxfId="160"/>
    <tableColumn id="4" xr3:uid="{00000000-0010-0000-0D00-000004000000}" name="TOTAL" dataDxfId="159"/>
    <tableColumn id="5" xr3:uid="{00000000-0010-0000-0D00-000005000000}" name="HOMEWIN" dataDxfId="158"/>
    <tableColumn id="6" xr3:uid="{00000000-0010-0000-0D00-000006000000}" name="AWAY WIN" dataDxfId="157"/>
  </tableColumns>
  <tableStyleInfo name="PREDICTION-style 2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01AF121-9A69-45CD-8A35-B49A666FC32E}" name="Table27" displayName="Table27" ref="A39:L43" totalsRowShown="0" headerRowDxfId="156" dataDxfId="155">
  <autoFilter ref="A39:L43" xr:uid="{701AF121-9A69-45CD-8A35-B49A666FC32E}"/>
  <tableColumns count="12">
    <tableColumn id="1" xr3:uid="{EB87D90B-D507-45A1-806D-CCFF162E93C4}" name="ID" dataDxfId="154"/>
    <tableColumn id="2" xr3:uid="{E1F709FA-F795-4D2E-A1DF-EAC023B48692}" name="FORM" dataDxfId="153"/>
    <tableColumn id="3" xr3:uid="{B333A336-05C2-46F8-AD46-7F2CE608029B}" name="A.Scored" dataDxfId="152"/>
    <tableColumn id="4" xr3:uid="{0552A7F8-1CC4-458B-BD1A-D3290464D33B}" name="A.concended" dataDxfId="151"/>
    <tableColumn id="5" xr3:uid="{A3B2E13D-7787-44FB-8AFE-951EC15371FE}" name="T.p wins" dataDxfId="150"/>
    <tableColumn id="6" xr3:uid="{5D83C421-917C-4C50-B2F0-0A7C53476B88}" name="T.p Loss" dataDxfId="149"/>
    <tableColumn id="7" xr3:uid="{13D6AFCC-782A-4A69-9CFC-AE732365AA94}" name="T.p Draw" dataDxfId="148"/>
    <tableColumn id="8" xr3:uid="{32ECDC8F-7BDF-4B58-AECC-EDD294007A5C}" name="Goal ratio" dataDxfId="147"/>
    <tableColumn id="9" xr3:uid="{E449BA33-1F81-4574-B6C1-780D360FB46D}" name="Goal difference" dataDxfId="146"/>
    <tableColumn id="10" xr3:uid="{C7EA51E0-A113-4F53-AB5D-EC0D5222040C}" name="H2H wins" dataDxfId="145"/>
    <tableColumn id="11" xr3:uid="{A11744BD-A24B-4E97-987E-2498830F35B1}" name="BTTS" dataDxfId="144"/>
    <tableColumn id="12" xr3:uid="{01B6F8CB-DCA6-451B-9593-4E447F03208B}" name="TOTAL" dataDxfId="143">
      <calculatedColumnFormula>SUM(B40:K40)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C54B46E-FDBB-4537-A80D-C8999EA85936}" name="Table24" displayName="Table24" ref="P14:P19" totalsRowShown="0">
  <autoFilter ref="P14:P19" xr:uid="{2C54B46E-FDBB-4537-A80D-C8999EA85936}"/>
  <tableColumns count="1">
    <tableColumn id="1" xr3:uid="{B1905C5A-7843-48D6-9854-42D31791C8A2}" name="Rul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9D652B8-46FF-4F95-8907-601C6B813BD5}" name="Brentford" displayName="Brentford" ref="A1:I19" tableType="queryTable" totalsRowShown="0">
  <autoFilter ref="A1:I19" xr:uid="{19D652B8-46FF-4F95-8907-601C6B813BD5}"/>
  <tableColumns count="9">
    <tableColumn id="1" xr3:uid="{7EEEA715-6570-4882-A451-B3F1ACB2BE0D}" uniqueName="1" name="Date" queryTableFieldId="1" dataDxfId="142"/>
    <tableColumn id="2" xr3:uid="{ADDB9AF8-3275-4C21-8CC8-5F29FFB20475}" uniqueName="2" name="Home" queryTableFieldId="2" dataDxfId="141"/>
    <tableColumn id="3" xr3:uid="{631FA61D-F5ED-460F-810B-76FE85569FA1}" uniqueName="3" name="Away" queryTableFieldId="3" dataDxfId="140"/>
    <tableColumn id="4" xr3:uid="{D6846C11-0FC2-4764-9D49-477D73434BB6}" uniqueName="4" name="Home score" queryTableFieldId="4"/>
    <tableColumn id="5" xr3:uid="{6B7C4276-146B-43EF-ADBE-8FFDE3CE90DA}" uniqueName="5" name="Away score" queryTableFieldId="5"/>
    <tableColumn id="6" xr3:uid="{3293909A-40EC-4910-AC0D-66A4B85463D6}" uniqueName="6" name="Me score" queryTableFieldId="6"/>
    <tableColumn id="7" xr3:uid="{088C9DAA-3B1A-4000-843D-FDE72D1DC2BA}" uniqueName="7" name="Opps score" queryTableFieldId="7"/>
    <tableColumn id="8" xr3:uid="{B030D888-4EB6-4B57-983D-698BD207AE95}" uniqueName="8" name="Positon" queryTableFieldId="8"/>
    <tableColumn id="9" xr3:uid="{343E7B6D-D7F2-4D53-B88D-0DAACBB04E56}" uniqueName="9" name="Index" queryTableFieldId="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9A2B4E7-7B2A-416E-B81F-00D6485544F9}" name="Getafe" displayName="Getafe" ref="A1:I15" tableType="queryTable" totalsRowShown="0">
  <autoFilter ref="A1:I15" xr:uid="{F9A2B4E7-7B2A-416E-B81F-00D6485544F9}"/>
  <tableColumns count="9">
    <tableColumn id="1" xr3:uid="{61C930F5-0479-4FCA-8C6B-F5F712FCBB33}" uniqueName="1" name="Date" queryTableFieldId="1" dataDxfId="139"/>
    <tableColumn id="2" xr3:uid="{20B4EE34-9F2B-46BB-AD3E-5B99922323C5}" uniqueName="2" name="Home" queryTableFieldId="2" dataDxfId="138"/>
    <tableColumn id="3" xr3:uid="{01E3A9E5-4311-4EF8-A5B4-443DC0816D4C}" uniqueName="3" name="Away" queryTableFieldId="3" dataDxfId="137"/>
    <tableColumn id="4" xr3:uid="{8571E5E0-6737-4256-99E3-04C5BDAA3EBF}" uniqueName="4" name="Home score" queryTableFieldId="4"/>
    <tableColumn id="5" xr3:uid="{3E0E517E-1397-4E4C-826F-309DE598DD83}" uniqueName="5" name="Away score" queryTableFieldId="5"/>
    <tableColumn id="6" xr3:uid="{2C14EB07-698E-4A53-B405-FFA197E7A5F9}" uniqueName="6" name="Me score" queryTableFieldId="6"/>
    <tableColumn id="7" xr3:uid="{886026D7-C59F-4A2D-9E53-074B33206F5E}" uniqueName="7" name="Opps score" queryTableFieldId="7"/>
    <tableColumn id="8" xr3:uid="{81369436-3D2F-4B57-81F1-9F0457CD337E}" uniqueName="8" name="Position" queryTableFieldId="8"/>
    <tableColumn id="9" xr3:uid="{950696F6-AB8C-4C82-A1A0-90B01B1776B9}" uniqueName="9" name="Index" queryTableFieldId="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BDC5298-86DA-431B-A3E5-8E39B0183E9E}" name="Ipswich_Town" displayName="Ipswich_Town" ref="A1:I12" tableType="queryTable" totalsRowShown="0">
  <autoFilter ref="A1:I12" xr:uid="{CBDC5298-86DA-431B-A3E5-8E39B0183E9E}"/>
  <tableColumns count="9">
    <tableColumn id="1" xr3:uid="{4DEA0D70-538D-4403-91A2-CEEDBA53E67D}" uniqueName="1" name="Date" queryTableFieldId="1" dataDxfId="136"/>
    <tableColumn id="2" xr3:uid="{8C9128B2-6F1F-4C0B-AA78-B536DDADEB2E}" uniqueName="2" name="Home" queryTableFieldId="2" dataDxfId="135"/>
    <tableColumn id="3" xr3:uid="{0FF6FC0C-B65A-44D9-8B2C-8CB1F3FB1DED}" uniqueName="3" name="Away" queryTableFieldId="3" dataDxfId="134"/>
    <tableColumn id="4" xr3:uid="{9373015A-E171-470C-B352-48844FA3020B}" uniqueName="4" name="Home score" queryTableFieldId="4"/>
    <tableColumn id="5" xr3:uid="{E3EDE4E9-CBEC-4CA6-93A6-AE7CDBC6944B}" uniqueName="5" name="Away score" queryTableFieldId="5"/>
    <tableColumn id="6" xr3:uid="{F334D69D-731B-4281-97C6-3494E0482B07}" uniqueName="6" name="Me score" queryTableFieldId="6"/>
    <tableColumn id="7" xr3:uid="{4512D716-B492-4251-88B8-96481D5990D6}" uniqueName="7" name="Opps score" queryTableFieldId="7"/>
    <tableColumn id="8" xr3:uid="{9AD587B6-91E5-43DD-A9FC-56EDB84552AC}" uniqueName="8" name="Positon" queryTableFieldId="8"/>
    <tableColumn id="9" xr3:uid="{31EA0E1A-A5EF-43DE-9FD7-B168B3D587F3}" uniqueName="9" name="Index" queryTableFieldId="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79B9955-1BF4-4A9F-BDB1-1A8CBD743F65}" name="Celta_Vigo" displayName="Celta_Vigo" ref="A1:I15" tableType="queryTable" totalsRowShown="0">
  <autoFilter ref="A1:I15" xr:uid="{079B9955-1BF4-4A9F-BDB1-1A8CBD743F65}"/>
  <tableColumns count="9">
    <tableColumn id="1" xr3:uid="{DF52C742-9339-4964-8F97-B512048F9ADF}" uniqueName="1" name="Date" queryTableFieldId="1" dataDxfId="133"/>
    <tableColumn id="2" xr3:uid="{6AD36E5F-D757-41BF-ADB3-42ABF7D4ECA5}" uniqueName="2" name="Home" queryTableFieldId="2" dataDxfId="132"/>
    <tableColumn id="3" xr3:uid="{42802E36-0BF8-4863-BF5E-0B56F3AE3437}" uniqueName="3" name="Away" queryTableFieldId="3" dataDxfId="131"/>
    <tableColumn id="4" xr3:uid="{F4BD7B53-FF68-4D58-9F89-523AC092D813}" uniqueName="4" name="Home score" queryTableFieldId="4"/>
    <tableColumn id="5" xr3:uid="{1B4D0D04-96CA-4477-BD6B-452842A0D740}" uniqueName="5" name="Awayscore" queryTableFieldId="5"/>
    <tableColumn id="6" xr3:uid="{98C3EA06-68BA-4AAF-80AA-382CB70A2A7F}" uniqueName="6" name="Me score" queryTableFieldId="6"/>
    <tableColumn id="7" xr3:uid="{79CF7A22-301C-4634-845F-323E84FB0C87}" uniqueName="7" name="Opps Score" queryTableFieldId="7"/>
    <tableColumn id="8" xr3:uid="{0ADE3C3E-8012-42C2-8022-27A7CE863F35}" uniqueName="8" name="Position" queryTableFieldId="8"/>
    <tableColumn id="9" xr3:uid="{14CBA390-3220-47F5-9545-2FB8643C6AEC}" uniqueName="9" name="Index" queryTableField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5A69AE6-00EA-4FBC-A93A-48978A9A9C52}" name="Alavés" displayName="Alavés" ref="A1:I16" tableType="queryTable" totalsRowShown="0">
  <autoFilter ref="A1:I16" xr:uid="{75A69AE6-00EA-4FBC-A93A-48978A9A9C52}"/>
  <tableColumns count="9">
    <tableColumn id="1" xr3:uid="{02C6318F-672D-41D7-982F-E09FF5882226}" uniqueName="1" name="Date" queryTableFieldId="1" dataDxfId="130"/>
    <tableColumn id="2" xr3:uid="{247CDE9C-C368-4BBD-82B6-CF28D9F382D6}" uniqueName="2" name="Home" queryTableFieldId="2" dataDxfId="129"/>
    <tableColumn id="3" xr3:uid="{528AEC6D-172F-44F2-BB74-470F38053BEC}" uniqueName="3" name="Away" queryTableFieldId="3" dataDxfId="128"/>
    <tableColumn id="4" xr3:uid="{D006930C-7721-4C10-8E28-9F28A890CF8C}" uniqueName="4" name="Home score" queryTableFieldId="4"/>
    <tableColumn id="5" xr3:uid="{F1A591E0-4B7F-4C43-81D7-C746933E6F9A}" uniqueName="5" name="Away score" queryTableFieldId="5"/>
    <tableColumn id="6" xr3:uid="{416FF576-BF49-4E7D-B4DA-FCD66FA44638}" uniqueName="6" name="Me score" queryTableFieldId="6" dataDxfId="127"/>
    <tableColumn id="7" xr3:uid="{0DA3A764-A73F-4A68-97F7-C9B1E9C1A5A7}" uniqueName="7" name="Opps score" queryTableFieldId="7" dataDxfId="126"/>
    <tableColumn id="8" xr3:uid="{01DA1937-53E6-43F6-8E60-1423AA43C693}" uniqueName="8" name="Position" queryTableFieldId="8"/>
    <tableColumn id="9" xr3:uid="{31CA0FD2-9B3B-4AA8-A852-7FA206852091}" uniqueName="9" name="Index" queryTableFieldId="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1B437CD9-047B-446F-9441-D88864357E2F}" name="Real_Sociedad" displayName="Real_Sociedad" ref="A1:I18" tableType="queryTable" totalsRowShown="0">
  <autoFilter ref="A1:I18" xr:uid="{1B437CD9-047B-446F-9441-D88864357E2F}"/>
  <tableColumns count="9">
    <tableColumn id="1" xr3:uid="{E7A5FB92-BCDE-4919-9133-25D0924580EF}" uniqueName="1" name="Date" queryTableFieldId="1" dataDxfId="125"/>
    <tableColumn id="2" xr3:uid="{EBEF653D-9161-4305-A0C7-A8A3760EE42D}" uniqueName="2" name="Home" queryTableFieldId="2" dataDxfId="124"/>
    <tableColumn id="3" xr3:uid="{91436B66-500F-4F19-9C5A-15E2A0DAF00A}" uniqueName="3" name="Away" queryTableFieldId="3" dataDxfId="123"/>
    <tableColumn id="4" xr3:uid="{4E1B9552-5CB0-42E9-9693-20A370790164}" uniqueName="4" name="Home score" queryTableFieldId="4"/>
    <tableColumn id="5" xr3:uid="{D1C60AB4-5CFB-4979-B44B-D949A01EB3EB}" uniqueName="5" name="Away score" queryTableFieldId="5"/>
    <tableColumn id="6" xr3:uid="{2C997AFC-585B-4DD5-9366-4E227B35F095}" uniqueName="6" name="Me score" queryTableFieldId="6"/>
    <tableColumn id="7" xr3:uid="{6DD310E8-8682-4A4A-9BB1-A5C09139C48C}" uniqueName="7" name="Opps score" queryTableFieldId="7"/>
    <tableColumn id="8" xr3:uid="{2302F8E3-5814-4BE3-9015-B5C036211634}" uniqueName="8" name="Position" queryTableFieldId="8"/>
    <tableColumn id="9" xr3:uid="{9EBAE9CA-9369-4D5C-8E23-C6C0F0A00F90}" uniqueName="9" name="Index" queryTableFieldId="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A8C5F09C-719E-410D-9202-AE5F9D7418F2}" name="Osasuna" displayName="Osasuna" ref="A1:I14" tableType="queryTable" totalsRowShown="0">
  <autoFilter ref="A1:I14" xr:uid="{A8C5F09C-719E-410D-9202-AE5F9D7418F2}"/>
  <tableColumns count="9">
    <tableColumn id="1" xr3:uid="{4F19452D-8BB7-47BB-B6B1-71B479FD7DC3}" uniqueName="1" name="Date" queryTableFieldId="1" dataDxfId="122"/>
    <tableColumn id="2" xr3:uid="{0AC7DE18-38D7-42C7-880B-85A9CAB351AE}" uniqueName="2" name="HOME" queryTableFieldId="2" dataDxfId="121"/>
    <tableColumn id="3" xr3:uid="{5722EB45-D9B3-49A0-85E3-B26C64304F40}" uniqueName="3" name="AWAY" queryTableFieldId="3" dataDxfId="120"/>
    <tableColumn id="4" xr3:uid="{F094F2AD-17F6-40AE-887C-6D8CD405FBEA}" uniqueName="4" name="Homescore" queryTableFieldId="4"/>
    <tableColumn id="5" xr3:uid="{5BC2B58A-1D43-4E8C-AE15-ED8E5516E036}" uniqueName="5" name="Awayscore" queryTableFieldId="5"/>
    <tableColumn id="6" xr3:uid="{61CBA3E7-3DFD-4C63-922D-C414716A9C09}" uniqueName="6" name="Me score" queryTableFieldId="6"/>
    <tableColumn id="7" xr3:uid="{C5C96ED3-7048-489E-8E47-58F7AD2FD031}" uniqueName="7" name="Opps score" queryTableFieldId="7"/>
    <tableColumn id="8" xr3:uid="{DFA9AA5D-8B60-40DD-9146-909801E69E7C}" uniqueName="8" name="Position" queryTableFieldId="8"/>
    <tableColumn id="9" xr3:uid="{A2A62134-A3A3-47F8-86A7-4AB2B68C84D7}" uniqueName="9" name="Index" queryTableFieldId="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713C48D-6AC3-4A9A-93B4-0C3C9428741F}" name="Bayer_Leverkusen" displayName="Bayer_Leverkusen" ref="A1:I18" tableType="queryTable" totalsRowShown="0">
  <autoFilter ref="A1:I18" xr:uid="{6713C48D-6AC3-4A9A-93B4-0C3C9428741F}"/>
  <tableColumns count="9">
    <tableColumn id="1" xr3:uid="{50AE5762-5540-4150-9E1C-14E8D92FF1C9}" uniqueName="1" name="Date" queryTableFieldId="1" dataDxfId="119"/>
    <tableColumn id="2" xr3:uid="{4204097C-4C68-4A1E-91BA-51AD83601369}" uniqueName="2" name="Home" queryTableFieldId="2" dataDxfId="118"/>
    <tableColumn id="3" xr3:uid="{0C7C632B-748A-4832-BC23-76E11CBAB75D}" uniqueName="3" name="Away" queryTableFieldId="3" dataDxfId="117"/>
    <tableColumn id="4" xr3:uid="{DAA9F939-3DF6-4DCF-AC3B-D99C38262372}" uniqueName="4" name="Home score" queryTableFieldId="4"/>
    <tableColumn id="5" xr3:uid="{179FABE9-2ACD-430B-B095-111908E47DCE}" uniqueName="5" name="Away score" queryTableFieldId="5"/>
    <tableColumn id="6" xr3:uid="{4AF2DBFF-6853-4DFD-B943-CD4918CFBB0B}" uniqueName="6" name="Me score" queryTableFieldId="6"/>
    <tableColumn id="7" xr3:uid="{53FAFA05-8E5C-419B-9085-F962C62AE54A}" uniqueName="7" name="Opps score" queryTableFieldId="7"/>
    <tableColumn id="8" xr3:uid="{A183BC72-862B-4B71-B72E-6AD69721C9A7}" uniqueName="8" name="Position" queryTableFieldId="8"/>
    <tableColumn id="9" xr3:uid="{5D56DA4F-E3A1-446E-96D4-37AE0D81DECF}" uniqueName="9" name="Index" queryTableFieldId="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32C8FC0-49E5-440B-927D-C5684BA59D8A}" name="Villarreal" displayName="Villarreal" ref="A1:I14" tableType="queryTable" totalsRowShown="0">
  <autoFilter ref="A1:I14" xr:uid="{332C8FC0-49E5-440B-927D-C5684BA59D8A}"/>
  <tableColumns count="9">
    <tableColumn id="1" xr3:uid="{B72A023D-6B64-4026-AB0B-DA83F4D40B99}" uniqueName="1" name="Date" queryTableFieldId="1" dataDxfId="116"/>
    <tableColumn id="2" xr3:uid="{727C639B-906E-4904-AD31-3B61E4258A12}" uniqueName="2" name="Home" queryTableFieldId="2" dataDxfId="115"/>
    <tableColumn id="3" xr3:uid="{4D1C49AD-2CD0-4B7B-B840-69EF6C27CFD0}" uniqueName="3" name="Away" queryTableFieldId="3" dataDxfId="114"/>
    <tableColumn id="4" xr3:uid="{0547BD75-7AFC-43B5-B6AB-FAC59C7BE842}" uniqueName="4" name="Home score" queryTableFieldId="4"/>
    <tableColumn id="5" xr3:uid="{BF050462-0817-463B-B94F-CDF245CDD45A}" uniqueName="5" name="Away score" queryTableFieldId="5"/>
    <tableColumn id="6" xr3:uid="{38B58D28-7979-46EB-A266-B840AE0AD074}" uniqueName="6" name="Me score" queryTableFieldId="6"/>
    <tableColumn id="7" xr3:uid="{8CC4D3B3-C832-4E08-8061-F1D7C42CB965}" uniqueName="7" name="Opps score" queryTableFieldId="7"/>
    <tableColumn id="8" xr3:uid="{623DD025-7E33-4F6E-92AA-C72BDC4F6BA3}" uniqueName="8" name="Position" queryTableFieldId="8"/>
    <tableColumn id="9" xr3:uid="{DE6CC97D-DA04-47B8-999A-926DCEBA8EA3}" uniqueName="9" name="Index" queryTableFieldId="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64C375C-5848-4D96-B362-A17CAA5644FB}" name="Leganés" displayName="Leganés" ref="A1:I14" tableType="queryTable" totalsRowShown="0">
  <autoFilter ref="A1:I14" xr:uid="{D64C375C-5848-4D96-B362-A17CAA5644FB}"/>
  <tableColumns count="9">
    <tableColumn id="1" xr3:uid="{034166DC-57B2-4D74-A2D4-AEC807ECC4DE}" uniqueName="1" name="Date" queryTableFieldId="1" dataDxfId="113"/>
    <tableColumn id="2" xr3:uid="{F5288FB2-8488-4B9E-9765-216A296FE3B3}" uniqueName="2" name="Home" queryTableFieldId="2" dataDxfId="112"/>
    <tableColumn id="3" xr3:uid="{4092B397-A755-464B-B485-7EA6C4BE00A7}" uniqueName="3" name="Away" queryTableFieldId="3" dataDxfId="111"/>
    <tableColumn id="4" xr3:uid="{B921884D-4962-4AA4-8879-0DF61A73DCBD}" uniqueName="4" name="Home score" queryTableFieldId="4"/>
    <tableColumn id="5" xr3:uid="{FC858FE5-7599-4ACD-AF09-485759318CD7}" uniqueName="5" name="Away score" queryTableFieldId="5"/>
    <tableColumn id="6" xr3:uid="{479ABA52-D7D7-40F3-A3CE-656709890595}" uniqueName="6" name="Me score" queryTableFieldId="6"/>
    <tableColumn id="7" xr3:uid="{3D94804A-6981-4A62-B51C-7BB1F8A9A0BC}" uniqueName="7" name="Opps score" queryTableFieldId="7"/>
    <tableColumn id="8" xr3:uid="{CC908260-B764-4392-880F-2A87DAEEE3AE}" uniqueName="8" name="Position" queryTableFieldId="8"/>
    <tableColumn id="9" xr3:uid="{FBFD9FDB-E9D0-4760-B46B-DC22A2C139B5}" uniqueName="9" name="Index" queryTableFieldId="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28E414F-23F3-4ADB-A980-F16327021F94}" name="Girona" displayName="Girona" ref="A1:I18" tableType="queryTable" totalsRowShown="0">
  <autoFilter ref="A1:I18" xr:uid="{C28E414F-23F3-4ADB-A980-F16327021F94}"/>
  <tableColumns count="9">
    <tableColumn id="1" xr3:uid="{9D7A6B4C-8A50-44C2-B57F-A440D68E0415}" uniqueName="1" name="Date" queryTableFieldId="1" dataDxfId="110"/>
    <tableColumn id="2" xr3:uid="{8D150B30-0EDE-4719-8911-00325EEE196C}" uniqueName="2" name="Home" queryTableFieldId="2" dataDxfId="109"/>
    <tableColumn id="3" xr3:uid="{91DAF241-73BC-4D75-B335-6E9F3A5B9C65}" uniqueName="3" name="Away" queryTableFieldId="3" dataDxfId="108"/>
    <tableColumn id="4" xr3:uid="{F742FFF9-EF33-40C6-8959-9A97BB8FE3B3}" uniqueName="4" name="Home score" queryTableFieldId="4"/>
    <tableColumn id="5" xr3:uid="{7237ACB9-2C5F-4E74-AC42-22645D829692}" uniqueName="5" name="Away score" queryTableFieldId="5"/>
    <tableColumn id="6" xr3:uid="{08173920-8F7C-4620-BC79-0D63902AB11A}" uniqueName="6" name="Me score" queryTableFieldId="6"/>
    <tableColumn id="7" xr3:uid="{6F9D5215-07A8-4E91-8EC3-49DD5A11960A}" uniqueName="7" name="Opps score" queryTableFieldId="7"/>
    <tableColumn id="8" xr3:uid="{8E45288E-E058-488D-9DD2-911DF0C44677}" uniqueName="8" name="Position" queryTableFieldId="8"/>
    <tableColumn id="9" xr3:uid="{B6C37011-8847-4302-A271-22D734ECFE6D}" uniqueName="9" name="Index" queryTableFieldId="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9F4AA3E-2381-4ADD-A388-CEE8DC62D327}" name="Real_Valladolid_1" displayName="Real_Valladolid_1" ref="A1:I15" tableType="queryTable" totalsRowShown="0">
  <autoFilter ref="A1:I15" xr:uid="{19F4AA3E-2381-4ADD-A388-CEE8DC62D327}"/>
  <tableColumns count="9">
    <tableColumn id="1" xr3:uid="{A222C825-C2F7-4748-8565-B55B1FC1FAE9}" uniqueName="1" name="Date" queryTableFieldId="1" dataDxfId="107"/>
    <tableColumn id="2" xr3:uid="{531F608D-8B2F-4140-B8B2-3747D189CA01}" uniqueName="2" name="Home" queryTableFieldId="2" dataDxfId="106"/>
    <tableColumn id="3" xr3:uid="{D66974B0-5304-4A72-8D0D-FDA2B7CE8236}" uniqueName="3" name="Away" queryTableFieldId="3" dataDxfId="105"/>
    <tableColumn id="4" xr3:uid="{1D19985A-9834-425E-826B-5D38CDA5A8B9}" uniqueName="4" name="Home score" queryTableFieldId="4"/>
    <tableColumn id="5" xr3:uid="{AA15BC46-DF35-441E-A5DF-96F2B5DEBC25}" uniqueName="5" name="Away score" queryTableFieldId="5"/>
    <tableColumn id="6" xr3:uid="{189AFED7-60AE-4BAC-BA4F-AB2215314B20}" uniqueName="6" name="Me score" queryTableFieldId="6"/>
    <tableColumn id="7" xr3:uid="{5F269312-A2AB-4D6C-807F-26E9689FC8CE}" uniqueName="7" name="Opps score" queryTableFieldId="7"/>
    <tableColumn id="8" xr3:uid="{CD093592-CD07-4021-B48D-8EA131BBAFA0}" uniqueName="8" name="Positon" queryTableFieldId="8"/>
    <tableColumn id="9" xr3:uid="{D52906B0-792D-4013-8AD8-223C7A814EF9}" uniqueName="9" name="Index" queryTableFieldId="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3F53960-1EB3-4A23-87F6-FFBF3BFBD97F}" name="Atlético_Madrid" displayName="Atlético_Madrid" ref="A1:I22" tableType="queryTable" totalsRowShown="0">
  <autoFilter ref="A1:I22" xr:uid="{63F53960-1EB3-4A23-87F6-FFBF3BFBD97F}"/>
  <tableColumns count="9">
    <tableColumn id="1" xr3:uid="{D86FBF90-EB2E-4891-B907-CBBB6ED0D6A0}" uniqueName="1" name="Date" queryTableFieldId="1" dataDxfId="104"/>
    <tableColumn id="2" xr3:uid="{1D0207AC-C4A3-49C8-9744-D6D1828B261E}" uniqueName="2" name="Home" queryTableFieldId="2" dataDxfId="103"/>
    <tableColumn id="3" xr3:uid="{8CCBF034-AF37-401F-B02F-3C01A78AC041}" uniqueName="3" name="Away" queryTableFieldId="3" dataDxfId="102"/>
    <tableColumn id="4" xr3:uid="{B52FB8C2-3DE0-4CBD-8031-F07EDFD845AF}" uniqueName="4" name="Home score" queryTableFieldId="4"/>
    <tableColumn id="5" xr3:uid="{DE211232-D420-485B-A413-26D06B2A0083}" uniqueName="5" name="Away score" queryTableFieldId="5"/>
    <tableColumn id="6" xr3:uid="{21B5661A-F8D2-4CAF-9868-F84534E599B1}" uniqueName="6" name="Me score" queryTableFieldId="6"/>
    <tableColumn id="7" xr3:uid="{282D1A6F-BCBB-4C41-9404-1A0C94922B83}" uniqueName="7" name="Opps score" queryTableFieldId="7"/>
    <tableColumn id="8" xr3:uid="{B5498158-F57D-46B5-B27D-D2EAC8602783}" uniqueName="8" name="Position" queryTableFieldId="8"/>
    <tableColumn id="9" xr3:uid="{549D2548-EACD-4FBD-BAAD-BD26A487C5E7}" uniqueName="9" name="Index" queryTableFieldId="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615AC8E-A12B-4CCE-9881-9768AD91DE2E}" name="Real_Madrid" displayName="Real_Madrid" ref="A1:I20" tableType="queryTable" totalsRowShown="0">
  <autoFilter ref="A1:I20" xr:uid="{F615AC8E-A12B-4CCE-9881-9768AD91DE2E}"/>
  <tableColumns count="9">
    <tableColumn id="1" xr3:uid="{F0A21ABC-AF0B-401D-90A1-2AB28415E1EE}" uniqueName="1" name="Date" queryTableFieldId="1" dataDxfId="101"/>
    <tableColumn id="2" xr3:uid="{D40D2543-D5BA-49C0-88C0-B58C0E8C9632}" uniqueName="2" name="Home" queryTableFieldId="2" dataDxfId="100"/>
    <tableColumn id="3" xr3:uid="{68EA1E53-5982-4FC8-A1A2-F414F8EBAED2}" uniqueName="3" name="Away" queryTableFieldId="3" dataDxfId="99"/>
    <tableColumn id="4" xr3:uid="{76531FF9-7E92-4429-B53F-4B98023BD815}" uniqueName="4" name="Home score" queryTableFieldId="4"/>
    <tableColumn id="5" xr3:uid="{FFFB93C1-3E56-40D8-A386-0EE288D2F10C}" uniqueName="5" name="Away score" queryTableFieldId="5"/>
    <tableColumn id="6" xr3:uid="{98BA9DD3-FA18-459F-BFFF-E018FC8E3AC5}" uniqueName="6" name="Me score" queryTableFieldId="6"/>
    <tableColumn id="7" xr3:uid="{D0096B41-9B73-4CED-B979-851FDD3094E6}" uniqueName="7" name="Opps score" queryTableFieldId="7"/>
    <tableColumn id="8" xr3:uid="{78003EF0-4699-4234-8FD8-D4A6366DEA5A}" uniqueName="8" name="Position" queryTableFieldId="8"/>
    <tableColumn id="9" xr3:uid="{A8334431-BB6A-42E7-9DA4-841F677A626D}" uniqueName="9" name="Index" queryTableFieldId="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F5E5618-4CFE-4D86-9F95-A4CEE2C5E45B}" name="Mallorca" displayName="Mallorca" ref="N88:U100" tableType="queryTable" totalsRowShown="0">
  <autoFilter ref="N88:U100" xr:uid="{2F5E5618-4CFE-4D86-9F95-A4CEE2C5E45B}"/>
  <tableColumns count="8">
    <tableColumn id="1" xr3:uid="{A4B2726D-278D-47DF-B41A-637E2236AEA5}" uniqueName="1" name="Home" queryTableFieldId="1" dataDxfId="98"/>
    <tableColumn id="2" xr3:uid="{6847B3D8-F278-4DA3-8CE3-3A19959856F5}" uniqueName="2" name="Away" queryTableFieldId="2" dataDxfId="97"/>
    <tableColumn id="3" xr3:uid="{101E4A9E-7C15-4575-9ACC-B47FE2CF42E0}" uniqueName="3" name="Home score" queryTableFieldId="3"/>
    <tableColumn id="4" xr3:uid="{5C9BE9E2-A0A9-4BB9-9D17-DE03FAECF159}" uniqueName="4" name="Away score" queryTableFieldId="4"/>
    <tableColumn id="5" xr3:uid="{FD39D866-D7B2-4BA4-A090-EB8B91680632}" uniqueName="5" name="Me score" queryTableFieldId="5" dataDxfId="96"/>
    <tableColumn id="6" xr3:uid="{54F4BF4F-09D0-4718-A0D8-B4651537040B}" uniqueName="6" name="Opps score" queryTableFieldId="6" dataDxfId="95"/>
    <tableColumn id="7" xr3:uid="{C1A9A4E1-C665-4F42-8A43-6BA1DE020772}" uniqueName="7" name="Position" queryTableFieldId="7"/>
    <tableColumn id="8" xr3:uid="{A546BD19-4961-4E9F-A893-4EC7CC9880B8}" uniqueName="8" name="Index" queryTableFieldId="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80D4BB2-E44B-4D69-8C7C-B32CA08950CA}" name="Rayo_Vallecano" displayName="Rayo_Vallecano" ref="A39:H52" tableType="queryTable" totalsRowShown="0">
  <autoFilter ref="A39:H52" xr:uid="{480D4BB2-E44B-4D69-8C7C-B32CA08950CA}"/>
  <tableColumns count="8">
    <tableColumn id="1" xr3:uid="{D4819BC3-6AAD-4F51-A544-523A4BCFCDF7}" uniqueName="1" name="Home" queryTableFieldId="1" dataDxfId="94"/>
    <tableColumn id="2" xr3:uid="{7CA8407E-8587-4FCF-B77A-84EFD1F3EEEA}" uniqueName="2" name="Away" queryTableFieldId="2" dataDxfId="93"/>
    <tableColumn id="3" xr3:uid="{4165DAC4-723A-4CC0-892A-BE831A2CFCAC}" uniqueName="3" name="Home score" queryTableFieldId="3"/>
    <tableColumn id="4" xr3:uid="{AE988BEB-FF24-42E6-80E4-C469DCE77393}" uniqueName="4" name="Away score" queryTableFieldId="4"/>
    <tableColumn id="5" xr3:uid="{18047D0D-1F76-48EF-AC9D-27B7D3FF730A}" uniqueName="5" name="Me result" queryTableFieldId="5"/>
    <tableColumn id="6" xr3:uid="{71F5ED36-6749-4634-9E3B-7BBA540D9B59}" uniqueName="6" name="Opps score" queryTableFieldId="6"/>
    <tableColumn id="7" xr3:uid="{38C408D3-9C9F-4ABF-AECB-6282D7883DC6}" uniqueName="7" name="Position" queryTableFieldId="7"/>
    <tableColumn id="8" xr3:uid="{25A77620-372B-4F71-A51F-B03B2BBAE2A8}" uniqueName="8" name="Index" queryTableFieldId="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FA71843-C91B-4925-83C2-3F05E663F386}" name="Las_Palmas" displayName="Las_Palmas" ref="A105:H120" tableType="queryTable" totalsRowShown="0">
  <autoFilter ref="A105:H120" xr:uid="{AFA71843-C91B-4925-83C2-3F05E663F386}"/>
  <tableColumns count="8">
    <tableColumn id="1" xr3:uid="{CDFB8057-9C21-4372-A910-3BBE4911F021}" uniqueName="1" name="Home" queryTableFieldId="1" dataDxfId="92"/>
    <tableColumn id="2" xr3:uid="{21C7DC87-69B9-4CA1-AB67-9513114DACDC}" uniqueName="2" name="Away" queryTableFieldId="2" dataDxfId="91"/>
    <tableColumn id="3" xr3:uid="{5C49B174-ED9F-4EF9-857E-E2C36CC66B23}" uniqueName="3" name="Home score" queryTableFieldId="3"/>
    <tableColumn id="4" xr3:uid="{668359AE-ECDD-4ED1-92F4-A4FB08F1264C}" uniqueName="4" name="Away score" queryTableFieldId="4"/>
    <tableColumn id="5" xr3:uid="{5B6709BD-A1AA-4CE1-A030-CF464E4A26CB}" uniqueName="5" name="Me score" queryTableFieldId="5"/>
    <tableColumn id="6" xr3:uid="{F1BE1DFB-4A5A-4EEE-8C3B-7AF8B43EDC6A}" uniqueName="6" name="Opps score" queryTableFieldId="6"/>
    <tableColumn id="7" xr3:uid="{27DA5F28-90D8-46DF-BF01-CB150E7B12DB}" uniqueName="7" name="Position" queryTableFieldId="7"/>
    <tableColumn id="8" xr3:uid="{7251EEB7-53FF-4FBF-A2B5-6194E84D7492}" uniqueName="8" name="Index" queryTableFieldId="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AB9933DB-DAD4-4CCB-B4B9-A556B68A247A}" name="Sevilla" displayName="Sevilla" ref="A1:I16" tableType="queryTable" totalsRowShown="0">
  <autoFilter ref="A1:I16" xr:uid="{AB9933DB-DAD4-4CCB-B4B9-A556B68A247A}"/>
  <tableColumns count="9">
    <tableColumn id="1" xr3:uid="{7BD98699-D350-48C4-97DD-43C46CAEF964}" uniqueName="1" name="Date" queryTableFieldId="1" dataDxfId="90"/>
    <tableColumn id="2" xr3:uid="{D6EDD2DE-42A2-4CE2-BE7F-2CC7885D517A}" uniqueName="2" name="Home" queryTableFieldId="2" dataDxfId="89"/>
    <tableColumn id="3" xr3:uid="{C37BDF5C-6E0A-4065-AC9B-0A34101F46FE}" uniqueName="3" name="Away" queryTableFieldId="3" dataDxfId="88"/>
    <tableColumn id="4" xr3:uid="{0252E1AD-717B-4CF6-AFEA-4B1427023541}" uniqueName="4" name="Home score" queryTableFieldId="4"/>
    <tableColumn id="5" xr3:uid="{3556FCF1-46B8-4EF8-B2B2-32EAA6CF3544}" uniqueName="5" name="Away score" queryTableFieldId="5"/>
    <tableColumn id="6" xr3:uid="{A553068A-A901-4E3C-A9BE-0EDE1A121EA8}" uniqueName="6" name="Me score" queryTableFieldId="6"/>
    <tableColumn id="7" xr3:uid="{D66B0FB5-B4DA-4616-9237-86128BE86FE2}" uniqueName="7" name="Opps score" queryTableFieldId="7"/>
    <tableColumn id="8" xr3:uid="{1FDF7444-BC6A-4C6D-B113-D34B6097739D}" uniqueName="8" name="Position" queryTableFieldId="8"/>
    <tableColumn id="9" xr3:uid="{3DCEED4A-54CC-48F3-95F5-21F01719A983}" uniqueName="9" name="Index" queryTableFieldId="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54B4ED-BAC4-453B-97F5-341E2F10A758}" name="Valencia__2" displayName="Valencia__2" ref="A1:H13" tableType="queryTable" totalsRowShown="0">
  <autoFilter ref="A1:H13" xr:uid="{7454B4ED-BAC4-453B-97F5-341E2F10A758}"/>
  <tableColumns count="8">
    <tableColumn id="1" xr3:uid="{6641B6C2-4279-40CE-80A6-5BACB0CB6906}" uniqueName="1" name="Home" queryTableFieldId="1" dataDxfId="87"/>
    <tableColumn id="2" xr3:uid="{7AF2C1A1-6F8B-48B2-9291-66EFA13C3BE8}" uniqueName="2" name="Away" queryTableFieldId="2" dataDxfId="86"/>
    <tableColumn id="3" xr3:uid="{53BEBD6D-C486-44D3-BB62-DE3E336A461F}" uniqueName="3" name="Home score" queryTableFieldId="3"/>
    <tableColumn id="4" xr3:uid="{508BB97D-7B98-45B9-92F6-87BB837BA4D1}" uniqueName="4" name="Away score" queryTableFieldId="4"/>
    <tableColumn id="5" xr3:uid="{3065E13C-BC5A-4567-99B0-C335689697B1}" uniqueName="5" name="Me score" queryTableFieldId="5"/>
    <tableColumn id="6" xr3:uid="{9BDFB511-45DC-4EED-B6C7-04CA023D03C0}" uniqueName="6" name="Opps" queryTableFieldId="6"/>
    <tableColumn id="7" xr3:uid="{425FEE41-5730-4CEC-BC96-8C7368527628}" uniqueName="7" name="Position" queryTableFieldId="7"/>
    <tableColumn id="8" xr3:uid="{B1728BC0-5AF0-4437-84C8-27013674AD08}" uniqueName="8" name="Index" queryTableFieldId="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15" displayName="Table_15" ref="A14:A35">
  <tableColumns count="1">
    <tableColumn id="1" xr3:uid="{00000000-0010-0000-0E00-000001000000}" name="Doble chance"/>
  </tableColumns>
  <tableStyleInfo name="criteria-style" showFirstColumn="1" showLastColumn="1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16" displayName="Table_16" ref="A38:A61">
  <autoFilter ref="A38:A61" xr:uid="{00000000-000C-0000-FFFF-FFFF0F000000}"/>
  <tableColumns count="1">
    <tableColumn id="1" xr3:uid="{00000000-0010-0000-0F00-000001000000}" name="Column1"/>
  </tableColumns>
  <tableStyleInfo name="criteria-style 2" showFirstColumn="1" showLastColumn="1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_17" displayName="Table_17" ref="A65:A162">
  <tableColumns count="1">
    <tableColumn id="1" xr3:uid="{00000000-0010-0000-1000-000001000000}" name="Column1"/>
  </tableColumns>
  <tableStyleInfo name="criteria-style 3" showFirstColumn="1" showLastColumn="1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B09B49EE-430C-4D41-A5B0-C2AF42A1B859}" name="Tottenham_Hotspur" displayName="Tottenham_Hotspur" ref="A1:I24" tableType="queryTable" totalsRowShown="0">
  <autoFilter ref="A1:I24" xr:uid="{B09B49EE-430C-4D41-A5B0-C2AF42A1B859}"/>
  <tableColumns count="9">
    <tableColumn id="1" xr3:uid="{346782A7-45AF-4AF9-A971-2BB9CC73A59D}" uniqueName="1" name="Date" queryTableFieldId="1" dataDxfId="85"/>
    <tableColumn id="2" xr3:uid="{DAAD1B07-F1FA-4FEA-84BD-60E0FD1A332F}" uniqueName="2" name="Home" queryTableFieldId="2" dataDxfId="84"/>
    <tableColumn id="3" xr3:uid="{D3EED5B4-19D7-4A54-A58E-137BDEC0058A}" uniqueName="3" name="Away" queryTableFieldId="3" dataDxfId="83"/>
    <tableColumn id="4" xr3:uid="{FD01B3B8-370D-48F7-AC5E-0D7DF4BC7032}" uniqueName="4" name="Home score" queryTableFieldId="4"/>
    <tableColumn id="5" xr3:uid="{9277F094-0567-46C7-8536-DDF91C774A64}" uniqueName="5" name="Away score" queryTableFieldId="5"/>
    <tableColumn id="6" xr3:uid="{F99B7292-F39A-471E-A8F0-04B35898D7B8}" uniqueName="6" name="Me score" queryTableFieldId="6"/>
    <tableColumn id="7" xr3:uid="{E31E5515-4EF6-4CDC-AC80-BC7D31E608F3}" uniqueName="7" name="Opps score" queryTableFieldId="7"/>
    <tableColumn id="8" xr3:uid="{66B91C1E-203D-417E-8DBA-5ED166504805}" uniqueName="8" name="Position" queryTableFieldId="8"/>
    <tableColumn id="9" xr3:uid="{53C811FF-65D8-45BB-BFA7-807B47E53265}" uniqueName="9" name="Index" queryTableFieldId="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E177F9F-773C-47D7-A75F-924AF46E80B2}" name="Manchester_United" displayName="Manchester_United" ref="A1:I23" tableType="queryTable" totalsRowShown="0">
  <autoFilter ref="A1:I23" xr:uid="{AE177F9F-773C-47D7-A75F-924AF46E80B2}"/>
  <tableColumns count="9">
    <tableColumn id="1" xr3:uid="{67450E08-04CC-4CC7-AB8D-3331394AF90D}" uniqueName="1" name="Date" queryTableFieldId="1" dataDxfId="82"/>
    <tableColumn id="2" xr3:uid="{DA24B4B8-8966-4DE9-B534-733D316CEB91}" uniqueName="2" name="Home" queryTableFieldId="2" dataDxfId="81"/>
    <tableColumn id="3" xr3:uid="{6C1D7F4A-3C11-441B-A698-DC70A98F98EF}" uniqueName="3" name="Away" queryTableFieldId="3" dataDxfId="80"/>
    <tableColumn id="4" xr3:uid="{7B9AB851-4D97-46F0-AE7E-C82C206CDF84}" uniqueName="4" name="Home score" queryTableFieldId="4"/>
    <tableColumn id="5" xr3:uid="{D96CDF74-75AA-4578-B766-622E5C526A38}" uniqueName="5" name="Away score" queryTableFieldId="5"/>
    <tableColumn id="6" xr3:uid="{7CD674DE-9DE9-4554-BCFE-7F7B760FCD28}" uniqueName="6" name="Me score" queryTableFieldId="6"/>
    <tableColumn id="7" xr3:uid="{BA560AD0-9D47-442E-ADBF-442ADC954C0E}" uniqueName="7" name="Opps score" queryTableFieldId="7"/>
    <tableColumn id="8" xr3:uid="{C9196D17-DEB0-4387-90ED-E6B907847223}" uniqueName="8" name="Positon" queryTableFieldId="8"/>
    <tableColumn id="9" xr3:uid="{50DD6AF5-B957-45D5-ADDF-85890410A3E8}" uniqueName="9" name="Index" queryTableFieldId="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621510C-41C9-4CB3-8719-F294898D7E2D}" name="Everton" displayName="Everton" ref="A1:I16" tableType="queryTable" totalsRowShown="0">
  <autoFilter ref="A1:I16" xr:uid="{0621510C-41C9-4CB3-8719-F294898D7E2D}"/>
  <tableColumns count="9">
    <tableColumn id="1" xr3:uid="{67D4C0C1-596F-41D2-9010-DE2195105E7D}" uniqueName="1" name="Date" queryTableFieldId="1" dataDxfId="79"/>
    <tableColumn id="2" xr3:uid="{2B4976C6-CC5E-4750-A1F4-3042DC003C30}" uniqueName="2" name="Home" queryTableFieldId="2" dataDxfId="78"/>
    <tableColumn id="3" xr3:uid="{75925D9B-D0FB-43BE-8BA6-4DE36A4E11EF}" uniqueName="3" name="Away" queryTableFieldId="3" dataDxfId="77"/>
    <tableColumn id="4" xr3:uid="{11E88287-D245-4FDB-85A7-1B55CDDBEB67}" uniqueName="4" name="Home score" queryTableFieldId="4"/>
    <tableColumn id="5" xr3:uid="{D0889E21-7AF0-4C68-A5DD-873022C9FDAF}" uniqueName="5" name="Away score" queryTableFieldId="5"/>
    <tableColumn id="6" xr3:uid="{F626E898-D881-4E78-B43E-4CA9A526DE69}" uniqueName="6" name="Me score" queryTableFieldId="6"/>
    <tableColumn id="7" xr3:uid="{7CC741F2-CEE7-4E93-B71B-DD119983E650}" uniqueName="7" name="Opps score" queryTableFieldId="7"/>
    <tableColumn id="8" xr3:uid="{1C85A65E-5821-458D-A75E-BE24C4562010}" uniqueName="8" name="Position" queryTableFieldId="8"/>
    <tableColumn id="9" xr3:uid="{84F6650B-5472-4B40-BCDE-0EE42F0D1529}" uniqueName="9" name="Index" queryTableFieldId="9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E960E49-4905-46BF-A1F2-E0B968E69AB3}" name="Arsenal" displayName="Arsenal" ref="A1:I23" tableType="queryTable" totalsRowShown="0">
  <autoFilter ref="A1:I23" xr:uid="{8E960E49-4905-46BF-A1F2-E0B968E69AB3}"/>
  <tableColumns count="9">
    <tableColumn id="1" xr3:uid="{C4CBC8F2-0C00-47B7-B831-18322242C147}" uniqueName="1" name="Date" queryTableFieldId="1" dataDxfId="76"/>
    <tableColumn id="2" xr3:uid="{B0BA33E4-6ED4-4EA2-8447-0CB60C63723F}" uniqueName="2" name="Home" queryTableFieldId="2" dataDxfId="75"/>
    <tableColumn id="3" xr3:uid="{F9C201BF-7DFB-481C-B886-895845FB4321}" uniqueName="3" name="Away" queryTableFieldId="3" dataDxfId="74"/>
    <tableColumn id="4" xr3:uid="{237F6097-6B59-4E45-BBA1-EB4A5E3D6EE9}" uniqueName="4" name="Home score" queryTableFieldId="4"/>
    <tableColumn id="5" xr3:uid="{45C915BC-114B-420F-8867-1245A9D52B16}" uniqueName="5" name="Away score" queryTableFieldId="5"/>
    <tableColumn id="6" xr3:uid="{D0EF3AE3-F556-4918-8A33-4DE16468DDB1}" uniqueName="6" name="Me score" queryTableFieldId="6"/>
    <tableColumn id="7" xr3:uid="{4BDF77B1-96E1-4CD4-B99D-60F0BFD5CF2D}" uniqueName="7" name="Opps score" queryTableFieldId="7"/>
    <tableColumn id="8" xr3:uid="{CCA3344E-8D09-40A4-B137-FC85375869A2}" uniqueName="8" name="Position" queryTableFieldId="10"/>
    <tableColumn id="9" xr3:uid="{D89849E6-D28B-4D8D-A2F8-AB80DC12C0D3}" uniqueName="9" name="Index" queryTableFieldId="9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BF32F9C-B34B-4263-853E-423EF853D73E}" name="Newcastle_United" displayName="Newcastle_United" ref="A1:I16" tableType="queryTable" totalsRowShown="0">
  <autoFilter ref="A1:I16" xr:uid="{4BF32F9C-B34B-4263-853E-423EF853D73E}"/>
  <tableColumns count="9">
    <tableColumn id="1" xr3:uid="{5D1FAE37-6D83-4FC7-A8EC-9AA2299D09CB}" uniqueName="1" name="Date" queryTableFieldId="1" dataDxfId="73"/>
    <tableColumn id="2" xr3:uid="{8FAC6834-327E-4894-8CDA-9903CCC60AE2}" uniqueName="2" name="Home" queryTableFieldId="2" dataDxfId="72"/>
    <tableColumn id="3" xr3:uid="{D7FE5399-E1A8-4E66-8750-31E8AB14EA39}" uniqueName="3" name="Away" queryTableFieldId="3" dataDxfId="71"/>
    <tableColumn id="4" xr3:uid="{1E688EE4-011D-4040-9C41-BC5ABD3C3C3A}" uniqueName="4" name="Home score" queryTableFieldId="4"/>
    <tableColumn id="5" xr3:uid="{89BD7702-9622-4A42-B3BD-9C1CF207DEFA}" uniqueName="5" name="Away score" queryTableFieldId="5"/>
    <tableColumn id="6" xr3:uid="{4036EF75-FAA6-42D2-B5C2-324E8097665B}" uniqueName="6" name="Me score" queryTableFieldId="6"/>
    <tableColumn id="7" xr3:uid="{2A5C56D7-6932-44F9-A99A-214A5144F8DB}" uniqueName="7" name="Opps score" queryTableFieldId="7"/>
    <tableColumn id="8" xr3:uid="{96E1F220-4A7F-4243-BBF6-7C91D5C9BC6C}" uniqueName="8" name="Positon" queryTableFieldId="8"/>
    <tableColumn id="9" xr3:uid="{EB1C535A-19C1-4B71-A437-4B371777D18B}" uniqueName="9" name="Index" queryTableFieldId="9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270C305-DAB4-4B35-AF48-72F549C27002}" name="Fulham" displayName="Fulham" ref="L107:Q119" tableType="queryTable" totalsRowShown="0">
  <autoFilter ref="L107:Q119" xr:uid="{E270C305-DAB4-4B35-AF48-72F549C27002}"/>
  <tableColumns count="6">
    <tableColumn id="1" xr3:uid="{41E57262-98B8-4547-9447-A8C80CACF753}" uniqueName="1" name="Home" queryTableFieldId="1" dataDxfId="70"/>
    <tableColumn id="2" xr3:uid="{F58E20C3-C3EE-4BCE-B6B8-ECAA3F2261D9}" uniqueName="2" name="Away" queryTableFieldId="2" dataDxfId="69"/>
    <tableColumn id="3" xr3:uid="{5D0F1DD8-9A58-440F-BE64-9A9CCCAF8887}" uniqueName="3" name="Me result" queryTableFieldId="3"/>
    <tableColumn id="4" xr3:uid="{C4BA3410-8853-45F8-9B55-B77DC3DABD4C}" uniqueName="4" name="OPPS RESULT" queryTableFieldId="4"/>
    <tableColumn id="5" xr3:uid="{22FEC32D-EAFE-42AC-A8DC-DE596C40056A}" uniqueName="5" name="Position" queryTableFieldId="5"/>
    <tableColumn id="6" xr3:uid="{3B5474F6-8A43-485D-8DD7-F1F4DD6C9390}" uniqueName="6" name="Index" queryTableFieldId="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0710417-DA24-4534-B309-6D9A004DB31C}" name="Aston_Villa__2" displayName="Aston_Villa__2" ref="K47:S67" tableType="queryTable" totalsRowShown="0">
  <autoFilter ref="K47:S67" xr:uid="{80710417-DA24-4534-B309-6D9A004DB31C}"/>
  <tableColumns count="9">
    <tableColumn id="1" xr3:uid="{D2F8147A-11E1-49DF-9AC3-C566C25B625B}" uniqueName="1" name="Date" queryTableFieldId="1" dataDxfId="12"/>
    <tableColumn id="2" xr3:uid="{7A2477FC-5E26-451D-BEA0-3FDAC0499A02}" uniqueName="2" name="Home" queryTableFieldId="2" dataDxfId="11"/>
    <tableColumn id="3" xr3:uid="{1B60984B-6B25-4D35-82D1-43A10F7FC18E}" uniqueName="3" name="Away" queryTableFieldId="3" dataDxfId="10"/>
    <tableColumn id="4" xr3:uid="{CE1EFDC7-65FF-4137-83D9-5885C06792E1}" uniqueName="4" name="Home score" queryTableFieldId="4"/>
    <tableColumn id="5" xr3:uid="{39901AAD-E8D2-458C-9637-E424B0210F43}" uniqueName="5" name="Away score" queryTableFieldId="5"/>
    <tableColumn id="6" xr3:uid="{73F8049B-6DF7-4E39-9C97-172B1E88098C}" uniqueName="6" name="Me score" queryTableFieldId="6"/>
    <tableColumn id="7" xr3:uid="{E0592A21-ED6D-4599-A56E-DA1EA3D4A06A}" uniqueName="7" name="Opps score" queryTableFieldId="7"/>
    <tableColumn id="8" xr3:uid="{AD111D1D-57B6-477B-A768-F998BF1DE212}" uniqueName="8" name="Position" queryTableFieldId="8"/>
    <tableColumn id="9" xr3:uid="{3028702D-AE74-4F12-A48B-5BC10F142EF4}" uniqueName="9" name="Index" queryTableFieldId="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7F16F0F-E6D1-4CED-AFE1-C4FA192D7EBE}" name="Wolverhampton_Wanderers" displayName="Wolverhampton_Wanderers" ref="AB3:AI15" totalsRowShown="0">
  <autoFilter ref="AB3:AI15" xr:uid="{E7F16F0F-E6D1-4CED-AFE1-C4FA192D7EBE}"/>
  <tableColumns count="8">
    <tableColumn id="1" xr3:uid="{116F00EF-6B5C-4881-AB70-1F0A884AC913}" name="Home" dataDxfId="68"/>
    <tableColumn id="2" xr3:uid="{8E08B054-1FBC-49D1-98B8-4E1CE1D876E5}" name="Away" dataDxfId="67"/>
    <tableColumn id="3" xr3:uid="{CE0CA560-022B-46D4-B05A-3F0EE9EFD4E0}" name="Home score"/>
    <tableColumn id="4" xr3:uid="{1C75341C-C128-40C4-989D-C8EFBC60DA2A}" name="Away score"/>
    <tableColumn id="5" xr3:uid="{F41F3071-AB28-4391-8DE0-A89783505B04}" name="Me score"/>
    <tableColumn id="6" xr3:uid="{3557DE3B-B511-45E7-B8A3-6D35AF96D554}" name="Opps score"/>
    <tableColumn id="7" xr3:uid="{9228A5F8-0A2A-4794-B083-4D06D21E2D11}" name="Position"/>
    <tableColumn id="8" xr3:uid="{5C4010F6-303E-409A-B05D-3633E7C2EF49}" name="Index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DC0D986-CA89-4927-A155-74B708D6DA5F}" name="Manchester_City" displayName="Manchester_City" ref="A47:H68" tableType="queryTable" totalsRowShown="0">
  <autoFilter ref="A47:H68" xr:uid="{2DC0D986-CA89-4927-A155-74B708D6DA5F}"/>
  <tableColumns count="8">
    <tableColumn id="1" xr3:uid="{E46595AD-4212-4295-B147-4F732B6A8695}" uniqueName="1" name="Home" queryTableFieldId="1" dataDxfId="66"/>
    <tableColumn id="2" xr3:uid="{ECD92C25-6747-4388-A9F4-3B0D1FAE3394}" uniqueName="2" name="Away" queryTableFieldId="2" dataDxfId="65"/>
    <tableColumn id="3" xr3:uid="{BBC84709-1B8F-4263-95DF-4E3742E64763}" uniqueName="3" name="Home score" queryTableFieldId="3"/>
    <tableColumn id="4" xr3:uid="{7776B8D5-D9C1-4C7C-800A-AE0F7A482798}" uniqueName="4" name="Away score" queryTableFieldId="4"/>
    <tableColumn id="5" xr3:uid="{F97A11D0-20E6-492B-927A-C2C4EA1BD998}" uniqueName="5" name="Me score" queryTableFieldId="5" dataDxfId="64"/>
    <tableColumn id="6" xr3:uid="{D6F2E802-F0E8-44DC-96D0-68CCA020E96A}" uniqueName="6" name="Opps score" queryTableFieldId="6" dataDxfId="63"/>
    <tableColumn id="7" xr3:uid="{2C22FA4C-C3A3-4A43-B294-D2854E0324DC}" uniqueName="7" name="Position" queryTableFieldId="7"/>
    <tableColumn id="8" xr3:uid="{13DF4C56-2838-49FC-A792-78ECD0B55B56}" uniqueName="8" name="Index" queryTableFieldId="8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647C879-B5CC-4905-8DC1-BFF8E0C12D59}" name="Liverpool" displayName="Liverpool" ref="W142:AD166" tableType="queryTable" totalsRowShown="0">
  <autoFilter ref="W142:AD166" xr:uid="{D647C879-B5CC-4905-8DC1-BFF8E0C12D59}"/>
  <tableColumns count="8">
    <tableColumn id="1" xr3:uid="{B0ADA13C-9306-49CC-BB3D-0ECE800F3579}" uniqueName="1" name="Home" queryTableFieldId="1" dataDxfId="3"/>
    <tableColumn id="2" xr3:uid="{86E04E73-BCAC-4125-A647-36E63CFD4A46}" uniqueName="2" name="Away" queryTableFieldId="2" dataDxfId="2"/>
    <tableColumn id="3" xr3:uid="{9D0851B0-6B82-42BE-8001-9C20370202C8}" uniqueName="3" name="Home score" queryTableFieldId="3"/>
    <tableColumn id="4" xr3:uid="{34E493BB-CE66-4E42-B98D-C3472DFA0743}" uniqueName="4" name="Away score" queryTableFieldId="4"/>
    <tableColumn id="5" xr3:uid="{4ECB5C44-AEFC-4EC8-AA20-CB3A35B26B31}" uniqueName="5" name="Me score" queryTableFieldId="5" dataDxfId="1"/>
    <tableColumn id="6" xr3:uid="{2E62063C-D6A8-4FD1-B227-DE9CBCF86D92}" uniqueName="6" name="Opps score" queryTableFieldId="6" dataDxfId="0"/>
    <tableColumn id="7" xr3:uid="{134B63BE-A796-482E-A91E-E564EE0229B8}" uniqueName="7" name="Position" queryTableFieldId="7"/>
    <tableColumn id="8" xr3:uid="{9F4E0FE1-FD3F-4B1F-9879-F04AA7F17D26}" uniqueName="8" name="Index" queryTableFieldId="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FA9F1F0-1C14-459A-9614-E0FA05B8321A}" name="Nottingham_Forest" displayName="Nottingham_Forest" ref="A102:H115" tableType="queryTable" totalsRowShown="0">
  <autoFilter ref="A102:H115" xr:uid="{2FA9F1F0-1C14-459A-9614-E0FA05B8321A}"/>
  <tableColumns count="8">
    <tableColumn id="1" xr3:uid="{92610258-1DC2-4047-9AB0-9E3A4964741C}" uniqueName="1" name="Home" queryTableFieldId="1" dataDxfId="62"/>
    <tableColumn id="2" xr3:uid="{5488DE6F-9912-49CF-A9F5-F6BE2F4E841E}" uniqueName="2" name="Away" queryTableFieldId="2" dataDxfId="61"/>
    <tableColumn id="3" xr3:uid="{364AFFBB-6E66-4AE4-BF41-BDCA62A82328}" uniqueName="3" name="Home score" queryTableFieldId="3"/>
    <tableColumn id="4" xr3:uid="{C4CBD170-46FB-423C-9968-DCB84DAC31DA}" uniqueName="4" name="Away score" queryTableFieldId="4"/>
    <tableColumn id="5" xr3:uid="{34D04831-BB18-44BA-86FD-B3B41A2C5AF5}" uniqueName="5" name="Me score" queryTableFieldId="5"/>
    <tableColumn id="6" xr3:uid="{8FA3932E-5410-48DB-A34D-8BF02D25D85F}" uniqueName="6" name="Opps score" queryTableFieldId="6"/>
    <tableColumn id="7" xr3:uid="{8BBD9BA4-E47A-43F9-9232-E339F7FEEA4F}" uniqueName="7" name="Position" queryTableFieldId="7"/>
    <tableColumn id="8" xr3:uid="{8571FED1-2A34-417D-9D23-83A58876C41B}" uniqueName="8" name="Index" queryTableFieldId="8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F6D7152-E10A-46ED-98A9-1367B248D758}" name="Crystal_Palace" displayName="Crystal_Palace" ref="A159:H179" tableType="queryTable" totalsRowShown="0">
  <autoFilter ref="A159:H179" xr:uid="{7F6D7152-E10A-46ED-98A9-1367B248D758}"/>
  <tableColumns count="8">
    <tableColumn id="1" xr3:uid="{5DE1FFB5-0488-4E39-9CE1-83A03D3887CB}" uniqueName="1" name="Home" queryTableFieldId="1" dataDxfId="60"/>
    <tableColumn id="2" xr3:uid="{6EC454E2-BF9C-4A64-92EC-E33C91C48E74}" uniqueName="2" name="Away" queryTableFieldId="2" dataDxfId="59"/>
    <tableColumn id="3" xr3:uid="{6890F38B-55F6-4178-9AE4-954DEDD88A34}" uniqueName="3" name="Home score" queryTableFieldId="3"/>
    <tableColumn id="4" xr3:uid="{BDC0270C-5D1D-4754-8835-CC4808223591}" uniqueName="4" name="Away score" queryTableFieldId="4"/>
    <tableColumn id="5" xr3:uid="{F12F5923-B878-4676-BFAE-71E028B5601C}" uniqueName="5" name="Me score" queryTableFieldId="5"/>
    <tableColumn id="6" xr3:uid="{E31E2C11-3DAB-4FAE-AC61-A1E807907ED7}" uniqueName="6" name="Opps score" queryTableFieldId="6"/>
    <tableColumn id="7" xr3:uid="{CDF26942-A36B-4442-B589-B77DB6DE9880}" uniqueName="7" name="Position" queryTableFieldId="7"/>
    <tableColumn id="8" xr3:uid="{24539E45-ADDE-4EEA-9954-09E8E5176009}" uniqueName="8" name="Index.1" queryTableFieldId="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5B74710-65BE-45DC-899B-9354594DECFD}" name="West_Ham_United" displayName="West_Ham_United" ref="B2:G18" tableType="queryTable" totalsRowShown="0">
  <autoFilter ref="B2:G18" xr:uid="{A5B74710-65BE-45DC-899B-9354594DECFD}"/>
  <tableColumns count="6">
    <tableColumn id="1" xr3:uid="{7CD41010-97DD-4609-A696-4B5815D35C83}" uniqueName="1" name="Home" queryTableFieldId="1" dataDxfId="58"/>
    <tableColumn id="2" xr3:uid="{0DF40FA3-2CFA-46FF-BC76-DC0A611EB602}" uniqueName="2" name="Away" queryTableFieldId="2" dataDxfId="57"/>
    <tableColumn id="3" xr3:uid="{F2BF7196-470A-4ACA-9071-EE986BD16821}" uniqueName="3" name="Me score" queryTableFieldId="3"/>
    <tableColumn id="4" xr3:uid="{02B5777A-8C7E-409F-9F37-31CA5A183C47}" uniqueName="4" name="Opps score" queryTableFieldId="4"/>
    <tableColumn id="5" xr3:uid="{F0A8C90A-507E-4899-A5B0-88B0FD5623B5}" uniqueName="5" name="Position" queryTableFieldId="5"/>
    <tableColumn id="6" xr3:uid="{97A4CD4D-1019-4F2A-98D3-8ADBA3154BB1}" uniqueName="6" name="Index" queryTableFieldId="6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FBEB77A-CAE5-4425-BDCF-EEA7162C092B}" name="Chelsea" displayName="Chelsea" ref="C1:J27" tableType="queryTable" totalsRowShown="0">
  <autoFilter ref="C1:J27" xr:uid="{7FBEB77A-CAE5-4425-BDCF-EEA7162C092B}"/>
  <tableColumns count="8">
    <tableColumn id="1" xr3:uid="{C854E4D2-75C2-4C1C-9257-B312BBB2232F}" uniqueName="1" name="Home" queryTableFieldId="1" dataDxfId="14"/>
    <tableColumn id="2" xr3:uid="{243AFAD3-6D7E-44C0-A27B-424CA8CE1B49}" uniqueName="2" name="Away" queryTableFieldId="2" dataDxfId="13"/>
    <tableColumn id="3" xr3:uid="{9A1D24C8-B15F-44BF-851C-666F14897E59}" uniqueName="3" name="Home score" queryTableFieldId="3"/>
    <tableColumn id="4" xr3:uid="{AEEB439A-548C-4840-8945-6579446F315F}" uniqueName="4" name="Away score" queryTableFieldId="4"/>
    <tableColumn id="5" xr3:uid="{202F0F0D-D193-4FFC-92CB-E20F294F29E0}" uniqueName="5" name="Me score" queryTableFieldId="5"/>
    <tableColumn id="6" xr3:uid="{587E924A-3039-4700-A997-12754484D82C}" uniqueName="6" name="Opps score" queryTableFieldId="6"/>
    <tableColumn id="7" xr3:uid="{9C3FCB99-DF6A-4247-8354-802F9821A19D}" uniqueName="7" name="Position" queryTableFieldId="7"/>
    <tableColumn id="8" xr3:uid="{9312494F-CBF1-4E1C-A58C-B36FDA9794A9}" uniqueName="8" name="Index" queryTableFieldId="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D5D9CA2-3596-49FE-8685-8BC606F0FA87}" name="Leicester_City" displayName="Leicester_City" ref="A1:H18" tableType="queryTable" totalsRowShown="0">
  <autoFilter ref="A1:H18" xr:uid="{AD5D9CA2-3596-49FE-8685-8BC606F0FA87}"/>
  <tableColumns count="8">
    <tableColumn id="1" xr3:uid="{4AE66EA9-4D40-460F-943B-A7F94CB7909F}" uniqueName="1" name="Home" queryTableFieldId="1" dataDxfId="56"/>
    <tableColumn id="2" xr3:uid="{18985958-7402-44E8-98D0-0359DE2978CA}" uniqueName="2" name="Away" queryTableFieldId="2" dataDxfId="55"/>
    <tableColumn id="3" xr3:uid="{763830A3-2F76-4B05-A74B-4AF53C5ECC61}" uniqueName="3" name="Home score" queryTableFieldId="3"/>
    <tableColumn id="4" xr3:uid="{42787E82-C283-4537-BCBF-80AA9C604752}" uniqueName="4" name="Away score" queryTableFieldId="4"/>
    <tableColumn id="5" xr3:uid="{984536F9-83F9-4DEC-96DF-A5D0CDD0CAC5}" uniqueName="5" name="Me score" queryTableFieldId="5"/>
    <tableColumn id="6" xr3:uid="{FECDE81B-0ED7-42FA-A350-701F813E425F}" uniqueName="6" name="Opps score" queryTableFieldId="6"/>
    <tableColumn id="7" xr3:uid="{C0F8E822-57C5-44B5-8790-62F0387DE0AF}" uniqueName="7" name="Position" queryTableFieldId="7"/>
    <tableColumn id="8" xr3:uid="{0F1FC1B0-2847-49E3-9E8D-D902C913EC1B}" uniqueName="8" name="Index" queryTableFieldId="8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9CC23EB-178B-4B9D-872C-85C556831E86}" name="AFC_Bournemouth" displayName="AFC_Bournemouth" ref="A1:I15" tableType="queryTable" totalsRowShown="0">
  <autoFilter ref="A1:I15" xr:uid="{19CC23EB-178B-4B9D-872C-85C556831E86}"/>
  <tableColumns count="9">
    <tableColumn id="1" xr3:uid="{CB38E1F6-27B1-4E12-9AAD-568509EE8AB4}" uniqueName="1" name="Date" queryTableFieldId="1" dataDxfId="54"/>
    <tableColumn id="2" xr3:uid="{E6F9EB37-04F4-455F-A723-AEB6E456B957}" uniqueName="2" name="Home" queryTableFieldId="2" dataDxfId="53"/>
    <tableColumn id="3" xr3:uid="{AAA86671-C3F6-48F4-9A2D-EF0E4D348B34}" uniqueName="3" name="Away" queryTableFieldId="3" dataDxfId="52"/>
    <tableColumn id="4" xr3:uid="{BF34669D-E09B-46AD-A7EC-C7841808EB82}" uniqueName="4" name="Home score" queryTableFieldId="4"/>
    <tableColumn id="5" xr3:uid="{DC7D8AAF-F4B9-40D1-A907-8822CF4D7E49}" uniqueName="5" name="Away score" queryTableFieldId="5"/>
    <tableColumn id="6" xr3:uid="{8265DD5F-E6AE-4850-B871-C6C924BD3E43}" uniqueName="6" name="Me score" queryTableFieldId="6" dataDxfId="51"/>
    <tableColumn id="7" xr3:uid="{8A332832-035D-4A71-83D3-0AAD7D3FBB38}" uniqueName="7" name="Opps score" queryTableFieldId="7" dataDxfId="50"/>
    <tableColumn id="8" xr3:uid="{AE6DD2CE-27E4-46C1-9BC7-85BCCD1082F8}" uniqueName="8" name="Position" queryTableFieldId="8"/>
    <tableColumn id="9" xr3:uid="{D00A0C6F-BA0F-4902-865A-18C5B23E6A50}" uniqueName="9" name="Index" queryTableFieldId="9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8C5E459-9A83-4410-8598-BF8E34D8389B}" name="Wolverhampton_Wanderers_1" displayName="Wolverhampton_Wanderers_1" ref="A1:H15" tableType="queryTable" totalsRowShown="0">
  <autoFilter ref="A1:H15" xr:uid="{28C5E459-9A83-4410-8598-BF8E34D8389B}"/>
  <tableColumns count="8">
    <tableColumn id="1" xr3:uid="{D5CEE8B0-DD9F-428E-92B4-2EE916D88990}" uniqueName="1" name="Home" queryTableFieldId="1" dataDxfId="49"/>
    <tableColumn id="2" xr3:uid="{FFE73133-3311-4027-9CB3-EBABEE490078}" uniqueName="2" name="Away" queryTableFieldId="2" dataDxfId="48"/>
    <tableColumn id="3" xr3:uid="{144F223C-4DF1-4264-A75C-B1B72D5075DD}" uniqueName="3" name="Home score" queryTableFieldId="3"/>
    <tableColumn id="4" xr3:uid="{3802F89C-E710-4655-87A0-A9659CAE7F51}" uniqueName="4" name="Away score" queryTableFieldId="4"/>
    <tableColumn id="5" xr3:uid="{0B935719-1A02-4F32-A57B-6748C10E9D66}" uniqueName="5" name="Me score" queryTableFieldId="5"/>
    <tableColumn id="6" xr3:uid="{7977F7AF-3792-47A1-B00C-1439D31EB3D0}" uniqueName="6" name="Opps score" queryTableFieldId="6"/>
    <tableColumn id="7" xr3:uid="{FD222CD8-399D-4AA8-9F6E-C37FAD15934A}" uniqueName="7" name="Positon" queryTableFieldId="7"/>
    <tableColumn id="8" xr3:uid="{038F1FB1-3FE1-4804-8D6C-90C81F6942EC}" uniqueName="8" name="Index" queryTableFieldId="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3322BBD-AB61-409B-B302-9BEC91BDA7DE}" name="Premier_League_Table" displayName="Premier_League_Table" ref="A2:C22" tableType="queryTable" totalsRowShown="0">
  <autoFilter ref="A2:C22" xr:uid="{13322BBD-AB61-409B-B302-9BEC91BDA7DE}"/>
  <tableColumns count="3">
    <tableColumn id="1" xr3:uid="{04AC7250-F28D-408D-A220-7569D7E07358}" uniqueName="1" name="Index" queryTableFieldId="1"/>
    <tableColumn id="2" xr3:uid="{AA94B458-3AB6-4828-BA6F-CB0431DC823E}" uniqueName="2" name="Team" queryTableFieldId="2" dataDxfId="47"/>
    <tableColumn id="3" xr3:uid="{C2893C0E-6E86-4BAC-A519-15ED4BAF2B40}" uniqueName="3" name="point" queryTableFieldId="3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BBBF20DD-EE06-487D-945D-57E3CF864ECA}" name="Southampton" displayName="Southampton" ref="A1:I15" tableType="queryTable" totalsRowShown="0">
  <autoFilter ref="A1:I15" xr:uid="{BBBF20DD-EE06-487D-945D-57E3CF864ECA}"/>
  <tableColumns count="9">
    <tableColumn id="1" xr3:uid="{156DE3D2-EF63-4775-8130-945E4E1EB58C}" uniqueName="1" name="Date" queryTableFieldId="1" dataDxfId="46"/>
    <tableColumn id="2" xr3:uid="{2BF84EFC-86E7-432A-9AA8-75D7B907FFE0}" uniqueName="2" name="Home" queryTableFieldId="2" dataDxfId="45"/>
    <tableColumn id="3" xr3:uid="{A296EAC5-52B4-4295-9F73-24DEE37CDCB4}" uniqueName="3" name="Away" queryTableFieldId="3" dataDxfId="44"/>
    <tableColumn id="4" xr3:uid="{EEDD78F5-2B75-4F11-BFB4-B852B3062C34}" uniqueName="4" name="Home score" queryTableFieldId="4"/>
    <tableColumn id="5" xr3:uid="{2A0D088A-7848-476D-9132-5489B3084ADA}" uniqueName="5" name="Away score" queryTableFieldId="5"/>
    <tableColumn id="6" xr3:uid="{9651B3B1-A2FD-4EF6-A410-C2966CE8F453}" uniqueName="6" name="Me score" queryTableFieldId="6" dataDxfId="43"/>
    <tableColumn id="7" xr3:uid="{83C08161-BEAC-4ED8-A925-5B5E0FF3FD81}" uniqueName="7" name="Opps score" queryTableFieldId="7" dataDxfId="42"/>
    <tableColumn id="8" xr3:uid="{1A73C073-CAB3-4638-8678-9A762DA920AC}" uniqueName="8" name="Position" queryTableFieldId="8"/>
    <tableColumn id="9" xr3:uid="{04A81068-7EB9-4849-8E1C-ADC09E51DD33}" uniqueName="9" name="Index" queryTableFieldId="9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71138662-CDA2-4F4D-A7DB-9D8C08C76B59}" name="Brighton" displayName="Brighton" ref="A1:I15" tableType="queryTable" totalsRowShown="0">
  <autoFilter ref="A1:I15" xr:uid="{71138662-CDA2-4F4D-A7DB-9D8C08C76B59}"/>
  <tableColumns count="9">
    <tableColumn id="1" xr3:uid="{E9221C10-508C-4651-A629-AB501A9330E9}" uniqueName="1" name="Date" queryTableFieldId="1" dataDxfId="41"/>
    <tableColumn id="2" xr3:uid="{8D75FFBD-FAC2-4E7B-A810-C4C908268DC4}" uniqueName="2" name="Home" queryTableFieldId="2" dataDxfId="40"/>
    <tableColumn id="3" xr3:uid="{6E39D9F7-258A-4EBA-AF4B-0C996B5DC8BE}" uniqueName="3" name="Away" queryTableFieldId="3" dataDxfId="39"/>
    <tableColumn id="4" xr3:uid="{F9649508-3323-4EEF-A1B3-28C5382E44FE}" uniqueName="4" name="Home score" queryTableFieldId="4"/>
    <tableColumn id="5" xr3:uid="{F87BC214-3A78-4B96-B6D4-557F8E0208C9}" uniqueName="5" name="Away score" queryTableFieldId="5"/>
    <tableColumn id="6" xr3:uid="{21A1B1F9-FF26-4074-A52B-BEBBBD4AD8EA}" uniqueName="6" name="Me score" queryTableFieldId="6"/>
    <tableColumn id="11" xr3:uid="{B5D9069B-CC0A-4958-A6D0-2C87680AA849}" uniqueName="11" name="Opps score" queryTableFieldId="11"/>
    <tableColumn id="7" xr3:uid="{C5B99C20-29A5-4EBE-8B25-D5EBFE032CB1}" uniqueName="7" name="Positon" queryTableFieldId="7" dataDxfId="38"/>
    <tableColumn id="9" xr3:uid="{BCE96DCC-1082-47E7-A4C5-06820B45319E}" uniqueName="9" name="Index" queryTableFieldId="9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CC32B16-C1D3-42AD-9138-4750383DA3D3}" name="Athletic_Club" displayName="Athletic_Club" ref="A1:I18" tableType="queryTable" totalsRowShown="0">
  <autoFilter ref="A1:I18" xr:uid="{DCC32B16-C1D3-42AD-9138-4750383DA3D3}"/>
  <tableColumns count="9">
    <tableColumn id="1" xr3:uid="{2211F310-C208-4D80-B0FF-DD6A74B4DDA1}" uniqueName="1" name="Date" queryTableFieldId="1" dataDxfId="37"/>
    <tableColumn id="2" xr3:uid="{D0287989-95F2-4773-8123-B0230DFB8F32}" uniqueName="2" name="Home" queryTableFieldId="2" dataDxfId="36"/>
    <tableColumn id="3" xr3:uid="{63C59EAF-FB6E-4B56-BC25-34A57256A4EB}" uniqueName="3" name="Away" queryTableFieldId="3" dataDxfId="35"/>
    <tableColumn id="4" xr3:uid="{B2DEFB16-6892-42CC-A0AC-47858CAD6AEE}" uniqueName="4" name="Home score" queryTableFieldId="4"/>
    <tableColumn id="5" xr3:uid="{A9BF257E-C5E8-4F26-9188-5EC6CC3C26AF}" uniqueName="5" name="Away score" queryTableFieldId="5"/>
    <tableColumn id="6" xr3:uid="{ED9DFB08-AEF6-4481-9BCC-BD6D6EBF271A}" uniqueName="6" name="Me score" queryTableFieldId="6"/>
    <tableColumn id="7" xr3:uid="{3E9039FA-CC5A-42A5-98F2-38B566ED8BEC}" uniqueName="7" name="Opps score" queryTableFieldId="7"/>
    <tableColumn id="8" xr3:uid="{1003BA5A-258E-4F48-984E-523340F6D670}" uniqueName="8" name="Position" queryTableFieldId="8"/>
    <tableColumn id="9" xr3:uid="{8077460C-66A9-4661-A646-CA1989A3C508}" uniqueName="9" name="Index" queryTableFieldId="9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8D2144-110E-4611-B0FA-FF1CA6010B20}" name="Real_Betis" displayName="Real_Betis" ref="A1:I25" tableType="queryTable" totalsRowShown="0">
  <autoFilter ref="A1:I25" xr:uid="{DC8D2144-110E-4611-B0FA-FF1CA6010B20}"/>
  <tableColumns count="9">
    <tableColumn id="1" xr3:uid="{069FCCEC-8C14-45C1-94AB-B2359DB2D766}" uniqueName="1" name="Date" queryTableFieldId="1" dataDxfId="34"/>
    <tableColumn id="2" xr3:uid="{984546B6-FE08-4427-A197-734F9F33DBE1}" uniqueName="2" name="Home" queryTableFieldId="2" dataDxfId="33"/>
    <tableColumn id="3" xr3:uid="{192F9194-1306-4F3E-B2ED-5FEA8EBE60B3}" uniqueName="3" name="Away" queryTableFieldId="3" dataDxfId="32"/>
    <tableColumn id="4" xr3:uid="{CF884602-E101-4F94-821A-09F81964EB03}" uniqueName="4" name="Home score" queryTableFieldId="4"/>
    <tableColumn id="5" xr3:uid="{DDAF5091-2F49-4C20-9614-B88D038D6536}" uniqueName="5" name="Away score" queryTableFieldId="5"/>
    <tableColumn id="6" xr3:uid="{DCE0F2E7-E3BC-4032-BEE5-4BAB32F954AF}" uniqueName="6" name="Me score" queryTableFieldId="6"/>
    <tableColumn id="7" xr3:uid="{C908044B-13BC-48DA-8D58-C1BFDDF0E207}" uniqueName="7" name="Opps score" queryTableFieldId="7"/>
    <tableColumn id="8" xr3:uid="{87D84CB8-DB36-4272-A733-165473D70EDB}" uniqueName="8" name="Position" queryTableFieldId="8"/>
    <tableColumn id="9" xr3:uid="{B3B68A0F-DE80-412E-872A-061F44602294}" uniqueName="9" name="Index" queryTableFieldId="9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53F6B2F2-840D-4A58-9CC0-065850720726}" name="Espanyol" displayName="Espanyol" ref="A1:I13" tableType="queryTable" totalsRowShown="0">
  <autoFilter ref="A1:I13" xr:uid="{53F6B2F2-840D-4A58-9CC0-065850720726}"/>
  <tableColumns count="9">
    <tableColumn id="1" xr3:uid="{D53635A6-2782-407D-8680-8D5FBF6B08C1}" uniqueName="1" name="Date" queryTableFieldId="1" dataDxfId="31"/>
    <tableColumn id="2" xr3:uid="{FF987B8B-7FF8-4533-830B-63ACC3764E8E}" uniqueName="2" name="Home" queryTableFieldId="2" dataDxfId="30"/>
    <tableColumn id="3" xr3:uid="{BF3DEB89-E0A0-420D-9458-12E46F58128F}" uniqueName="3" name="Away" queryTableFieldId="3" dataDxfId="29"/>
    <tableColumn id="4" xr3:uid="{E2F2F8D2-45FF-4A4A-9EF8-7F7CFA54E664}" uniqueName="4" name="Home score" queryTableFieldId="4"/>
    <tableColumn id="5" xr3:uid="{8E14DE94-2E00-4CA5-B128-1627612C00F8}" uniqueName="5" name="Away score" queryTableFieldId="5"/>
    <tableColumn id="6" xr3:uid="{0814D86B-C271-452B-9360-1E1DA362568A}" uniqueName="6" name="Me score" queryTableFieldId="6"/>
    <tableColumn id="7" xr3:uid="{C46F5608-D07A-4961-BCAD-CD850521529E}" uniqueName="7" name="Opps score" queryTableFieldId="7"/>
    <tableColumn id="8" xr3:uid="{FC06C66B-0163-4D29-87AD-02361CDA271C}" uniqueName="8" name="Position" queryTableFieldId="8"/>
    <tableColumn id="9" xr3:uid="{CE40BE18-EB25-4084-8083-3386647E3B07}" uniqueName="9" name="Index" queryTableFieldId="9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5E5624DA-CDB3-4E93-ABE2-7E0D1228325F}" name="Barcelona" displayName="Barcelona" ref="A1:I21" tableType="queryTable" totalsRowShown="0">
  <autoFilter ref="A1:I21" xr:uid="{5E5624DA-CDB3-4E93-ABE2-7E0D1228325F}"/>
  <tableColumns count="9">
    <tableColumn id="1" xr3:uid="{C750E367-076A-4BB7-85D0-6DD455D3E51B}" uniqueName="1" name="Date" queryTableFieldId="1" dataDxfId="28"/>
    <tableColumn id="2" xr3:uid="{ECD0FF71-02C0-47EA-B8AF-445FED25F9C8}" uniqueName="2" name="Home" queryTableFieldId="2" dataDxfId="27"/>
    <tableColumn id="3" xr3:uid="{C17F867B-1710-424E-B4BA-B1E22B2AC26F}" uniqueName="3" name="Away" queryTableFieldId="3" dataDxfId="26"/>
    <tableColumn id="4" xr3:uid="{BFABF1FF-8A37-4DF4-B0D7-AD55C56F3F35}" uniqueName="4" name="Home score" queryTableFieldId="4"/>
    <tableColumn id="5" xr3:uid="{6003C345-51C4-43B5-AD55-5689598AFB70}" uniqueName="5" name="Away score" queryTableFieldId="5"/>
    <tableColumn id="6" xr3:uid="{EBD80EED-24C9-461D-95D9-2347D23E39E2}" uniqueName="6" name="Me score" queryTableFieldId="6"/>
    <tableColumn id="7" xr3:uid="{3B59B35F-FEAB-4F70-9753-6A641B24504F}" uniqueName="7" name="Opps score" queryTableFieldId="7"/>
    <tableColumn id="8" xr3:uid="{BD2DCA22-BD8F-4C49-B2D7-C46308EF21FB}" uniqueName="8" name="Position" queryTableFieldId="8"/>
    <tableColumn id="9" xr3:uid="{00D44A65-12DE-4F95-9495-BB84E2DA8D9D}" uniqueName="9" name="Index" queryTableFieldId="9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601D558-1DE3-4EEC-82F9-631A59709D30}" name="Table3645" displayName="Table3645" ref="I43:N55" totalsRowCount="1">
  <autoFilter ref="I43:N54" xr:uid="{2601D558-1DE3-4EEC-82F9-631A59709D30}"/>
  <tableColumns count="6">
    <tableColumn id="1" xr3:uid="{DBA685BD-C0E5-469F-B842-8096F7F72534}" name="Column1" totalsRowLabel="Total"/>
    <tableColumn id="2" xr3:uid="{38C2D694-D6D4-4491-9CB3-E714C302A482}" name="Column2"/>
    <tableColumn id="3" xr3:uid="{2E0F1A87-B8C6-4570-948F-00082254D853}" name="Column3"/>
    <tableColumn id="4" xr3:uid="{80E68454-D85D-4DCF-9B58-61231282D708}" name="Column4"/>
    <tableColumn id="5" xr3:uid="{C0A8677E-BC42-4238-95F2-0E0B5C355E3B}" name="Column5" totalsRowFunction="sum" dataDxfId="25" totalsRowDxfId="24" dataCellStyle="Currency"/>
    <tableColumn id="6" xr3:uid="{8BD19033-33B5-453D-B43B-04FEBEB92A7A}" name="Column6" totalsRowFunction="sum" totalsRowDxfId="23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6B61918-3FEE-4A85-8F0F-EAA388DC3846}" name="Table61" displayName="Table61" ref="A3:J13" totalsRowCount="1">
  <autoFilter ref="A3:J12" xr:uid="{56B61918-3FEE-4A85-8F0F-EAA388DC3846}"/>
  <tableColumns count="10">
    <tableColumn id="1" xr3:uid="{195557F8-4F20-43DA-BE35-4E33AD74DFBF}" name="Date" totalsRowLabel="Total">
      <calculatedColumnFormula>TODAY()</calculatedColumnFormula>
    </tableColumn>
    <tableColumn id="2" xr3:uid="{7257B2A7-8490-4E2D-860F-01E68F5C517B}" name="Time"/>
    <tableColumn id="3" xr3:uid="{071FD37F-24D8-4FEB-A7F0-3E00B04AB7D8}" name="home"/>
    <tableColumn id="4" xr3:uid="{71621F14-EB97-441B-BC2F-0A93F8721206}" name="away"/>
    <tableColumn id="5" xr3:uid="{1C299119-A688-4C24-B1D8-1824FACF117C}" name="odds"/>
    <tableColumn id="6" xr3:uid="{2CB4406F-4736-4441-AA02-884793BC2D43}" name="allocation" dataDxfId="22" totalsRowDxfId="21" dataCellStyle="Currency">
      <calculatedColumnFormula>IF(Table61[[#This Row],[odds]]&lt;=0, 0,(Table61[[#This Row],[VALUE]]*(Table61[[#This Row],[odds]]-1)))</calculatedColumnFormula>
    </tableColumn>
    <tableColumn id="10" xr3:uid="{B0CA1A10-E2B9-445E-AB2B-A98333F78281}" name="Return" totalsRowFunction="sum" totalsRowDxfId="20" dataCellStyle="Good">
      <calculatedColumnFormula>(Table61[[#This Row],[allocation]]*Table61[[#This Row],[odds]]) - Table61[[#This Row],[allocation]]</calculatedColumnFormula>
    </tableColumn>
    <tableColumn id="7" xr3:uid="{A4D56A4D-F221-48A7-9C57-44CFFDD7258F}" name="Percent of bal" dataDxfId="19"/>
    <tableColumn id="8" xr3:uid="{4DB4F3D8-2DCA-4728-8878-83A7E9020B59}" name="VALUE" dataDxfId="18">
      <calculatedColumnFormula>$B$1</calculatedColumnFormula>
    </tableColumn>
    <tableColumn id="11" xr3:uid="{4F0EB166-3725-486A-A4C8-E8F5963E0535}" name="INDEX"/>
  </tableColumns>
  <tableStyleInfo name="TableStyleLight1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377906E-8675-4D62-AB9D-E5E190EDFA8B}" name="Table62" displayName="Table62" ref="L3:U13" totalsRowCount="1">
  <autoFilter ref="L3:U12" xr:uid="{E377906E-8675-4D62-AB9D-E5E190EDFA8B}"/>
  <tableColumns count="10">
    <tableColumn id="1" xr3:uid="{324A17AF-85D4-4743-BAE7-71A5277862B8}" name="Date"/>
    <tableColumn id="2" xr3:uid="{3C3C6CE8-9E48-4B7C-9247-2F7C4DB2C886}" name="Time"/>
    <tableColumn id="3" xr3:uid="{51D01893-D23D-4B7A-8C90-4F61A5B3CE85}" name="home"/>
    <tableColumn id="4" xr3:uid="{5C2151B4-12AC-4058-8122-3ADDCBE0C2B8}" name="away"/>
    <tableColumn id="5" xr3:uid="{FFBA8317-37DE-4C13-BCC3-E7C72512E052}" name="odds"/>
    <tableColumn id="6" xr3:uid="{3DC65C60-B25A-4F7A-AE70-20498CC55998}" name="allocation" totalsRowFunction="count">
      <calculatedColumnFormula>IF(Table62[[#This Row],[odds]] &lt;= 0, 0, (Table62[[#This Row],[Value ]]*(Table62[[#This Row],[odds]]-1)))</calculatedColumnFormula>
    </tableColumn>
    <tableColumn id="10" xr3:uid="{12FE4BA2-0DA6-4C9F-B9F7-C8F16A2C46FD}" name="Return" totalsRowFunction="sum" dataDxfId="17" totalsRowDxfId="16" dataCellStyle="Good">
      <calculatedColumnFormula>(Table62[[#This Row],[allocation]]*Table62[[#This Row],[odds]]) - Table62[[#This Row],[allocation]]</calculatedColumnFormula>
    </tableColumn>
    <tableColumn id="7" xr3:uid="{E8452671-C5FB-4E51-AFBF-523E854F5F5F}" name="Percent of bal" dataDxfId="15"/>
    <tableColumn id="8" xr3:uid="{63D7E794-2F47-4150-AE91-8B2FF963CF23}" name="Value ">
      <calculatedColumnFormula>$B$1</calculatedColumnFormula>
    </tableColumn>
    <tableColumn id="11" xr3:uid="{EE478D83-F339-4AAF-B0DE-D65DB2148AFF}" name="INDEX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2.xml"/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4.xml"/><Relationship Id="rId4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A1000"/>
  <sheetViews>
    <sheetView zoomScale="85" zoomScaleNormal="85" workbookViewId="0">
      <selection activeCell="C3" sqref="C3"/>
    </sheetView>
  </sheetViews>
  <sheetFormatPr defaultColWidth="12.54296875" defaultRowHeight="15" customHeight="1"/>
  <cols>
    <col min="1" max="1" width="16.1796875" customWidth="1"/>
    <col min="2" max="2" width="11.1796875" customWidth="1"/>
    <col min="3" max="3" width="8.81640625" customWidth="1"/>
    <col min="4" max="4" width="8.7265625" customWidth="1"/>
    <col min="5" max="5" width="10.81640625" customWidth="1"/>
    <col min="6" max="6" width="20" customWidth="1"/>
    <col min="7" max="7" width="10.453125" customWidth="1"/>
    <col min="8" max="8" width="15.81640625" customWidth="1"/>
    <col min="9" max="9" width="15.54296875" customWidth="1"/>
    <col min="10" max="10" width="17.1796875" customWidth="1"/>
    <col min="11" max="11" width="15.54296875" customWidth="1"/>
    <col min="12" max="12" width="10.453125" customWidth="1"/>
    <col min="13" max="13" width="12.453125" customWidth="1"/>
    <col min="14" max="14" width="11.453125" customWidth="1"/>
    <col min="15" max="15" width="18.453125" customWidth="1"/>
    <col min="16" max="16" width="12.81640625" customWidth="1"/>
    <col min="17" max="17" width="10.453125" customWidth="1"/>
    <col min="18" max="19" width="8.54296875" customWidth="1"/>
    <col min="20" max="21" width="10" customWidth="1"/>
    <col min="22" max="26" width="8.54296875" customWidth="1"/>
  </cols>
  <sheetData>
    <row r="1" spans="1:27" ht="14.25" customHeight="1">
      <c r="A1" s="1" t="s">
        <v>0</v>
      </c>
    </row>
    <row r="2" spans="1:27" ht="14.25" customHeight="1">
      <c r="A2" s="74" t="s">
        <v>1</v>
      </c>
      <c r="B2" s="74" t="s">
        <v>2</v>
      </c>
      <c r="C2" s="74" t="s">
        <v>3</v>
      </c>
      <c r="D2" s="74" t="s">
        <v>4</v>
      </c>
      <c r="E2" s="74" t="s">
        <v>5</v>
      </c>
      <c r="F2" s="74" t="s">
        <v>6</v>
      </c>
      <c r="G2" s="74" t="s">
        <v>7</v>
      </c>
      <c r="H2" s="74" t="s">
        <v>8</v>
      </c>
      <c r="I2" s="74" t="s">
        <v>9</v>
      </c>
      <c r="J2" s="75" t="s">
        <v>10</v>
      </c>
      <c r="K2" s="74" t="s">
        <v>11</v>
      </c>
      <c r="L2" s="74" t="s">
        <v>12</v>
      </c>
      <c r="M2" s="74" t="s">
        <v>13</v>
      </c>
      <c r="N2" s="41"/>
      <c r="O2" s="41"/>
      <c r="P2" s="41"/>
      <c r="Q2" s="41"/>
    </row>
    <row r="3" spans="1:27" ht="14.25" customHeight="1">
      <c r="A3" s="72" t="str">
        <f>'Data entry'!I27</f>
        <v>a</v>
      </c>
      <c r="B3" s="66">
        <f>'Data entry'!B4</f>
        <v>2</v>
      </c>
      <c r="C3" s="66">
        <f>'Data entry'!C4</f>
        <v>0</v>
      </c>
      <c r="D3" s="66">
        <f>'HOME  (3)'!$B3+'HOME  (3)'!$C3</f>
        <v>2</v>
      </c>
      <c r="E3" s="66" t="str">
        <f>'Data entry'!D4</f>
        <v>A</v>
      </c>
      <c r="F3" s="66" t="str">
        <f t="shared" ref="F3:F13" si="0">IF(B3&gt; C3, "W", IF(B3 &lt; C3, "L", "D"))</f>
        <v>W</v>
      </c>
      <c r="G3" s="66" cm="1">
        <f t="array" ref="G3">_xlfn.SWITCH(F3,"L",0,"w",3,"D",1,)</f>
        <v>3</v>
      </c>
      <c r="H3" s="66">
        <f>'Data entry'!L28</f>
        <v>10</v>
      </c>
      <c r="I3" s="66">
        <f>'HOME  (3)'!$H3*'HOME  (3)'!$G3</f>
        <v>30</v>
      </c>
      <c r="J3" s="66">
        <f>'HOME  (3)'!$G3</f>
        <v>3</v>
      </c>
      <c r="K3" s="66">
        <f>'Data entry'!K28</f>
        <v>1</v>
      </c>
      <c r="L3" s="66">
        <f>IF(AND('HOME  (3)'!$B3&gt;0,'HOME  (3)'!$C3&gt;0),1,0)</f>
        <v>0</v>
      </c>
      <c r="M3" s="67">
        <f>'HOME  (3)'!$J3/'HOME  (3)'!$K3</f>
        <v>3</v>
      </c>
      <c r="N3" s="41"/>
      <c r="O3" s="41"/>
      <c r="P3" s="41"/>
      <c r="Q3" s="41"/>
      <c r="S3" s="47" t="s">
        <v>14</v>
      </c>
      <c r="T3" s="47"/>
    </row>
    <row r="4" spans="1:27" ht="14.25" customHeight="1">
      <c r="A4" s="73" t="str">
        <f>'Data entry'!I28</f>
        <v>b</v>
      </c>
      <c r="B4" s="68">
        <f>'Data entry'!B5</f>
        <v>2</v>
      </c>
      <c r="C4" s="68">
        <f>'Data entry'!C5</f>
        <v>1</v>
      </c>
      <c r="D4" s="69">
        <f>'HOME  (3)'!$B4+'HOME  (3)'!$C4</f>
        <v>3</v>
      </c>
      <c r="E4" s="68" t="str">
        <f>'Data entry'!D5</f>
        <v>A</v>
      </c>
      <c r="F4" s="68" t="str">
        <f t="shared" si="0"/>
        <v>W</v>
      </c>
      <c r="G4" s="68" cm="1">
        <f t="array" ref="G4">_xlfn.SWITCH(F4,"L",0,"w",3,"D",1,)</f>
        <v>3</v>
      </c>
      <c r="H4" s="68">
        <f>'Data entry'!L29</f>
        <v>9</v>
      </c>
      <c r="I4" s="68">
        <f>'HOME  (3)'!$H4*'HOME  (3)'!$G4</f>
        <v>27</v>
      </c>
      <c r="J4" s="68">
        <f>J3+'HOME  (3)'!$G4</f>
        <v>6</v>
      </c>
      <c r="K4" s="68">
        <f>'Data entry'!K29</f>
        <v>2</v>
      </c>
      <c r="L4" s="68">
        <f>IF(AND('HOME  (3)'!$B4&gt;0,'HOME  (3)'!$C4&gt;0),1,0)</f>
        <v>1</v>
      </c>
      <c r="M4" s="70">
        <f>'HOME  (3)'!$J4/'HOME  (3)'!$K4</f>
        <v>3</v>
      </c>
      <c r="N4" s="41"/>
      <c r="O4" s="41"/>
      <c r="P4" s="41"/>
      <c r="Q4" s="41"/>
      <c r="S4" s="47" t="s">
        <v>15</v>
      </c>
      <c r="T4" s="47" t="s">
        <v>16</v>
      </c>
      <c r="U4" s="4"/>
    </row>
    <row r="5" spans="1:27" ht="14.25" customHeight="1">
      <c r="A5" s="72" t="str">
        <f>'Data entry'!I29</f>
        <v>c</v>
      </c>
      <c r="B5" s="66">
        <f>'Data entry'!B6</f>
        <v>1</v>
      </c>
      <c r="C5" s="66">
        <f>'Data entry'!C6</f>
        <v>1</v>
      </c>
      <c r="D5" s="71">
        <f>'HOME  (3)'!$B5+'HOME  (3)'!$C5</f>
        <v>2</v>
      </c>
      <c r="E5" s="66" t="str">
        <f>'Data entry'!D6</f>
        <v>H</v>
      </c>
      <c r="F5" s="66" t="str">
        <f t="shared" si="0"/>
        <v>D</v>
      </c>
      <c r="G5" s="66" cm="1">
        <f t="array" ref="G5">_xlfn.SWITCH(F5,"L",0,"w",3,"D",1,)</f>
        <v>1</v>
      </c>
      <c r="H5" s="66">
        <f>'Data entry'!L30</f>
        <v>8</v>
      </c>
      <c r="I5" s="66">
        <f>'HOME  (3)'!$H5*'HOME  (3)'!$G5</f>
        <v>8</v>
      </c>
      <c r="J5" s="66">
        <f>J4+'HOME  (3)'!$G5</f>
        <v>7</v>
      </c>
      <c r="K5" s="66">
        <f>'Data entry'!K30</f>
        <v>3</v>
      </c>
      <c r="L5" s="66">
        <f>IF(AND('HOME  (3)'!$B5&gt;0,'HOME  (3)'!$C5&gt;0),1,0)</f>
        <v>1</v>
      </c>
      <c r="M5" s="67">
        <f>'HOME  (3)'!$J5/'HOME  (3)'!$K5</f>
        <v>2.3333333333333335</v>
      </c>
      <c r="N5" s="41"/>
      <c r="O5" s="41"/>
      <c r="P5" s="41"/>
      <c r="Q5" s="41"/>
      <c r="S5" s="47">
        <v>0</v>
      </c>
      <c r="T5" s="47">
        <f t="array" ref="T5:T13">FREQUENCY('HOME  (3)'!$D$3:$D$13,S5:S12)</f>
        <v>0</v>
      </c>
    </row>
    <row r="6" spans="1:27" ht="14.25" customHeight="1">
      <c r="A6" s="73" t="str">
        <f>'Data entry'!I30</f>
        <v>d</v>
      </c>
      <c r="B6" s="68">
        <f>'Data entry'!B7</f>
        <v>8</v>
      </c>
      <c r="C6" s="68">
        <f>'Data entry'!C7</f>
        <v>0</v>
      </c>
      <c r="D6" s="69">
        <f>'HOME  (3)'!$B6+'HOME  (3)'!$C6</f>
        <v>8</v>
      </c>
      <c r="E6" s="68" t="str">
        <f>'Data entry'!D7</f>
        <v>H</v>
      </c>
      <c r="F6" s="68" t="str">
        <f t="shared" si="0"/>
        <v>W</v>
      </c>
      <c r="G6" s="68" cm="1">
        <f t="array" ref="G6">_xlfn.SWITCH(F6,"L",0,"w",3,"D",1,)</f>
        <v>3</v>
      </c>
      <c r="H6" s="68">
        <f>'Data entry'!L31</f>
        <v>7</v>
      </c>
      <c r="I6" s="68">
        <f>'HOME  (3)'!$H6*'HOME  (3)'!$G6</f>
        <v>21</v>
      </c>
      <c r="J6" s="68">
        <f>J5+'HOME  (3)'!$G6</f>
        <v>10</v>
      </c>
      <c r="K6" s="68">
        <f>'Data entry'!K31</f>
        <v>4</v>
      </c>
      <c r="L6" s="68">
        <f>IF(AND('HOME  (3)'!$B6&gt;0,'HOME  (3)'!$C6&gt;0),1,0)</f>
        <v>0</v>
      </c>
      <c r="M6" s="70">
        <f>'HOME  (3)'!$J6/'HOME  (3)'!$K6</f>
        <v>2.5</v>
      </c>
      <c r="N6" s="41"/>
      <c r="O6" s="41"/>
      <c r="P6" s="41"/>
      <c r="Q6" s="41"/>
      <c r="S6" s="47">
        <v>1</v>
      </c>
      <c r="T6" s="47">
        <v>0</v>
      </c>
    </row>
    <row r="7" spans="1:27" ht="14.25" customHeight="1">
      <c r="A7" s="72" t="str">
        <f>'Data entry'!I31</f>
        <v>f</v>
      </c>
      <c r="B7" s="66">
        <f>'Data entry'!B8</f>
        <v>1</v>
      </c>
      <c r="C7" s="66">
        <f>'Data entry'!C8</f>
        <v>1</v>
      </c>
      <c r="D7" s="71">
        <f>'HOME  (3)'!$B7+'HOME  (3)'!$C7</f>
        <v>2</v>
      </c>
      <c r="E7" s="66" t="str">
        <f>'Data entry'!D8</f>
        <v>A</v>
      </c>
      <c r="F7" s="66" t="str">
        <f t="shared" si="0"/>
        <v>D</v>
      </c>
      <c r="G7" s="66" cm="1">
        <f t="array" ref="G7">_xlfn.SWITCH(F7,"L",0,"w",3,"D",1,)</f>
        <v>1</v>
      </c>
      <c r="H7" s="66">
        <f>'Data entry'!L32</f>
        <v>6</v>
      </c>
      <c r="I7" s="66">
        <f>'HOME  (3)'!$H7*'HOME  (3)'!$G7</f>
        <v>6</v>
      </c>
      <c r="J7" s="66">
        <f>J6+'HOME  (3)'!$G7</f>
        <v>11</v>
      </c>
      <c r="K7" s="66">
        <f>'Data entry'!K32</f>
        <v>5</v>
      </c>
      <c r="L7" s="66">
        <f>IF(AND('HOME  (3)'!$B7&gt;0,'HOME  (3)'!$C7&gt;0),1,0)</f>
        <v>1</v>
      </c>
      <c r="M7" s="67">
        <f>'HOME  (3)'!$J7/'HOME  (3)'!$K7</f>
        <v>2.2000000000000002</v>
      </c>
      <c r="N7" s="41"/>
      <c r="O7" s="41"/>
      <c r="P7" s="41"/>
      <c r="Q7" s="41"/>
      <c r="R7" s="41"/>
      <c r="S7" s="47">
        <v>2</v>
      </c>
      <c r="T7" s="47">
        <v>5</v>
      </c>
      <c r="W7" s="48"/>
      <c r="X7" s="48"/>
      <c r="Y7" s="41"/>
    </row>
    <row r="8" spans="1:27" ht="14.25" customHeight="1">
      <c r="A8" s="73" t="str">
        <f>'Data entry'!I32</f>
        <v>g</v>
      </c>
      <c r="B8" s="68">
        <f>'Data entry'!B9</f>
        <v>0</v>
      </c>
      <c r="C8" s="68">
        <f>'Data entry'!C9</f>
        <v>2</v>
      </c>
      <c r="D8" s="69">
        <f>'HOME  (3)'!$B8+'HOME  (3)'!$C8</f>
        <v>2</v>
      </c>
      <c r="E8" s="68" t="str">
        <f>'Data entry'!D9</f>
        <v>A</v>
      </c>
      <c r="F8" s="68" t="str">
        <f t="shared" si="0"/>
        <v>L</v>
      </c>
      <c r="G8" s="68" cm="1">
        <f t="array" ref="G8">_xlfn.SWITCH(F8,"L",0,"w",3,"D",1,)</f>
        <v>0</v>
      </c>
      <c r="H8" s="68">
        <f>'Data entry'!L33</f>
        <v>5</v>
      </c>
      <c r="I8" s="68">
        <f>'HOME  (3)'!$H8*'HOME  (3)'!$G8</f>
        <v>0</v>
      </c>
      <c r="J8" s="68">
        <f>J7+'HOME  (3)'!$G8</f>
        <v>11</v>
      </c>
      <c r="K8" s="68">
        <f>'Data entry'!K33</f>
        <v>6</v>
      </c>
      <c r="L8" s="68">
        <f>IF(AND('HOME  (3)'!$B8&gt;0,'HOME  (3)'!$C8&gt;0),1,0)</f>
        <v>0</v>
      </c>
      <c r="M8" s="70">
        <f>'HOME  (3)'!$J8/'HOME  (3)'!$K8</f>
        <v>1.8333333333333333</v>
      </c>
      <c r="N8" s="41"/>
      <c r="O8" s="41"/>
      <c r="P8" s="41"/>
      <c r="Q8" s="41"/>
      <c r="S8" s="47">
        <v>3</v>
      </c>
      <c r="T8" s="47">
        <v>3</v>
      </c>
      <c r="W8" s="48" t="s">
        <v>17</v>
      </c>
      <c r="X8" s="48"/>
      <c r="Y8" s="41"/>
    </row>
    <row r="9" spans="1:27" ht="14.25" customHeight="1">
      <c r="A9" s="72" t="str">
        <f>'Data entry'!I33</f>
        <v>h</v>
      </c>
      <c r="B9" s="66">
        <f>'Data entry'!B10</f>
        <v>2</v>
      </c>
      <c r="C9" s="66">
        <f>'Data entry'!C10</f>
        <v>1</v>
      </c>
      <c r="D9" s="71">
        <f>'HOME  (3)'!$B9+'HOME  (3)'!$C9</f>
        <v>3</v>
      </c>
      <c r="E9" s="66" t="str">
        <f>'Data entry'!D10</f>
        <v>H</v>
      </c>
      <c r="F9" s="66" t="str">
        <f t="shared" si="0"/>
        <v>W</v>
      </c>
      <c r="G9" s="66" cm="1">
        <f t="array" ref="G9">_xlfn.SWITCH(F9,"L",0,"w",3,"D",1,)</f>
        <v>3</v>
      </c>
      <c r="H9" s="66">
        <f>'Data entry'!L34</f>
        <v>4</v>
      </c>
      <c r="I9" s="66">
        <f>'HOME  (3)'!$H9*'HOME  (3)'!$G9</f>
        <v>12</v>
      </c>
      <c r="J9" s="66">
        <f>J8+'HOME  (3)'!$G9</f>
        <v>14</v>
      </c>
      <c r="K9" s="66">
        <f>'Data entry'!K34</f>
        <v>7</v>
      </c>
      <c r="L9" s="66">
        <f>IF(AND('HOME  (3)'!$B9&gt;0,'HOME  (3)'!$C9&gt;0),1,0)</f>
        <v>1</v>
      </c>
      <c r="M9" s="67">
        <f>'HOME  (3)'!$J9/'HOME  (3)'!$K9</f>
        <v>2</v>
      </c>
      <c r="N9" s="41"/>
      <c r="O9" s="41"/>
      <c r="P9" s="41"/>
      <c r="Q9" s="41"/>
      <c r="S9" s="47">
        <v>4</v>
      </c>
      <c r="T9" s="47">
        <v>0</v>
      </c>
      <c r="W9" s="48" t="s">
        <v>18</v>
      </c>
      <c r="X9" s="48" t="s">
        <v>19</v>
      </c>
      <c r="Y9" s="41"/>
    </row>
    <row r="10" spans="1:27" ht="14.25" customHeight="1">
      <c r="A10" s="73" t="str">
        <f>'Data entry'!I34</f>
        <v>j</v>
      </c>
      <c r="B10" s="68">
        <f>'Data entry'!B11</f>
        <v>4</v>
      </c>
      <c r="C10" s="68">
        <f>'Data entry'!C11</f>
        <v>1</v>
      </c>
      <c r="D10" s="69">
        <f>'HOME  (3)'!$B10+'HOME  (3)'!$C10</f>
        <v>5</v>
      </c>
      <c r="E10" s="68" t="str">
        <f>'Data entry'!D11</f>
        <v>A</v>
      </c>
      <c r="F10" s="68" t="str">
        <f t="shared" si="0"/>
        <v>W</v>
      </c>
      <c r="G10" s="68" cm="1">
        <f t="array" ref="G10">_xlfn.SWITCH(F10,"L",0,"w",3,"D",1,)</f>
        <v>3</v>
      </c>
      <c r="H10" s="68">
        <f>'Data entry'!L35</f>
        <v>3</v>
      </c>
      <c r="I10" s="68">
        <f>'HOME  (3)'!$H10*'HOME  (3)'!$G10</f>
        <v>9</v>
      </c>
      <c r="J10" s="68">
        <f>J9+'HOME  (3)'!$G10</f>
        <v>17</v>
      </c>
      <c r="K10" s="68">
        <f>'Data entry'!K35</f>
        <v>8</v>
      </c>
      <c r="L10" s="68">
        <f>IF(AND('HOME  (3)'!$B10&gt;0,'HOME  (3)'!$C10&gt;0),1,0)</f>
        <v>1</v>
      </c>
      <c r="M10" s="70">
        <f>'HOME  (3)'!$J10/'HOME  (3)'!$K10</f>
        <v>2.125</v>
      </c>
      <c r="N10" s="41"/>
      <c r="O10" s="41"/>
      <c r="P10" s="41"/>
      <c r="Q10" s="41"/>
      <c r="S10" s="47">
        <v>5</v>
      </c>
      <c r="T10" s="47">
        <v>1</v>
      </c>
      <c r="U10" s="4"/>
      <c r="W10" s="48" t="s">
        <v>20</v>
      </c>
      <c r="X10" s="48">
        <f>(SUM(T6:T13))/T14</f>
        <v>1.1000000000000001</v>
      </c>
      <c r="Y10" s="41"/>
    </row>
    <row r="11" spans="1:27" ht="14.25" customHeight="1">
      <c r="A11" s="72" t="str">
        <f>'Data entry'!I35</f>
        <v>k</v>
      </c>
      <c r="B11" s="66">
        <f>'Data entry'!B12</f>
        <v>1</v>
      </c>
      <c r="C11" s="66">
        <f>'Data entry'!C12</f>
        <v>2</v>
      </c>
      <c r="D11" s="71">
        <f>'HOME  (3)'!$B11+'HOME  (3)'!$C11</f>
        <v>3</v>
      </c>
      <c r="E11" s="66" t="str">
        <f>'Data entry'!D12</f>
        <v>A</v>
      </c>
      <c r="F11" s="66" t="str">
        <f t="shared" si="0"/>
        <v>L</v>
      </c>
      <c r="G11" s="66" cm="1">
        <f t="array" ref="G11">_xlfn.SWITCH(F11,"L",0,"w",3,"D",1,)</f>
        <v>0</v>
      </c>
      <c r="H11" s="66">
        <f>'Data entry'!L36</f>
        <v>2</v>
      </c>
      <c r="I11" s="66">
        <f>'HOME  (3)'!$H11*'HOME  (3)'!$G11</f>
        <v>0</v>
      </c>
      <c r="J11" s="66">
        <f>'HOME  (3)'!$G11</f>
        <v>0</v>
      </c>
      <c r="K11" s="66">
        <f>'Data entry'!K36</f>
        <v>9</v>
      </c>
      <c r="L11" s="66">
        <f>IF(AND('HOME  (3)'!$B11&gt;0,'HOME  (3)'!$C11&gt;0),1,0)</f>
        <v>1</v>
      </c>
      <c r="M11" s="67">
        <f>'HOME  (3)'!$J11/'HOME  (3)'!$K11</f>
        <v>0</v>
      </c>
      <c r="N11" s="41"/>
      <c r="O11" s="41"/>
      <c r="P11" s="41"/>
      <c r="Q11" s="41"/>
      <c r="S11" s="47">
        <v>6</v>
      </c>
      <c r="T11" s="47">
        <v>1</v>
      </c>
      <c r="W11" s="48" t="s">
        <v>21</v>
      </c>
      <c r="X11" s="48">
        <f>(SUM(T7:T13))/T14</f>
        <v>1.1000000000000001</v>
      </c>
      <c r="Y11" s="41"/>
    </row>
    <row r="12" spans="1:27" ht="14.25" customHeight="1">
      <c r="A12" s="73" t="str">
        <f>'Data entry'!I36</f>
        <v>l</v>
      </c>
      <c r="B12" s="68">
        <f>'Data entry'!B13</f>
        <v>1</v>
      </c>
      <c r="C12" s="68">
        <f>'Data entry'!C13</f>
        <v>1</v>
      </c>
      <c r="D12" s="69">
        <f>'HOME  (3)'!$B12+'HOME  (3)'!$C12</f>
        <v>2</v>
      </c>
      <c r="E12" s="68" t="str">
        <f>'Data entry'!D13</f>
        <v>H</v>
      </c>
      <c r="F12" s="68" t="str">
        <f t="shared" si="0"/>
        <v>D</v>
      </c>
      <c r="G12" s="68" cm="1">
        <f t="array" ref="G12">_xlfn.SWITCH(F12,"L",0,"w",3,"D",1,)</f>
        <v>1</v>
      </c>
      <c r="H12" s="68">
        <f>'Data entry'!L37</f>
        <v>1</v>
      </c>
      <c r="I12" s="68">
        <f>'HOME  (3)'!$H12*'HOME  (3)'!$G12</f>
        <v>1</v>
      </c>
      <c r="J12" s="68">
        <f>'HOME  (3)'!$G12</f>
        <v>1</v>
      </c>
      <c r="K12" s="68">
        <f>'Data entry'!K37</f>
        <v>10</v>
      </c>
      <c r="L12" s="68">
        <f>IF(AND('HOME  (3)'!$B12&gt;0,'HOME  (3)'!$C12&gt;0),1,0)</f>
        <v>1</v>
      </c>
      <c r="M12" s="70">
        <f>'HOME  (3)'!$J12/'HOME  (3)'!$K12</f>
        <v>0.1</v>
      </c>
      <c r="N12" s="41"/>
      <c r="O12" s="41"/>
      <c r="P12" s="41"/>
      <c r="Q12" s="41"/>
      <c r="S12" s="47">
        <v>7</v>
      </c>
      <c r="T12" s="47">
        <v>0</v>
      </c>
      <c r="W12" s="48" t="s">
        <v>22</v>
      </c>
      <c r="X12" s="48">
        <f>(SUM(T8:T13))/T14</f>
        <v>0.6</v>
      </c>
      <c r="Y12" s="41"/>
      <c r="AA12" s="49"/>
    </row>
    <row r="13" spans="1:27" ht="14.25" customHeight="1" thickBot="1">
      <c r="A13" s="72" t="str">
        <f>'Data entry'!I37</f>
        <v>m</v>
      </c>
      <c r="B13" s="66">
        <f>'Data entry'!B14</f>
        <v>4</v>
      </c>
      <c r="C13" s="66">
        <f>'Data entry'!C14</f>
        <v>2</v>
      </c>
      <c r="D13" s="71">
        <f>'HOME  (3)'!$B13+'HOME  (3)'!$C13</f>
        <v>6</v>
      </c>
      <c r="E13" s="66" t="str">
        <f>'Data entry'!D14</f>
        <v>H</v>
      </c>
      <c r="F13" s="66" t="str">
        <f t="shared" si="0"/>
        <v>W</v>
      </c>
      <c r="G13" s="66" cm="1">
        <f t="array" ref="G13">_xlfn.SWITCH(F13,"L",0,"w",3,"D",1,)</f>
        <v>3</v>
      </c>
      <c r="H13" s="66">
        <f>'Data entry'!L38</f>
        <v>0</v>
      </c>
      <c r="I13" s="66">
        <f>'HOME  (3)'!$H13*'HOME  (3)'!$G13</f>
        <v>0</v>
      </c>
      <c r="J13" s="66">
        <f>'HOME  (3)'!$G13</f>
        <v>3</v>
      </c>
      <c r="K13" s="66">
        <f>'Data entry'!K38</f>
        <v>11</v>
      </c>
      <c r="L13" s="66">
        <f>IF(AND('HOME  (3)'!$B13&gt;0,'HOME  (3)'!$C13&gt;0),1,0)</f>
        <v>1</v>
      </c>
      <c r="M13" s="67">
        <f>'HOME  (3)'!$J13/'HOME  (3)'!$K13</f>
        <v>0.27272727272727271</v>
      </c>
      <c r="N13" s="41"/>
      <c r="O13" s="41"/>
      <c r="P13" s="41"/>
      <c r="Q13" s="41"/>
      <c r="S13" s="47"/>
      <c r="T13" s="47">
        <v>1</v>
      </c>
      <c r="W13" s="48" t="s">
        <v>23</v>
      </c>
      <c r="X13" s="48">
        <f>(SUM(T9:T13))/T14</f>
        <v>0.3</v>
      </c>
      <c r="Y13" s="41"/>
    </row>
    <row r="14" spans="1:27" ht="14.25" customHeight="1" thickTop="1">
      <c r="A14" s="76"/>
      <c r="B14" s="76">
        <f>SUBTOTAL(109,'HOME  (3)'!$B$3:$B$13)</f>
        <v>26</v>
      </c>
      <c r="C14" s="76">
        <f>SUBTOTAL(101,'HOME  (3)'!$C$3:$C$13)</f>
        <v>1.0909090909090908</v>
      </c>
      <c r="D14" s="76">
        <f>SUBTOTAL(109,'HOME  (3)'!$D$3:$D$13)</f>
        <v>38</v>
      </c>
      <c r="E14" s="76"/>
      <c r="F14" s="76"/>
      <c r="G14" s="76">
        <f>SUBTOTAL(109,'HOME  (3)'!$G$3:$G$13)</f>
        <v>21</v>
      </c>
      <c r="H14" s="76">
        <f>SUBTOTAL(109,'HOME  (3)'!$H$3:$H$13)</f>
        <v>55</v>
      </c>
      <c r="I14" s="76">
        <f>SUBTOTAL(109,'HOME  (3)'!$I$3:$I$13)</f>
        <v>114</v>
      </c>
      <c r="J14" s="76"/>
      <c r="K14" s="76"/>
      <c r="L14" s="76">
        <f>SUBTOTAL(109,'HOME  (3)'!$L$3:$L$13)</f>
        <v>8</v>
      </c>
      <c r="M14" s="77">
        <f>SUBTOTAL(109,'HOME  (3)'!$M$3:$M$13)</f>
        <v>19.364393939393942</v>
      </c>
      <c r="N14" s="41"/>
      <c r="O14" s="41"/>
      <c r="P14" s="41"/>
      <c r="Q14" s="41"/>
      <c r="S14" s="47"/>
      <c r="T14" s="47">
        <f>SUM(T5:T12)</f>
        <v>10</v>
      </c>
      <c r="U14" s="50"/>
      <c r="W14" s="48"/>
      <c r="X14" s="48"/>
      <c r="Y14" s="41"/>
    </row>
    <row r="15" spans="1:27" ht="14.25" customHeight="1">
      <c r="D15" s="2"/>
      <c r="E15" s="2"/>
    </row>
    <row r="16" spans="1:27" ht="14.25" customHeight="1">
      <c r="D16" s="2"/>
      <c r="E16" s="2"/>
    </row>
    <row r="17" spans="1:24" ht="14.25" customHeight="1">
      <c r="D17" s="2"/>
      <c r="E17" s="2"/>
      <c r="I17" s="6"/>
      <c r="J17" s="6"/>
      <c r="K17" s="6"/>
    </row>
    <row r="18" spans="1:24" ht="14.25" customHeight="1">
      <c r="A18" s="41" t="s">
        <v>24</v>
      </c>
      <c r="D18" s="2"/>
      <c r="E18" s="2"/>
    </row>
    <row r="19" spans="1:24" ht="14.25" customHeight="1">
      <c r="A19" s="41" t="s">
        <v>25</v>
      </c>
      <c r="B19" s="6" t="s">
        <v>0</v>
      </c>
      <c r="C19" s="6" t="s">
        <v>26</v>
      </c>
      <c r="D19" s="2" t="s">
        <v>4</v>
      </c>
      <c r="E19" s="6"/>
      <c r="F19" s="41" t="s">
        <v>27</v>
      </c>
      <c r="N19" s="3"/>
      <c r="O19" s="51"/>
      <c r="P19" s="37" t="s">
        <v>28</v>
      </c>
      <c r="Q19" s="37"/>
    </row>
    <row r="20" spans="1:24" ht="14.25" customHeight="1">
      <c r="A20" s="43" t="s">
        <v>127</v>
      </c>
      <c r="B20" s="41">
        <f>SUMIF('HOME  (3)'!$E$3:$E$13,"H",'HOME  (3)'!$B$3:$B$13)</f>
        <v>16</v>
      </c>
      <c r="C20" s="41">
        <f>SUMIF('HOME  (3)'!$E$3:$E$13,"A",'HOME  (3)'!$B$3:$B$13)</f>
        <v>10</v>
      </c>
      <c r="D20" s="2">
        <f>SUM('HOME  (3)'!$B20:$C20)</f>
        <v>26</v>
      </c>
      <c r="F20" s="41"/>
      <c r="P20" s="37" t="s">
        <v>29</v>
      </c>
      <c r="Q20" s="37" t="s">
        <v>30</v>
      </c>
      <c r="T20" s="37" t="s">
        <v>31</v>
      </c>
      <c r="U20" s="37"/>
    </row>
    <row r="21" spans="1:24" ht="14.25" customHeight="1">
      <c r="A21" s="43" t="s">
        <v>244</v>
      </c>
      <c r="B21" s="41">
        <f t="array" ref="B21">SUM(--('HOME  (3)'!$B$3:$B$13='HOME  (3)'!$C$3:$C$13))</f>
        <v>3</v>
      </c>
      <c r="C21" s="41"/>
      <c r="D21" s="2">
        <f>SUM('HOME  (3)'!$B21:$C21)</f>
        <v>3</v>
      </c>
      <c r="E21" s="2"/>
      <c r="F21" s="41"/>
      <c r="P21" s="37">
        <v>1</v>
      </c>
      <c r="Q21" s="37">
        <f t="array" ref="Q21:Q25">FREQUENCY(L29:L33,P21:P24)</f>
        <v>2</v>
      </c>
      <c r="T21" s="37" t="s">
        <v>29</v>
      </c>
      <c r="U21" s="37" t="s">
        <v>30</v>
      </c>
      <c r="W21" s="37" t="s">
        <v>32</v>
      </c>
      <c r="X21" s="37"/>
    </row>
    <row r="22" spans="1:24" ht="14.25" customHeight="1">
      <c r="A22" s="43" t="s">
        <v>245</v>
      </c>
      <c r="B22" s="41">
        <f>AVERAGEIF('HOME  (3)'!$E$3:$E$13,"H",'HOME  (3)'!$B$3:$B$13)</f>
        <v>3.2</v>
      </c>
      <c r="C22" s="41">
        <f>AVERAGEIF('HOME  (3)'!$E$3:$E$13,"A",'HOME  (3)'!$B$3:$B$13)</f>
        <v>1.6666666666666667</v>
      </c>
      <c r="D22" s="2">
        <f>SUM('HOME  (3)'!$B22:$C22)</f>
        <v>4.8666666666666671</v>
      </c>
      <c r="E22" s="2"/>
      <c r="F22" s="41"/>
      <c r="M22" s="41"/>
      <c r="P22" s="37">
        <v>2</v>
      </c>
      <c r="Q22" s="37">
        <v>1</v>
      </c>
      <c r="T22" s="37">
        <v>0</v>
      </c>
      <c r="U22" s="37">
        <f t="array" ref="U22:U30">FREQUENCY(D3:D7,T22:T29)</f>
        <v>0</v>
      </c>
      <c r="W22" s="37" t="s">
        <v>18</v>
      </c>
      <c r="X22" s="37" t="s">
        <v>19</v>
      </c>
    </row>
    <row r="23" spans="1:24" ht="14.25" customHeight="1">
      <c r="A23" s="43" t="s">
        <v>246</v>
      </c>
      <c r="B23" s="41">
        <f>SUMIF('HOME  (3)'!$E$3:$E$13,"H",'HOME  (3)'!$C$3:$C$13)</f>
        <v>5</v>
      </c>
      <c r="C23" s="41">
        <f>SUMIF('HOME  (3)'!$E$3:$E$13,"A",'HOME  (3)'!$C$3:$C$13)</f>
        <v>7</v>
      </c>
      <c r="D23" s="2">
        <f>SUM('HOME  (3)'!$B23:$C23)</f>
        <v>12</v>
      </c>
      <c r="E23" s="2"/>
      <c r="F23" s="41"/>
      <c r="M23" s="41"/>
      <c r="P23" s="37">
        <v>3</v>
      </c>
      <c r="Q23" s="37">
        <v>0</v>
      </c>
      <c r="T23" s="37">
        <v>1</v>
      </c>
      <c r="U23" s="37">
        <v>0</v>
      </c>
      <c r="W23" s="37" t="s">
        <v>33</v>
      </c>
      <c r="X23" s="37">
        <f>(SUM(U23:U30))/U31</f>
        <v>1</v>
      </c>
    </row>
    <row r="24" spans="1:24" ht="14.25" customHeight="1">
      <c r="A24" s="43" t="s">
        <v>247</v>
      </c>
      <c r="B24" s="41">
        <f>COUNTA('HOME  (3)'!$A$3:$A$13)</f>
        <v>11</v>
      </c>
      <c r="C24" s="41"/>
      <c r="D24" s="2">
        <f>SUM('HOME  (3)'!$B24:$C24)</f>
        <v>11</v>
      </c>
      <c r="E24" s="2"/>
      <c r="F24" s="41"/>
      <c r="P24" s="37">
        <v>4</v>
      </c>
      <c r="Q24" s="37">
        <v>2</v>
      </c>
      <c r="T24" s="37">
        <v>2</v>
      </c>
      <c r="U24" s="37">
        <v>3</v>
      </c>
      <c r="W24" s="37" t="s">
        <v>21</v>
      </c>
      <c r="X24" s="37">
        <f>(SUM(U24:U30))/U31</f>
        <v>1</v>
      </c>
    </row>
    <row r="25" spans="1:24" ht="14.25" customHeight="1">
      <c r="A25" s="43" t="s">
        <v>248</v>
      </c>
      <c r="B25" s="41">
        <f>'HOME  (3)'!$I$14/'HOME  (3)'!$H$14</f>
        <v>2.0727272727272728</v>
      </c>
      <c r="C25" s="41"/>
      <c r="D25" s="2">
        <f>SUM('HOME  (3)'!$B25:$C25)</f>
        <v>2.0727272727272728</v>
      </c>
      <c r="E25" s="2"/>
      <c r="F25" s="41">
        <f>(SUM(I3:I7))/(SUM(H3:H7))</f>
        <v>2.2999999999999998</v>
      </c>
      <c r="P25" s="37">
        <v>5</v>
      </c>
      <c r="Q25" s="37">
        <v>0</v>
      </c>
      <c r="T25" s="37">
        <v>3</v>
      </c>
      <c r="U25" s="37">
        <v>1</v>
      </c>
      <c r="W25" s="37" t="s">
        <v>34</v>
      </c>
      <c r="X25" s="37">
        <f>(SUM(U25:U30))/U31</f>
        <v>0.4</v>
      </c>
    </row>
    <row r="26" spans="1:24" ht="14.25" customHeight="1">
      <c r="A26" s="43" t="s">
        <v>87</v>
      </c>
      <c r="B26" s="10">
        <f>B25/3</f>
        <v>0.69090909090909092</v>
      </c>
      <c r="C26" s="10"/>
      <c r="D26" s="86">
        <f>SUM('HOME  (3)'!$B26:$C26)</f>
        <v>0.69090909090909092</v>
      </c>
      <c r="E26" s="2"/>
      <c r="F26" s="10">
        <f>F25/3</f>
        <v>0.76666666666666661</v>
      </c>
      <c r="T26" s="37">
        <v>4</v>
      </c>
      <c r="U26" s="37">
        <v>0</v>
      </c>
      <c r="W26" s="37" t="s">
        <v>35</v>
      </c>
      <c r="X26" s="37">
        <f>(SUM(U26:U30))/U31</f>
        <v>0.2</v>
      </c>
    </row>
    <row r="27" spans="1:24" ht="14.25" customHeight="1">
      <c r="A27" s="43" t="s">
        <v>12</v>
      </c>
      <c r="B27" s="41"/>
      <c r="C27" s="41"/>
      <c r="D27" s="2">
        <f>'HOME  (3)'!$L$14</f>
        <v>8</v>
      </c>
      <c r="E27" s="2"/>
      <c r="F27" s="41">
        <f>SUM(L3:L7)</f>
        <v>3</v>
      </c>
      <c r="T27" s="37">
        <v>5</v>
      </c>
      <c r="U27" s="37">
        <v>0</v>
      </c>
    </row>
    <row r="28" spans="1:24" ht="14.25" customHeight="1">
      <c r="A28" s="43" t="s">
        <v>249</v>
      </c>
      <c r="B28" s="41">
        <f>COUNTIF('HOME  (3)'!$F$3:$F$13,"W")</f>
        <v>6</v>
      </c>
      <c r="C28" s="41"/>
      <c r="D28" s="2">
        <f>'HOME  (3)'!$B28</f>
        <v>6</v>
      </c>
      <c r="E28" s="2"/>
      <c r="F28" s="41"/>
      <c r="H28" s="40" t="s">
        <v>0</v>
      </c>
      <c r="I28" s="40" t="s">
        <v>26</v>
      </c>
      <c r="J28" s="40" t="s">
        <v>36</v>
      </c>
      <c r="K28" s="40" t="s">
        <v>37</v>
      </c>
      <c r="L28" s="40" t="s">
        <v>38</v>
      </c>
      <c r="M28" s="40" t="s">
        <v>39</v>
      </c>
      <c r="N28" s="40" t="s">
        <v>40</v>
      </c>
      <c r="O28" s="40" t="s">
        <v>41</v>
      </c>
      <c r="P28" s="40" t="s">
        <v>42</v>
      </c>
      <c r="Q28" s="40" t="s">
        <v>43</v>
      </c>
      <c r="T28" s="37">
        <v>6</v>
      </c>
      <c r="U28" s="37">
        <v>0</v>
      </c>
    </row>
    <row r="29" spans="1:24" ht="14.25" customHeight="1">
      <c r="A29" s="43" t="s">
        <v>250</v>
      </c>
      <c r="B29" s="41">
        <f>COUNTIF('HOME  (3)'!$F$3:$F$13,"L")</f>
        <v>2</v>
      </c>
      <c r="C29" s="41"/>
      <c r="D29" s="2">
        <f>'HOME  (3)'!$B29</f>
        <v>2</v>
      </c>
      <c r="E29" s="2"/>
      <c r="F29" s="41"/>
      <c r="H29" s="37" t="str">
        <f t="array" ref="H29:K33">H2H</f>
        <v>AWAY</v>
      </c>
      <c r="I29" s="37" t="str">
        <v>HOME</v>
      </c>
      <c r="J29" s="37">
        <v>2</v>
      </c>
      <c r="K29" s="37">
        <v>2</v>
      </c>
      <c r="L29" s="37">
        <f>SUM(J29:K29)</f>
        <v>4</v>
      </c>
      <c r="M29" s="37">
        <f>IF(AND(J29&gt;K29,H29="HOME"),1,0)</f>
        <v>0</v>
      </c>
      <c r="N29" s="37">
        <f>IF(AND(J29&lt;K29,I29="HOME"),1,0)</f>
        <v>0</v>
      </c>
      <c r="O29" s="37">
        <f>IF(J29=K29,1,0)</f>
        <v>1</v>
      </c>
      <c r="P29" s="37">
        <f>IF(AND(J29&gt;K29,H29="AWAY"),1,0)</f>
        <v>0</v>
      </c>
      <c r="Q29" s="37">
        <f>IF(AND(J29&lt;K29,I29="AWAY"),1,0)</f>
        <v>0</v>
      </c>
      <c r="T29" s="37">
        <v>7</v>
      </c>
      <c r="U29" s="37">
        <v>0</v>
      </c>
    </row>
    <row r="30" spans="1:24" ht="14.25" customHeight="1">
      <c r="A30" s="43" t="s">
        <v>251</v>
      </c>
      <c r="B30" s="41">
        <f>COUNTIF('HOME  (3)'!$F$3:$F$13,"D")</f>
        <v>3</v>
      </c>
      <c r="C30" s="41"/>
      <c r="D30" s="2">
        <f>SUM('HOME  (3)'!$B30:$C30)</f>
        <v>3</v>
      </c>
      <c r="E30" s="2"/>
      <c r="F30" s="41"/>
      <c r="H30" s="37" t="str">
        <v>AWAY</v>
      </c>
      <c r="I30" s="37" t="str">
        <v>HOME</v>
      </c>
      <c r="J30" s="37">
        <v>1</v>
      </c>
      <c r="K30" s="37">
        <v>3</v>
      </c>
      <c r="L30" s="37">
        <f>SUM(J30:K30)</f>
        <v>4</v>
      </c>
      <c r="M30" s="37">
        <f>IF(AND(J30&gt;K30,H30="HOME"),1,0)</f>
        <v>0</v>
      </c>
      <c r="N30" s="37">
        <f>IF(AND(J30&lt;K30,I30="HOME"),1,0)</f>
        <v>1</v>
      </c>
      <c r="O30" s="37">
        <f>IF(J30=K30,1,0)</f>
        <v>0</v>
      </c>
      <c r="P30" s="37">
        <f>IF(AND(J30&gt;K30,H30="AWAY"),1,0)</f>
        <v>0</v>
      </c>
      <c r="Q30" s="37">
        <f>IF(AND(J30&lt;K30,I30="AWAY"),1,0)</f>
        <v>0</v>
      </c>
      <c r="T30" s="37"/>
      <c r="U30" s="37">
        <v>1</v>
      </c>
    </row>
    <row r="31" spans="1:24" ht="14.25" customHeight="1">
      <c r="A31" s="41"/>
      <c r="B31" s="41"/>
      <c r="C31" s="41"/>
      <c r="D31" s="2"/>
      <c r="E31" s="2"/>
      <c r="F31" s="41"/>
      <c r="H31" s="37" t="str">
        <v>HOME</v>
      </c>
      <c r="I31" s="37" t="str">
        <v>AWAY</v>
      </c>
      <c r="J31" s="37">
        <v>0</v>
      </c>
      <c r="K31" s="37">
        <v>0</v>
      </c>
      <c r="L31" s="37">
        <f>SUM(J31:K31)</f>
        <v>0</v>
      </c>
      <c r="M31" s="37">
        <f>IF(AND(J31&gt;K31,H31="HOME"),1,0)</f>
        <v>0</v>
      </c>
      <c r="N31" s="37">
        <f>IF(AND(J31&lt;K31,I31="HOME"),1,0)</f>
        <v>0</v>
      </c>
      <c r="O31" s="37">
        <f>IF(J31=K31,1,0)</f>
        <v>1</v>
      </c>
      <c r="P31" s="37">
        <f>IF(AND(J31&gt;K31,H31="AWAY"),1,0)</f>
        <v>0</v>
      </c>
      <c r="Q31" s="37">
        <f>IF(AND(J31&lt;K31,I31="AWAY"),1,0)</f>
        <v>0</v>
      </c>
      <c r="T31" s="37"/>
      <c r="U31" s="37">
        <f>SUM(U22:U30)</f>
        <v>5</v>
      </c>
    </row>
    <row r="32" spans="1:24" ht="14.25" customHeight="1">
      <c r="D32" s="2"/>
      <c r="E32" s="2"/>
      <c r="H32" s="37" t="str">
        <v>HOME</v>
      </c>
      <c r="I32" s="37" t="str">
        <v>AWAY</v>
      </c>
      <c r="J32" s="37">
        <v>0</v>
      </c>
      <c r="K32" s="37">
        <v>1</v>
      </c>
      <c r="L32" s="37">
        <f>SUM(J32:K32)</f>
        <v>1</v>
      </c>
      <c r="M32" s="37">
        <f>IF(AND(J32&gt;K32,H32="HOME"),1,0)</f>
        <v>0</v>
      </c>
      <c r="N32" s="37">
        <f>IF(AND(J32&lt;K32,I32="HOME"),1,0)</f>
        <v>0</v>
      </c>
      <c r="O32" s="37">
        <f>IF(J32=K32,1,0)</f>
        <v>0</v>
      </c>
      <c r="P32" s="37">
        <f>IF(AND(J32&gt;K32,H32="AWAY"),1,0)</f>
        <v>0</v>
      </c>
      <c r="Q32" s="37">
        <f>IF(AND(J32&lt;K32,I32="AWAY"),1,0)</f>
        <v>1</v>
      </c>
    </row>
    <row r="33" spans="1:17" ht="14.25" customHeight="1">
      <c r="D33" s="2"/>
      <c r="E33" s="2"/>
      <c r="H33" s="37" t="str">
        <v>HOME</v>
      </c>
      <c r="I33" s="37" t="str">
        <v>AWAY</v>
      </c>
      <c r="J33" s="37">
        <v>0</v>
      </c>
      <c r="K33" s="37">
        <v>2</v>
      </c>
      <c r="L33" s="37">
        <f>SUM(J33:K33)</f>
        <v>2</v>
      </c>
      <c r="M33" s="37">
        <f>IF(AND(J33&gt;K33,H33="HOME"),1,0)</f>
        <v>0</v>
      </c>
      <c r="N33" s="37">
        <f>IF(AND(J33&lt;K33,I33="HOME"),1,0)</f>
        <v>0</v>
      </c>
      <c r="O33" s="37">
        <f>IF(J33=K33,1,0)</f>
        <v>0</v>
      </c>
      <c r="P33" s="37">
        <f>IF(AND(J33&gt;K33,H33="AWAY"),1,0)</f>
        <v>0</v>
      </c>
      <c r="Q33" s="37">
        <f>IF(AND(J33&lt;K33,I33="AWAY"),1,0)</f>
        <v>1</v>
      </c>
    </row>
    <row r="34" spans="1:17" ht="14.25" customHeight="1">
      <c r="A34" s="12"/>
      <c r="D34" s="2"/>
      <c r="E34" s="2"/>
      <c r="H34" s="37"/>
      <c r="I34" s="37"/>
      <c r="J34" s="37"/>
      <c r="K34" s="37"/>
      <c r="L34" s="37">
        <f>SUBTOTAL(109,'HOME  (3)'!$L$29:$L$33)</f>
        <v>11</v>
      </c>
      <c r="M34" s="37">
        <f>SUM(M29:M33)</f>
        <v>0</v>
      </c>
      <c r="N34" s="37">
        <f>SUM(N29:N33)</f>
        <v>1</v>
      </c>
      <c r="O34" s="37">
        <f>SUM(O29:O33)</f>
        <v>2</v>
      </c>
      <c r="P34" s="37">
        <f>SUM(P29:P33)</f>
        <v>0</v>
      </c>
      <c r="Q34" s="37">
        <f>SUM(Q29:Q33)</f>
        <v>2</v>
      </c>
    </row>
    <row r="35" spans="1:17" ht="14.25" customHeight="1">
      <c r="A35" s="12"/>
      <c r="D35" s="2"/>
      <c r="E35" s="2"/>
    </row>
    <row r="36" spans="1:17" ht="14.25" customHeight="1">
      <c r="A36" s="12"/>
      <c r="D36" s="2"/>
      <c r="E36" s="2"/>
    </row>
    <row r="37" spans="1:17" ht="14.25" customHeight="1">
      <c r="A37" s="12"/>
      <c r="D37" s="2"/>
      <c r="E37" s="2"/>
      <c r="I37" s="37" t="s">
        <v>47</v>
      </c>
      <c r="J37" s="37" t="s">
        <v>0</v>
      </c>
      <c r="K37" s="37" t="s">
        <v>26</v>
      </c>
      <c r="L37" s="37" t="s">
        <v>38</v>
      </c>
      <c r="M37" s="37" t="s">
        <v>48</v>
      </c>
      <c r="N37" s="37" t="s">
        <v>49</v>
      </c>
      <c r="O37" s="37" t="s">
        <v>41</v>
      </c>
      <c r="P37" s="37" t="s">
        <v>50</v>
      </c>
    </row>
    <row r="38" spans="1:17" ht="14.25" customHeight="1">
      <c r="A38" s="12"/>
      <c r="D38" s="2"/>
      <c r="E38" s="2"/>
      <c r="G38" s="38" t="s">
        <v>52</v>
      </c>
      <c r="I38" s="37" t="str">
        <f>'Data entry'!I5</f>
        <v>HOME</v>
      </c>
      <c r="J38" s="37">
        <f>SUMIF('HOME  (3)'!$H$29:$H$33,"HOME",'HOME  (3)'!$J$29:$J$33)</f>
        <v>0</v>
      </c>
      <c r="K38" s="37">
        <f>SUMIF('HOME  (3)'!$I$29:$I$33,"HOME",'HOME  (3)'!$K$29:$K$33)</f>
        <v>5</v>
      </c>
      <c r="L38" s="37">
        <f>L34</f>
        <v>11</v>
      </c>
      <c r="M38" s="37">
        <f>M34</f>
        <v>0</v>
      </c>
      <c r="N38" s="37">
        <f>N34</f>
        <v>1</v>
      </c>
      <c r="O38" s="37">
        <f>O34</f>
        <v>2</v>
      </c>
      <c r="P38" s="37">
        <f>SUM('HOME  (3)'!$M38:$N38)</f>
        <v>1</v>
      </c>
    </row>
    <row r="39" spans="1:17" ht="14.25" customHeight="1">
      <c r="A39" s="12"/>
      <c r="D39" s="2"/>
      <c r="E39" s="2"/>
      <c r="G39" s="37">
        <f>IF(AND(J29&gt;0,K29&gt;0),1,0)</f>
        <v>1</v>
      </c>
      <c r="I39" s="37" t="str">
        <f>'Data entry'!J5</f>
        <v>AWAY</v>
      </c>
      <c r="J39" s="37">
        <f>SUMIF('HOME  (3)'!$H$29:$H$33,"AWAY",'HOME  (3)'!$J$29:$J$33)</f>
        <v>3</v>
      </c>
      <c r="K39" s="37">
        <f>SUMIF('HOME  (3)'!$I$29:$I$33,"AWAY",'HOME  (3)'!$K$29:$K$33)</f>
        <v>3</v>
      </c>
      <c r="L39" s="37">
        <f>L34</f>
        <v>11</v>
      </c>
      <c r="M39" s="37">
        <f>P34</f>
        <v>0</v>
      </c>
      <c r="N39" s="37">
        <f>Q34</f>
        <v>2</v>
      </c>
      <c r="O39" s="37"/>
      <c r="P39" s="37">
        <f>SUM('HOME  (3)'!$M39:$N39)</f>
        <v>2</v>
      </c>
    </row>
    <row r="40" spans="1:17" ht="14.25" customHeight="1">
      <c r="A40" s="12"/>
      <c r="D40" s="2"/>
      <c r="E40" s="2"/>
      <c r="G40" s="37">
        <f>IF(AND(J30&gt;0,K30&gt;0),1,0)</f>
        <v>1</v>
      </c>
      <c r="I40" s="41"/>
      <c r="J40" s="41"/>
      <c r="K40" s="41"/>
      <c r="L40" s="41"/>
      <c r="M40" s="41"/>
      <c r="N40" s="41"/>
      <c r="O40" s="41"/>
      <c r="P40" s="41">
        <f>SUM(P38:P39)</f>
        <v>3</v>
      </c>
    </row>
    <row r="41" spans="1:17" ht="14.25" customHeight="1">
      <c r="A41" s="12"/>
      <c r="D41" s="2"/>
      <c r="E41" s="2"/>
      <c r="G41" s="37">
        <f>IF(AND(J31&gt;0,K31&gt;0),1,0)</f>
        <v>0</v>
      </c>
    </row>
    <row r="42" spans="1:17" ht="14.25" customHeight="1">
      <c r="A42" s="12"/>
      <c r="D42" s="2"/>
      <c r="E42" s="2"/>
      <c r="G42" s="37">
        <f>IF(AND(J32&gt;0,K32&gt;0),1,0)</f>
        <v>0</v>
      </c>
    </row>
    <row r="43" spans="1:17" ht="14.25" customHeight="1">
      <c r="A43" s="12"/>
      <c r="D43" s="2"/>
      <c r="E43" s="2"/>
      <c r="G43" s="37">
        <f>IF(AND(J33&gt;0,K33&gt;0),1,0)</f>
        <v>0</v>
      </c>
    </row>
    <row r="44" spans="1:17" ht="14.25" customHeight="1">
      <c r="A44" s="12"/>
      <c r="D44" s="2"/>
      <c r="E44" s="2"/>
      <c r="G44" s="39">
        <f>SUBTOTAL(109,'HOME  (3)'!$G$39:$G$43)</f>
        <v>2</v>
      </c>
    </row>
    <row r="45" spans="1:17" ht="14.25" customHeight="1">
      <c r="A45" s="12"/>
      <c r="D45" s="2"/>
      <c r="E45" s="2"/>
    </row>
    <row r="46" spans="1:17" ht="14.25" customHeight="1">
      <c r="A46" s="12"/>
      <c r="D46" s="2"/>
      <c r="E46" s="2"/>
    </row>
    <row r="47" spans="1:17" ht="14.25" customHeight="1">
      <c r="A47" s="12"/>
      <c r="D47" s="2"/>
      <c r="E47" s="2"/>
    </row>
    <row r="48" spans="1:17" ht="14.25" customHeight="1">
      <c r="A48" s="12"/>
      <c r="D48" s="2"/>
      <c r="E48" s="2"/>
    </row>
    <row r="49" spans="1:5" ht="14.25" customHeight="1">
      <c r="A49" s="12"/>
      <c r="D49" s="2"/>
      <c r="E49" s="2"/>
    </row>
    <row r="50" spans="1:5" ht="14.25" customHeight="1">
      <c r="A50" s="12"/>
      <c r="D50" s="2"/>
      <c r="E50" s="2"/>
    </row>
    <row r="51" spans="1:5" ht="14.25" customHeight="1">
      <c r="A51" s="12"/>
      <c r="D51" s="2"/>
      <c r="E51" s="2"/>
    </row>
    <row r="52" spans="1:5" ht="14.25" customHeight="1">
      <c r="A52" s="12"/>
      <c r="D52" s="2"/>
      <c r="E52" s="2"/>
    </row>
    <row r="53" spans="1:5" ht="14.25" customHeight="1">
      <c r="A53" s="12"/>
      <c r="D53" s="2"/>
      <c r="E53" s="2"/>
    </row>
    <row r="54" spans="1:5" ht="14.25" customHeight="1">
      <c r="D54" s="2"/>
      <c r="E54" s="2"/>
    </row>
    <row r="55" spans="1:5" ht="14.25" customHeight="1">
      <c r="D55" s="2"/>
      <c r="E55" s="2"/>
    </row>
    <row r="56" spans="1:5" ht="14.25" customHeight="1">
      <c r="D56" s="2"/>
      <c r="E56" s="2"/>
    </row>
    <row r="57" spans="1:5" ht="14.25" customHeight="1">
      <c r="D57" s="2"/>
      <c r="E57" s="2"/>
    </row>
    <row r="58" spans="1:5" ht="14.25" customHeight="1">
      <c r="D58" s="2"/>
      <c r="E58" s="2"/>
    </row>
    <row r="59" spans="1:5" ht="14.25" customHeight="1">
      <c r="D59" s="2"/>
      <c r="E59" s="2"/>
    </row>
    <row r="60" spans="1:5" ht="14.25" customHeight="1">
      <c r="D60" s="2"/>
      <c r="E60" s="2"/>
    </row>
    <row r="61" spans="1:5" ht="14.25" customHeight="1">
      <c r="D61" s="2"/>
      <c r="E61" s="2"/>
    </row>
    <row r="62" spans="1:5" ht="14.25" customHeight="1">
      <c r="D62" s="2"/>
      <c r="E62" s="2"/>
    </row>
    <row r="63" spans="1:5" ht="14.25" customHeight="1">
      <c r="D63" s="2"/>
      <c r="E63" s="2"/>
    </row>
    <row r="64" spans="1:5" ht="14.25" customHeight="1">
      <c r="D64" s="2"/>
      <c r="E64" s="2"/>
    </row>
    <row r="65" spans="4:5" ht="14.25" customHeight="1">
      <c r="D65" s="2"/>
      <c r="E65" s="2"/>
    </row>
    <row r="66" spans="4:5" ht="14.25" customHeight="1">
      <c r="D66" s="2"/>
      <c r="E66" s="2"/>
    </row>
    <row r="67" spans="4:5" ht="14.25" customHeight="1">
      <c r="D67" s="2"/>
      <c r="E67" s="2"/>
    </row>
    <row r="68" spans="4:5" ht="14.25" customHeight="1">
      <c r="D68" s="2"/>
      <c r="E68" s="2"/>
    </row>
    <row r="69" spans="4:5" ht="14.25" customHeight="1">
      <c r="D69" s="2"/>
      <c r="E69" s="2"/>
    </row>
    <row r="70" spans="4:5" ht="14.25" customHeight="1">
      <c r="D70" s="2"/>
      <c r="E70" s="2"/>
    </row>
    <row r="71" spans="4:5" ht="14.25" customHeight="1">
      <c r="D71" s="2"/>
      <c r="E71" s="2"/>
    </row>
    <row r="72" spans="4:5" ht="14.25" customHeight="1">
      <c r="D72" s="2"/>
      <c r="E72" s="2"/>
    </row>
    <row r="73" spans="4:5" ht="14.25" customHeight="1">
      <c r="D73" s="2"/>
      <c r="E73" s="2"/>
    </row>
    <row r="74" spans="4:5" ht="14.25" customHeight="1">
      <c r="D74" s="2"/>
      <c r="E74" s="2"/>
    </row>
    <row r="75" spans="4:5" ht="14.25" customHeight="1">
      <c r="D75" s="2"/>
      <c r="E75" s="2"/>
    </row>
    <row r="76" spans="4:5" ht="14.25" customHeight="1">
      <c r="D76" s="2"/>
      <c r="E76" s="2"/>
    </row>
    <row r="77" spans="4:5" ht="14.25" customHeight="1">
      <c r="D77" s="2"/>
      <c r="E77" s="2"/>
    </row>
    <row r="78" spans="4:5" ht="14.25" customHeight="1">
      <c r="D78" s="2"/>
      <c r="E78" s="2"/>
    </row>
    <row r="79" spans="4:5" ht="14.25" customHeight="1">
      <c r="D79" s="2"/>
      <c r="E79" s="2"/>
    </row>
    <row r="80" spans="4:5" ht="14.25" customHeight="1">
      <c r="D80" s="2"/>
      <c r="E80" s="2"/>
    </row>
    <row r="81" spans="4:5" ht="14.25" customHeight="1">
      <c r="D81" s="2"/>
      <c r="E81" s="2"/>
    </row>
    <row r="82" spans="4:5" ht="14.25" customHeight="1">
      <c r="D82" s="2"/>
      <c r="E82" s="2"/>
    </row>
    <row r="83" spans="4:5" ht="14.25" customHeight="1">
      <c r="D83" s="2"/>
      <c r="E83" s="2"/>
    </row>
    <row r="84" spans="4:5" ht="14.25" customHeight="1">
      <c r="D84" s="2"/>
      <c r="E84" s="2"/>
    </row>
    <row r="85" spans="4:5" ht="14.25" customHeight="1">
      <c r="D85" s="2"/>
      <c r="E85" s="2"/>
    </row>
    <row r="86" spans="4:5" ht="14.25" customHeight="1">
      <c r="D86" s="2"/>
      <c r="E86" s="2"/>
    </row>
    <row r="87" spans="4:5" ht="14.25" customHeight="1">
      <c r="D87" s="2"/>
      <c r="E87" s="2"/>
    </row>
    <row r="88" spans="4:5" ht="14.25" customHeight="1">
      <c r="D88" s="2"/>
      <c r="E88" s="2"/>
    </row>
    <row r="89" spans="4:5" ht="14.25" customHeight="1">
      <c r="D89" s="2"/>
      <c r="E89" s="2"/>
    </row>
    <row r="90" spans="4:5" ht="14.25" customHeight="1">
      <c r="D90" s="2"/>
      <c r="E90" s="2"/>
    </row>
    <row r="91" spans="4:5" ht="14.25" customHeight="1">
      <c r="D91" s="2"/>
      <c r="E91" s="2"/>
    </row>
    <row r="92" spans="4:5" ht="14.25" customHeight="1">
      <c r="D92" s="2"/>
      <c r="E92" s="2"/>
    </row>
    <row r="93" spans="4:5" ht="14.25" customHeight="1">
      <c r="D93" s="2"/>
      <c r="E93" s="2"/>
    </row>
    <row r="94" spans="4:5" ht="14.25" customHeight="1">
      <c r="D94" s="2"/>
      <c r="E94" s="2"/>
    </row>
    <row r="95" spans="4:5" ht="14.25" customHeight="1">
      <c r="D95" s="2"/>
      <c r="E95" s="2"/>
    </row>
    <row r="96" spans="4:5" ht="14.25" customHeight="1">
      <c r="D96" s="2"/>
      <c r="E96" s="2"/>
    </row>
    <row r="97" spans="4:5" ht="14.25" customHeight="1">
      <c r="D97" s="2"/>
      <c r="E97" s="2"/>
    </row>
    <row r="98" spans="4:5" ht="14.25" customHeight="1">
      <c r="D98" s="2"/>
      <c r="E98" s="2"/>
    </row>
    <row r="99" spans="4:5" ht="14.25" customHeight="1">
      <c r="D99" s="2"/>
      <c r="E99" s="2"/>
    </row>
    <row r="100" spans="4:5" ht="14.25" customHeight="1">
      <c r="D100" s="2"/>
      <c r="E100" s="2"/>
    </row>
    <row r="101" spans="4:5" ht="14.25" customHeight="1">
      <c r="D101" s="2"/>
      <c r="E101" s="2"/>
    </row>
    <row r="102" spans="4:5" ht="14.25" customHeight="1">
      <c r="D102" s="2"/>
      <c r="E102" s="2"/>
    </row>
    <row r="103" spans="4:5" ht="14.25" customHeight="1">
      <c r="D103" s="2"/>
      <c r="E103" s="2"/>
    </row>
    <row r="104" spans="4:5" ht="14.25" customHeight="1">
      <c r="D104" s="2"/>
      <c r="E104" s="2"/>
    </row>
    <row r="105" spans="4:5" ht="14.25" customHeight="1">
      <c r="D105" s="2"/>
      <c r="E105" s="2"/>
    </row>
    <row r="106" spans="4:5" ht="14.25" customHeight="1">
      <c r="D106" s="2"/>
      <c r="E106" s="2"/>
    </row>
    <row r="107" spans="4:5" ht="14.25" customHeight="1">
      <c r="D107" s="2"/>
      <c r="E107" s="2"/>
    </row>
    <row r="108" spans="4:5" ht="14.25" customHeight="1">
      <c r="D108" s="2"/>
      <c r="E108" s="2"/>
    </row>
    <row r="109" spans="4:5" ht="14.25" customHeight="1">
      <c r="D109" s="2"/>
      <c r="E109" s="2"/>
    </row>
    <row r="110" spans="4:5" ht="14.25" customHeight="1">
      <c r="D110" s="2"/>
      <c r="E110" s="2"/>
    </row>
    <row r="111" spans="4:5" ht="14.25" customHeight="1">
      <c r="D111" s="2"/>
      <c r="E111" s="2"/>
    </row>
    <row r="112" spans="4:5" ht="14.25" customHeight="1">
      <c r="D112" s="2"/>
      <c r="E112" s="2"/>
    </row>
    <row r="113" spans="4:5" ht="14.25" customHeight="1">
      <c r="D113" s="2"/>
      <c r="E113" s="2"/>
    </row>
    <row r="114" spans="4:5" ht="14.25" customHeight="1">
      <c r="D114" s="2"/>
      <c r="E114" s="2"/>
    </row>
    <row r="115" spans="4:5" ht="14.25" customHeight="1">
      <c r="D115" s="2"/>
      <c r="E115" s="2"/>
    </row>
    <row r="116" spans="4:5" ht="14.25" customHeight="1">
      <c r="D116" s="2"/>
      <c r="E116" s="2"/>
    </row>
    <row r="117" spans="4:5" ht="14.25" customHeight="1">
      <c r="D117" s="2"/>
      <c r="E117" s="2"/>
    </row>
    <row r="118" spans="4:5" ht="14.25" customHeight="1">
      <c r="D118" s="2"/>
      <c r="E118" s="2"/>
    </row>
    <row r="119" spans="4:5" ht="14.25" customHeight="1">
      <c r="D119" s="2"/>
      <c r="E119" s="2"/>
    </row>
    <row r="120" spans="4:5" ht="14.25" customHeight="1">
      <c r="D120" s="2"/>
      <c r="E120" s="2"/>
    </row>
    <row r="121" spans="4:5" ht="14.25" customHeight="1">
      <c r="D121" s="2"/>
      <c r="E121" s="2"/>
    </row>
    <row r="122" spans="4:5" ht="14.25" customHeight="1">
      <c r="D122" s="2"/>
      <c r="E122" s="2"/>
    </row>
    <row r="123" spans="4:5" ht="14.25" customHeight="1">
      <c r="D123" s="2"/>
      <c r="E123" s="2"/>
    </row>
    <row r="124" spans="4:5" ht="14.25" customHeight="1">
      <c r="D124" s="2"/>
      <c r="E124" s="2"/>
    </row>
    <row r="125" spans="4:5" ht="14.25" customHeight="1">
      <c r="D125" s="2"/>
      <c r="E125" s="2"/>
    </row>
    <row r="126" spans="4:5" ht="14.25" customHeight="1">
      <c r="D126" s="2"/>
      <c r="E126" s="2"/>
    </row>
    <row r="127" spans="4:5" ht="14.25" customHeight="1">
      <c r="D127" s="2"/>
      <c r="E127" s="2"/>
    </row>
    <row r="128" spans="4:5" ht="14.25" customHeight="1">
      <c r="D128" s="2"/>
      <c r="E128" s="2"/>
    </row>
    <row r="129" spans="4:5" ht="14.25" customHeight="1">
      <c r="D129" s="2"/>
      <c r="E129" s="2"/>
    </row>
    <row r="130" spans="4:5" ht="14.25" customHeight="1">
      <c r="D130" s="2"/>
      <c r="E130" s="2"/>
    </row>
    <row r="131" spans="4:5" ht="14.25" customHeight="1">
      <c r="D131" s="2"/>
      <c r="E131" s="2"/>
    </row>
    <row r="132" spans="4:5" ht="14.25" customHeight="1">
      <c r="D132" s="2"/>
      <c r="E132" s="2"/>
    </row>
    <row r="133" spans="4:5" ht="14.25" customHeight="1">
      <c r="D133" s="2"/>
      <c r="E133" s="2"/>
    </row>
    <row r="134" spans="4:5" ht="14.25" customHeight="1">
      <c r="D134" s="2"/>
      <c r="E134" s="2"/>
    </row>
    <row r="135" spans="4:5" ht="14.25" customHeight="1">
      <c r="D135" s="2"/>
      <c r="E135" s="2"/>
    </row>
    <row r="136" spans="4:5" ht="14.25" customHeight="1">
      <c r="D136" s="2"/>
      <c r="E136" s="2"/>
    </row>
    <row r="137" spans="4:5" ht="14.25" customHeight="1">
      <c r="D137" s="2"/>
      <c r="E137" s="2"/>
    </row>
    <row r="138" spans="4:5" ht="14.25" customHeight="1">
      <c r="D138" s="2"/>
      <c r="E138" s="2"/>
    </row>
    <row r="139" spans="4:5" ht="14.25" customHeight="1">
      <c r="D139" s="2"/>
      <c r="E139" s="2"/>
    </row>
    <row r="140" spans="4:5" ht="14.25" customHeight="1">
      <c r="D140" s="2"/>
      <c r="E140" s="2"/>
    </row>
    <row r="141" spans="4:5" ht="14.25" customHeight="1">
      <c r="D141" s="2"/>
      <c r="E141" s="2"/>
    </row>
    <row r="142" spans="4:5" ht="14.25" customHeight="1">
      <c r="D142" s="2"/>
      <c r="E142" s="2"/>
    </row>
    <row r="143" spans="4:5" ht="14.25" customHeight="1">
      <c r="D143" s="2"/>
      <c r="E143" s="2"/>
    </row>
    <row r="144" spans="4:5" ht="14.25" customHeight="1">
      <c r="D144" s="2"/>
      <c r="E144" s="2"/>
    </row>
    <row r="145" spans="4:5" ht="14.25" customHeight="1">
      <c r="D145" s="2"/>
      <c r="E145" s="2"/>
    </row>
    <row r="146" spans="4:5" ht="14.25" customHeight="1">
      <c r="D146" s="2"/>
      <c r="E146" s="2"/>
    </row>
    <row r="147" spans="4:5" ht="14.25" customHeight="1">
      <c r="D147" s="2"/>
      <c r="E147" s="2"/>
    </row>
    <row r="148" spans="4:5" ht="14.25" customHeight="1">
      <c r="D148" s="2"/>
      <c r="E148" s="2"/>
    </row>
    <row r="149" spans="4:5" ht="14.25" customHeight="1">
      <c r="D149" s="2"/>
      <c r="E149" s="2"/>
    </row>
    <row r="150" spans="4:5" ht="14.25" customHeight="1">
      <c r="D150" s="2"/>
      <c r="E150" s="2"/>
    </row>
    <row r="151" spans="4:5" ht="14.25" customHeight="1">
      <c r="D151" s="2"/>
      <c r="E151" s="2"/>
    </row>
    <row r="152" spans="4:5" ht="14.25" customHeight="1">
      <c r="D152" s="2"/>
      <c r="E152" s="2"/>
    </row>
    <row r="153" spans="4:5" ht="14.25" customHeight="1">
      <c r="D153" s="2"/>
      <c r="E153" s="2"/>
    </row>
    <row r="154" spans="4:5" ht="14.25" customHeight="1">
      <c r="D154" s="2"/>
      <c r="E154" s="2"/>
    </row>
    <row r="155" spans="4:5" ht="14.25" customHeight="1">
      <c r="D155" s="2"/>
      <c r="E155" s="2"/>
    </row>
    <row r="156" spans="4:5" ht="14.25" customHeight="1">
      <c r="D156" s="2"/>
      <c r="E156" s="2"/>
    </row>
    <row r="157" spans="4:5" ht="14.25" customHeight="1">
      <c r="D157" s="2"/>
      <c r="E157" s="2"/>
    </row>
    <row r="158" spans="4:5" ht="14.25" customHeight="1">
      <c r="D158" s="2"/>
      <c r="E158" s="2"/>
    </row>
    <row r="159" spans="4:5" ht="14.25" customHeight="1">
      <c r="D159" s="2"/>
      <c r="E159" s="2"/>
    </row>
    <row r="160" spans="4:5" ht="14.25" customHeight="1">
      <c r="D160" s="2"/>
      <c r="E160" s="2"/>
    </row>
    <row r="161" spans="4:5" ht="14.25" customHeight="1">
      <c r="D161" s="2"/>
      <c r="E161" s="2"/>
    </row>
    <row r="162" spans="4:5" ht="14.25" customHeight="1">
      <c r="D162" s="2"/>
      <c r="E162" s="2"/>
    </row>
    <row r="163" spans="4:5" ht="14.25" customHeight="1">
      <c r="D163" s="2"/>
      <c r="E163" s="2"/>
    </row>
    <row r="164" spans="4:5" ht="14.25" customHeight="1">
      <c r="D164" s="2"/>
      <c r="E164" s="2"/>
    </row>
    <row r="165" spans="4:5" ht="14.25" customHeight="1">
      <c r="D165" s="2"/>
      <c r="E165" s="2"/>
    </row>
    <row r="166" spans="4:5" ht="14.25" customHeight="1">
      <c r="D166" s="2"/>
      <c r="E166" s="2"/>
    </row>
    <row r="167" spans="4:5" ht="14.25" customHeight="1">
      <c r="D167" s="2"/>
      <c r="E167" s="2"/>
    </row>
    <row r="168" spans="4:5" ht="14.25" customHeight="1">
      <c r="D168" s="2"/>
      <c r="E168" s="2"/>
    </row>
    <row r="169" spans="4:5" ht="14.25" customHeight="1">
      <c r="D169" s="2"/>
      <c r="E169" s="2"/>
    </row>
    <row r="170" spans="4:5" ht="14.25" customHeight="1">
      <c r="D170" s="2"/>
      <c r="E170" s="2"/>
    </row>
    <row r="171" spans="4:5" ht="14.25" customHeight="1">
      <c r="D171" s="2"/>
      <c r="E171" s="2"/>
    </row>
    <row r="172" spans="4:5" ht="14.25" customHeight="1">
      <c r="D172" s="2"/>
      <c r="E172" s="2"/>
    </row>
    <row r="173" spans="4:5" ht="14.25" customHeight="1">
      <c r="D173" s="2"/>
      <c r="E173" s="2"/>
    </row>
    <row r="174" spans="4:5" ht="14.25" customHeight="1">
      <c r="D174" s="2"/>
      <c r="E174" s="2"/>
    </row>
    <row r="175" spans="4:5" ht="14.25" customHeight="1">
      <c r="D175" s="2"/>
      <c r="E175" s="2"/>
    </row>
    <row r="176" spans="4:5" ht="14.25" customHeight="1">
      <c r="D176" s="2"/>
      <c r="E176" s="2"/>
    </row>
    <row r="177" spans="4:5" ht="14.25" customHeight="1">
      <c r="D177" s="2"/>
      <c r="E177" s="2"/>
    </row>
    <row r="178" spans="4:5" ht="14.25" customHeight="1">
      <c r="D178" s="2"/>
      <c r="E178" s="2"/>
    </row>
    <row r="179" spans="4:5" ht="14.25" customHeight="1">
      <c r="D179" s="2"/>
      <c r="E179" s="2"/>
    </row>
    <row r="180" spans="4:5" ht="14.25" customHeight="1">
      <c r="D180" s="2"/>
      <c r="E180" s="2"/>
    </row>
    <row r="181" spans="4:5" ht="14.25" customHeight="1">
      <c r="D181" s="2"/>
      <c r="E181" s="2"/>
    </row>
    <row r="182" spans="4:5" ht="14.25" customHeight="1">
      <c r="D182" s="2"/>
      <c r="E182" s="2"/>
    </row>
    <row r="183" spans="4:5" ht="14.25" customHeight="1">
      <c r="D183" s="2"/>
      <c r="E183" s="2"/>
    </row>
    <row r="184" spans="4:5" ht="14.25" customHeight="1">
      <c r="D184" s="2"/>
      <c r="E184" s="2"/>
    </row>
    <row r="185" spans="4:5" ht="14.25" customHeight="1">
      <c r="D185" s="2"/>
      <c r="E185" s="2"/>
    </row>
    <row r="186" spans="4:5" ht="14.25" customHeight="1">
      <c r="D186" s="2"/>
      <c r="E186" s="2"/>
    </row>
    <row r="187" spans="4:5" ht="14.25" customHeight="1">
      <c r="D187" s="2"/>
      <c r="E187" s="2"/>
    </row>
    <row r="188" spans="4:5" ht="14.25" customHeight="1">
      <c r="D188" s="2"/>
      <c r="E188" s="2"/>
    </row>
    <row r="189" spans="4:5" ht="14.25" customHeight="1">
      <c r="D189" s="2"/>
      <c r="E189" s="2"/>
    </row>
    <row r="190" spans="4:5" ht="14.25" customHeight="1">
      <c r="D190" s="2"/>
      <c r="E190" s="2"/>
    </row>
    <row r="191" spans="4:5" ht="14.25" customHeight="1">
      <c r="D191" s="2"/>
      <c r="E191" s="2"/>
    </row>
    <row r="192" spans="4:5" ht="14.25" customHeight="1">
      <c r="D192" s="2"/>
      <c r="E192" s="2"/>
    </row>
    <row r="193" spans="4:5" ht="14.25" customHeight="1">
      <c r="D193" s="2"/>
      <c r="E193" s="2"/>
    </row>
    <row r="194" spans="4:5" ht="14.25" customHeight="1">
      <c r="D194" s="2"/>
      <c r="E194" s="2"/>
    </row>
    <row r="195" spans="4:5" ht="14.25" customHeight="1">
      <c r="D195" s="2"/>
      <c r="E195" s="2"/>
    </row>
    <row r="196" spans="4:5" ht="14.25" customHeight="1">
      <c r="D196" s="2"/>
      <c r="E196" s="2"/>
    </row>
    <row r="197" spans="4:5" ht="14.25" customHeight="1">
      <c r="D197" s="2"/>
      <c r="E197" s="2"/>
    </row>
    <row r="198" spans="4:5" ht="14.25" customHeight="1">
      <c r="D198" s="2"/>
      <c r="E198" s="2"/>
    </row>
    <row r="199" spans="4:5" ht="14.25" customHeight="1">
      <c r="D199" s="2"/>
      <c r="E199" s="2"/>
    </row>
    <row r="200" spans="4:5" ht="14.25" customHeight="1">
      <c r="D200" s="2"/>
      <c r="E200" s="2"/>
    </row>
    <row r="201" spans="4:5" ht="14.25" customHeight="1">
      <c r="D201" s="2"/>
      <c r="E201" s="2"/>
    </row>
    <row r="202" spans="4:5" ht="14.25" customHeight="1">
      <c r="D202" s="2"/>
      <c r="E202" s="2"/>
    </row>
    <row r="203" spans="4:5" ht="14.25" customHeight="1">
      <c r="D203" s="2"/>
      <c r="E203" s="2"/>
    </row>
    <row r="204" spans="4:5" ht="14.25" customHeight="1">
      <c r="D204" s="2"/>
      <c r="E204" s="2"/>
    </row>
    <row r="205" spans="4:5" ht="14.25" customHeight="1">
      <c r="D205" s="2"/>
      <c r="E205" s="2"/>
    </row>
    <row r="206" spans="4:5" ht="14.25" customHeight="1">
      <c r="D206" s="2"/>
      <c r="E206" s="2"/>
    </row>
    <row r="207" spans="4:5" ht="14.25" customHeight="1">
      <c r="D207" s="2"/>
      <c r="E207" s="2"/>
    </row>
    <row r="208" spans="4:5" ht="14.25" customHeight="1">
      <c r="D208" s="2"/>
      <c r="E208" s="2"/>
    </row>
    <row r="209" spans="4:5" ht="14.25" customHeight="1">
      <c r="D209" s="2"/>
      <c r="E209" s="2"/>
    </row>
    <row r="210" spans="4:5" ht="14.25" customHeight="1">
      <c r="D210" s="2"/>
      <c r="E210" s="2"/>
    </row>
    <row r="211" spans="4:5" ht="14.25" customHeight="1">
      <c r="D211" s="2"/>
      <c r="E211" s="2"/>
    </row>
    <row r="212" spans="4:5" ht="14.25" customHeight="1">
      <c r="D212" s="2"/>
      <c r="E212" s="2"/>
    </row>
    <row r="213" spans="4:5" ht="14.25" customHeight="1">
      <c r="D213" s="2"/>
      <c r="E213" s="2"/>
    </row>
    <row r="214" spans="4:5" ht="14.25" customHeight="1">
      <c r="D214" s="2"/>
      <c r="E214" s="2"/>
    </row>
    <row r="215" spans="4:5" ht="14.25" customHeight="1">
      <c r="D215" s="2"/>
      <c r="E215" s="2"/>
    </row>
    <row r="216" spans="4:5" ht="14.25" customHeight="1">
      <c r="D216" s="2"/>
      <c r="E216" s="2"/>
    </row>
    <row r="217" spans="4:5" ht="14.25" customHeight="1">
      <c r="D217" s="2"/>
      <c r="E217" s="2"/>
    </row>
    <row r="218" spans="4:5" ht="14.25" customHeight="1">
      <c r="D218" s="2"/>
      <c r="E218" s="2"/>
    </row>
    <row r="219" spans="4:5" ht="14.25" customHeight="1">
      <c r="D219" s="2"/>
      <c r="E219" s="2"/>
    </row>
    <row r="220" spans="4:5" ht="14.25" customHeight="1">
      <c r="D220" s="2"/>
      <c r="E220" s="2"/>
    </row>
    <row r="221" spans="4:5" ht="14.25" customHeight="1">
      <c r="D221" s="2"/>
      <c r="E221" s="2"/>
    </row>
    <row r="222" spans="4:5" ht="14.25" customHeight="1">
      <c r="D222" s="2"/>
      <c r="E222" s="2"/>
    </row>
    <row r="223" spans="4:5" ht="14.25" customHeight="1">
      <c r="D223" s="2"/>
      <c r="E223" s="2"/>
    </row>
    <row r="224" spans="4:5" ht="14.25" customHeight="1">
      <c r="D224" s="2"/>
      <c r="E224" s="2"/>
    </row>
    <row r="225" spans="4:5" ht="14.25" customHeight="1">
      <c r="D225" s="2"/>
      <c r="E225" s="2"/>
    </row>
    <row r="226" spans="4:5" ht="14.25" customHeight="1">
      <c r="D226" s="2"/>
      <c r="E226" s="2"/>
    </row>
    <row r="227" spans="4:5" ht="14.25" customHeight="1">
      <c r="D227" s="2"/>
      <c r="E227" s="2"/>
    </row>
    <row r="228" spans="4:5" ht="14.25" customHeight="1">
      <c r="D228" s="2"/>
      <c r="E228" s="2"/>
    </row>
    <row r="229" spans="4:5" ht="14.25" customHeight="1">
      <c r="D229" s="2"/>
      <c r="E229" s="2"/>
    </row>
    <row r="230" spans="4:5" ht="14.25" customHeight="1">
      <c r="D230" s="2"/>
      <c r="E230" s="2"/>
    </row>
    <row r="231" spans="4:5" ht="14.25" customHeight="1">
      <c r="D231" s="2"/>
      <c r="E231" s="2"/>
    </row>
    <row r="232" spans="4:5" ht="14.25" customHeight="1">
      <c r="D232" s="2"/>
      <c r="E232" s="2"/>
    </row>
    <row r="233" spans="4:5" ht="14.25" customHeight="1">
      <c r="D233" s="2"/>
      <c r="E233" s="2"/>
    </row>
    <row r="234" spans="4:5" ht="14.25" customHeight="1">
      <c r="D234" s="2"/>
      <c r="E234" s="2"/>
    </row>
    <row r="235" spans="4:5" ht="14.25" customHeight="1">
      <c r="D235" s="2"/>
      <c r="E235" s="2"/>
    </row>
    <row r="236" spans="4:5" ht="14.25" customHeight="1">
      <c r="D236" s="2"/>
      <c r="E236" s="2"/>
    </row>
    <row r="237" spans="4:5" ht="14.25" customHeight="1">
      <c r="D237" s="2"/>
      <c r="E237" s="2"/>
    </row>
    <row r="238" spans="4:5" ht="14.25" customHeight="1">
      <c r="D238" s="2"/>
      <c r="E238" s="2"/>
    </row>
    <row r="239" spans="4:5" ht="14.25" customHeight="1">
      <c r="D239" s="2"/>
      <c r="E239" s="2"/>
    </row>
    <row r="240" spans="4:5" ht="14.25" customHeight="1">
      <c r="D240" s="2"/>
      <c r="E240" s="2"/>
    </row>
    <row r="241" spans="4:5" ht="14.25" customHeight="1">
      <c r="D241" s="2"/>
      <c r="E241" s="2"/>
    </row>
    <row r="242" spans="4:5" ht="14.25" customHeight="1">
      <c r="D242" s="2"/>
      <c r="E242" s="2"/>
    </row>
    <row r="243" spans="4:5" ht="14.25" customHeight="1">
      <c r="D243" s="2"/>
      <c r="E243" s="2"/>
    </row>
    <row r="244" spans="4:5" ht="14.25" customHeight="1">
      <c r="D244" s="2"/>
      <c r="E244" s="2"/>
    </row>
    <row r="245" spans="4:5" ht="14.25" customHeight="1">
      <c r="D245" s="2"/>
      <c r="E245" s="2"/>
    </row>
    <row r="246" spans="4:5" ht="14.25" customHeight="1">
      <c r="D246" s="2"/>
      <c r="E246" s="2"/>
    </row>
    <row r="247" spans="4:5" ht="14.25" customHeight="1">
      <c r="D247" s="2"/>
      <c r="E247" s="2"/>
    </row>
    <row r="248" spans="4:5" ht="14.25" customHeight="1">
      <c r="D248" s="2"/>
      <c r="E248" s="2"/>
    </row>
    <row r="249" spans="4:5" ht="14.25" customHeight="1">
      <c r="D249" s="2"/>
      <c r="E249" s="2"/>
    </row>
    <row r="250" spans="4:5" ht="14.25" customHeight="1">
      <c r="D250" s="2"/>
      <c r="E250" s="2"/>
    </row>
    <row r="251" spans="4:5" ht="14.25" customHeight="1">
      <c r="D251" s="2"/>
      <c r="E251" s="2"/>
    </row>
    <row r="252" spans="4:5" ht="14.25" customHeight="1">
      <c r="D252" s="2"/>
      <c r="E252" s="2"/>
    </row>
    <row r="253" spans="4:5" ht="14.25" customHeight="1">
      <c r="D253" s="2"/>
      <c r="E253" s="2"/>
    </row>
    <row r="254" spans="4:5" ht="14.25" customHeight="1">
      <c r="D254" s="2"/>
      <c r="E254" s="2"/>
    </row>
    <row r="255" spans="4:5" ht="14.25" customHeight="1">
      <c r="D255" s="2"/>
      <c r="E255" s="2"/>
    </row>
    <row r="256" spans="4:5" ht="14.25" customHeight="1">
      <c r="D256" s="2"/>
      <c r="E256" s="2"/>
    </row>
    <row r="257" spans="4:5" ht="14.25" customHeight="1">
      <c r="D257" s="2"/>
      <c r="E257" s="2"/>
    </row>
    <row r="258" spans="4:5" ht="14.25" customHeight="1">
      <c r="D258" s="2"/>
      <c r="E258" s="2"/>
    </row>
    <row r="259" spans="4:5" ht="14.25" customHeight="1">
      <c r="D259" s="2"/>
      <c r="E259" s="2"/>
    </row>
    <row r="260" spans="4:5" ht="14.25" customHeight="1">
      <c r="D260" s="2"/>
      <c r="E260" s="2"/>
    </row>
    <row r="261" spans="4:5" ht="14.25" customHeight="1">
      <c r="D261" s="2"/>
      <c r="E261" s="2"/>
    </row>
    <row r="262" spans="4:5" ht="14.25" customHeight="1">
      <c r="D262" s="2"/>
      <c r="E262" s="2"/>
    </row>
    <row r="263" spans="4:5" ht="14.25" customHeight="1">
      <c r="D263" s="2"/>
      <c r="E263" s="2"/>
    </row>
    <row r="264" spans="4:5" ht="14.25" customHeight="1">
      <c r="D264" s="2"/>
      <c r="E264" s="2"/>
    </row>
    <row r="265" spans="4:5" ht="14.25" customHeight="1">
      <c r="D265" s="2"/>
      <c r="E265" s="2"/>
    </row>
    <row r="266" spans="4:5" ht="14.25" customHeight="1">
      <c r="D266" s="2"/>
      <c r="E266" s="2"/>
    </row>
    <row r="267" spans="4:5" ht="14.25" customHeight="1">
      <c r="D267" s="2"/>
      <c r="E267" s="2"/>
    </row>
    <row r="268" spans="4:5" ht="14.25" customHeight="1">
      <c r="D268" s="2"/>
      <c r="E268" s="2"/>
    </row>
    <row r="269" spans="4:5" ht="14.25" customHeight="1">
      <c r="D269" s="2"/>
      <c r="E269" s="2"/>
    </row>
    <row r="270" spans="4:5" ht="14.25" customHeight="1">
      <c r="D270" s="2"/>
      <c r="E270" s="2"/>
    </row>
    <row r="271" spans="4:5" ht="14.25" customHeight="1">
      <c r="D271" s="2"/>
      <c r="E271" s="2"/>
    </row>
    <row r="272" spans="4:5" ht="14.25" customHeight="1">
      <c r="D272" s="2"/>
      <c r="E272" s="2"/>
    </row>
    <row r="273" spans="4:5" ht="14.25" customHeight="1">
      <c r="D273" s="2"/>
      <c r="E273" s="2"/>
    </row>
    <row r="274" spans="4:5" ht="14.25" customHeight="1">
      <c r="D274" s="2"/>
      <c r="E274" s="2"/>
    </row>
    <row r="275" spans="4:5" ht="14.25" customHeight="1">
      <c r="D275" s="2"/>
      <c r="E275" s="2"/>
    </row>
    <row r="276" spans="4:5" ht="14.25" customHeight="1">
      <c r="D276" s="2"/>
      <c r="E276" s="2"/>
    </row>
    <row r="277" spans="4:5" ht="14.25" customHeight="1">
      <c r="D277" s="2"/>
      <c r="E277" s="2"/>
    </row>
    <row r="278" spans="4:5" ht="14.25" customHeight="1">
      <c r="D278" s="2"/>
      <c r="E278" s="2"/>
    </row>
    <row r="279" spans="4:5" ht="14.25" customHeight="1">
      <c r="D279" s="2"/>
      <c r="E279" s="2"/>
    </row>
    <row r="280" spans="4:5" ht="14.25" customHeight="1">
      <c r="D280" s="2"/>
      <c r="E280" s="2"/>
    </row>
    <row r="281" spans="4:5" ht="14.25" customHeight="1">
      <c r="D281" s="2"/>
      <c r="E281" s="2"/>
    </row>
    <row r="282" spans="4:5" ht="14.25" customHeight="1">
      <c r="D282" s="2"/>
      <c r="E282" s="2"/>
    </row>
    <row r="283" spans="4:5" ht="14.25" customHeight="1">
      <c r="D283" s="2"/>
      <c r="E283" s="2"/>
    </row>
    <row r="284" spans="4:5" ht="14.25" customHeight="1">
      <c r="D284" s="2"/>
      <c r="E284" s="2"/>
    </row>
    <row r="285" spans="4:5" ht="14.25" customHeight="1">
      <c r="D285" s="2"/>
      <c r="E285" s="2"/>
    </row>
    <row r="286" spans="4:5" ht="14.25" customHeight="1">
      <c r="D286" s="2"/>
      <c r="E286" s="2"/>
    </row>
    <row r="287" spans="4:5" ht="14.25" customHeight="1">
      <c r="D287" s="2"/>
      <c r="E287" s="2"/>
    </row>
    <row r="288" spans="4:5" ht="14.25" customHeight="1">
      <c r="D288" s="2"/>
      <c r="E288" s="2"/>
    </row>
    <row r="289" spans="4:5" ht="14.25" customHeight="1">
      <c r="D289" s="2"/>
      <c r="E289" s="2"/>
    </row>
    <row r="290" spans="4:5" ht="14.25" customHeight="1">
      <c r="D290" s="2"/>
      <c r="E290" s="2"/>
    </row>
    <row r="291" spans="4:5" ht="14.25" customHeight="1">
      <c r="D291" s="2"/>
      <c r="E291" s="2"/>
    </row>
    <row r="292" spans="4:5" ht="14.25" customHeight="1">
      <c r="D292" s="2"/>
      <c r="E292" s="2"/>
    </row>
    <row r="293" spans="4:5" ht="14.25" customHeight="1">
      <c r="D293" s="2"/>
      <c r="E293" s="2"/>
    </row>
    <row r="294" spans="4:5" ht="14.25" customHeight="1">
      <c r="D294" s="2"/>
      <c r="E294" s="2"/>
    </row>
    <row r="295" spans="4:5" ht="14.25" customHeight="1">
      <c r="D295" s="2"/>
      <c r="E295" s="2"/>
    </row>
    <row r="296" spans="4:5" ht="14.25" customHeight="1">
      <c r="D296" s="2"/>
      <c r="E296" s="2"/>
    </row>
    <row r="297" spans="4:5" ht="14.25" customHeight="1">
      <c r="D297" s="2"/>
      <c r="E297" s="2"/>
    </row>
    <row r="298" spans="4:5" ht="14.25" customHeight="1">
      <c r="D298" s="2"/>
      <c r="E298" s="2"/>
    </row>
    <row r="299" spans="4:5" ht="14.25" customHeight="1">
      <c r="D299" s="2"/>
      <c r="E299" s="2"/>
    </row>
    <row r="300" spans="4:5" ht="14.25" customHeight="1">
      <c r="D300" s="2"/>
      <c r="E300" s="2"/>
    </row>
    <row r="301" spans="4:5" ht="14.25" customHeight="1">
      <c r="D301" s="2"/>
      <c r="E301" s="2"/>
    </row>
    <row r="302" spans="4:5" ht="14.25" customHeight="1">
      <c r="D302" s="2"/>
      <c r="E302" s="2"/>
    </row>
    <row r="303" spans="4:5" ht="14.25" customHeight="1">
      <c r="D303" s="2"/>
      <c r="E303" s="2"/>
    </row>
    <row r="304" spans="4:5" ht="14.25" customHeight="1">
      <c r="D304" s="2"/>
      <c r="E304" s="2"/>
    </row>
    <row r="305" spans="4:5" ht="14.25" customHeight="1">
      <c r="D305" s="2"/>
      <c r="E305" s="2"/>
    </row>
    <row r="306" spans="4:5" ht="14.25" customHeight="1">
      <c r="D306" s="2"/>
      <c r="E306" s="2"/>
    </row>
    <row r="307" spans="4:5" ht="14.25" customHeight="1">
      <c r="D307" s="2"/>
      <c r="E307" s="2"/>
    </row>
    <row r="308" spans="4:5" ht="14.25" customHeight="1">
      <c r="D308" s="2"/>
      <c r="E308" s="2"/>
    </row>
    <row r="309" spans="4:5" ht="14.25" customHeight="1">
      <c r="D309" s="2"/>
      <c r="E309" s="2"/>
    </row>
    <row r="310" spans="4:5" ht="14.25" customHeight="1">
      <c r="D310" s="2"/>
      <c r="E310" s="2"/>
    </row>
    <row r="311" spans="4:5" ht="14.25" customHeight="1">
      <c r="D311" s="2"/>
      <c r="E311" s="2"/>
    </row>
    <row r="312" spans="4:5" ht="14.25" customHeight="1">
      <c r="D312" s="2"/>
      <c r="E312" s="2"/>
    </row>
    <row r="313" spans="4:5" ht="14.25" customHeight="1">
      <c r="D313" s="2"/>
      <c r="E313" s="2"/>
    </row>
    <row r="314" spans="4:5" ht="14.25" customHeight="1">
      <c r="D314" s="2"/>
      <c r="E314" s="2"/>
    </row>
    <row r="315" spans="4:5" ht="14.25" customHeight="1">
      <c r="D315" s="2"/>
      <c r="E315" s="2"/>
    </row>
    <row r="316" spans="4:5" ht="14.25" customHeight="1">
      <c r="D316" s="2"/>
      <c r="E316" s="2"/>
    </row>
    <row r="317" spans="4:5" ht="14.25" customHeight="1">
      <c r="D317" s="2"/>
      <c r="E317" s="2"/>
    </row>
    <row r="318" spans="4:5" ht="14.25" customHeight="1">
      <c r="D318" s="2"/>
      <c r="E318" s="2"/>
    </row>
    <row r="319" spans="4:5" ht="14.25" customHeight="1">
      <c r="D319" s="2"/>
      <c r="E319" s="2"/>
    </row>
    <row r="320" spans="4:5" ht="14.25" customHeight="1">
      <c r="D320" s="2"/>
      <c r="E320" s="2"/>
    </row>
    <row r="321" spans="4:5" ht="14.25" customHeight="1">
      <c r="D321" s="2"/>
      <c r="E321" s="2"/>
    </row>
    <row r="322" spans="4:5" ht="14.25" customHeight="1">
      <c r="D322" s="2"/>
      <c r="E322" s="2"/>
    </row>
    <row r="323" spans="4:5" ht="14.25" customHeight="1">
      <c r="D323" s="2"/>
      <c r="E323" s="2"/>
    </row>
    <row r="324" spans="4:5" ht="14.25" customHeight="1">
      <c r="D324" s="2"/>
      <c r="E324" s="2"/>
    </row>
    <row r="325" spans="4:5" ht="14.25" customHeight="1">
      <c r="D325" s="2"/>
      <c r="E325" s="2"/>
    </row>
    <row r="326" spans="4:5" ht="14.25" customHeight="1">
      <c r="D326" s="2"/>
      <c r="E326" s="2"/>
    </row>
    <row r="327" spans="4:5" ht="14.25" customHeight="1">
      <c r="D327" s="2"/>
      <c r="E327" s="2"/>
    </row>
    <row r="328" spans="4:5" ht="14.25" customHeight="1">
      <c r="D328" s="2"/>
      <c r="E328" s="2"/>
    </row>
    <row r="329" spans="4:5" ht="14.25" customHeight="1">
      <c r="D329" s="2"/>
      <c r="E329" s="2"/>
    </row>
    <row r="330" spans="4:5" ht="14.25" customHeight="1">
      <c r="D330" s="2"/>
      <c r="E330" s="2"/>
    </row>
    <row r="331" spans="4:5" ht="14.25" customHeight="1">
      <c r="D331" s="2"/>
      <c r="E331" s="2"/>
    </row>
    <row r="332" spans="4:5" ht="14.25" customHeight="1">
      <c r="D332" s="2"/>
      <c r="E332" s="2"/>
    </row>
    <row r="333" spans="4:5" ht="14.25" customHeight="1">
      <c r="D333" s="2"/>
      <c r="E333" s="2"/>
    </row>
    <row r="334" spans="4:5" ht="14.25" customHeight="1">
      <c r="D334" s="2"/>
      <c r="E334" s="2"/>
    </row>
    <row r="335" spans="4:5" ht="14.25" customHeight="1">
      <c r="D335" s="2"/>
      <c r="E335" s="2"/>
    </row>
    <row r="336" spans="4:5" ht="14.25" customHeight="1">
      <c r="D336" s="2"/>
      <c r="E336" s="2"/>
    </row>
    <row r="337" spans="4:5" ht="14.25" customHeight="1">
      <c r="D337" s="2"/>
      <c r="E337" s="2"/>
    </row>
    <row r="338" spans="4:5" ht="14.25" customHeight="1">
      <c r="D338" s="2"/>
      <c r="E338" s="2"/>
    </row>
    <row r="339" spans="4:5" ht="14.25" customHeight="1">
      <c r="D339" s="2"/>
      <c r="E339" s="2"/>
    </row>
    <row r="340" spans="4:5" ht="14.25" customHeight="1">
      <c r="D340" s="2"/>
      <c r="E340" s="2"/>
    </row>
    <row r="341" spans="4:5" ht="14.25" customHeight="1">
      <c r="D341" s="2"/>
      <c r="E341" s="2"/>
    </row>
    <row r="342" spans="4:5" ht="14.25" customHeight="1">
      <c r="D342" s="2"/>
      <c r="E342" s="2"/>
    </row>
    <row r="343" spans="4:5" ht="14.25" customHeight="1">
      <c r="D343" s="2"/>
      <c r="E343" s="2"/>
    </row>
    <row r="344" spans="4:5" ht="14.25" customHeight="1">
      <c r="D344" s="2"/>
      <c r="E344" s="2"/>
    </row>
    <row r="345" spans="4:5" ht="14.25" customHeight="1">
      <c r="D345" s="2"/>
      <c r="E345" s="2"/>
    </row>
    <row r="346" spans="4:5" ht="14.25" customHeight="1">
      <c r="D346" s="2"/>
      <c r="E346" s="2"/>
    </row>
    <row r="347" spans="4:5" ht="14.25" customHeight="1">
      <c r="D347" s="2"/>
      <c r="E347" s="2"/>
    </row>
    <row r="348" spans="4:5" ht="14.25" customHeight="1">
      <c r="D348" s="2"/>
      <c r="E348" s="2"/>
    </row>
    <row r="349" spans="4:5" ht="14.25" customHeight="1">
      <c r="D349" s="2"/>
      <c r="E349" s="2"/>
    </row>
    <row r="350" spans="4:5" ht="14.25" customHeight="1">
      <c r="D350" s="2"/>
      <c r="E350" s="2"/>
    </row>
    <row r="351" spans="4:5" ht="14.25" customHeight="1">
      <c r="D351" s="2"/>
      <c r="E351" s="2"/>
    </row>
    <row r="352" spans="4:5" ht="14.25" customHeight="1">
      <c r="D352" s="2"/>
      <c r="E352" s="2"/>
    </row>
    <row r="353" spans="4:5" ht="14.25" customHeight="1">
      <c r="D353" s="2"/>
      <c r="E353" s="2"/>
    </row>
    <row r="354" spans="4:5" ht="14.25" customHeight="1">
      <c r="D354" s="2"/>
      <c r="E354" s="2"/>
    </row>
    <row r="355" spans="4:5" ht="14.25" customHeight="1">
      <c r="D355" s="2"/>
      <c r="E355" s="2"/>
    </row>
    <row r="356" spans="4:5" ht="14.25" customHeight="1">
      <c r="D356" s="2"/>
      <c r="E356" s="2"/>
    </row>
    <row r="357" spans="4:5" ht="14.25" customHeight="1">
      <c r="D357" s="2"/>
      <c r="E357" s="2"/>
    </row>
    <row r="358" spans="4:5" ht="14.25" customHeight="1">
      <c r="D358" s="2"/>
      <c r="E358" s="2"/>
    </row>
    <row r="359" spans="4:5" ht="14.25" customHeight="1">
      <c r="D359" s="2"/>
      <c r="E359" s="2"/>
    </row>
    <row r="360" spans="4:5" ht="14.25" customHeight="1">
      <c r="D360" s="2"/>
      <c r="E360" s="2"/>
    </row>
    <row r="361" spans="4:5" ht="14.25" customHeight="1">
      <c r="D361" s="2"/>
      <c r="E361" s="2"/>
    </row>
    <row r="362" spans="4:5" ht="14.25" customHeight="1">
      <c r="D362" s="2"/>
      <c r="E362" s="2"/>
    </row>
    <row r="363" spans="4:5" ht="14.25" customHeight="1">
      <c r="D363" s="2"/>
      <c r="E363" s="2"/>
    </row>
    <row r="364" spans="4:5" ht="14.25" customHeight="1">
      <c r="D364" s="2"/>
      <c r="E364" s="2"/>
    </row>
    <row r="365" spans="4:5" ht="14.25" customHeight="1">
      <c r="D365" s="2"/>
      <c r="E365" s="2"/>
    </row>
    <row r="366" spans="4:5" ht="14.25" customHeight="1">
      <c r="D366" s="2"/>
      <c r="E366" s="2"/>
    </row>
    <row r="367" spans="4:5" ht="14.25" customHeight="1">
      <c r="D367" s="2"/>
      <c r="E367" s="2"/>
    </row>
    <row r="368" spans="4:5" ht="14.25" customHeight="1">
      <c r="D368" s="2"/>
      <c r="E368" s="2"/>
    </row>
    <row r="369" spans="4:5" ht="14.25" customHeight="1">
      <c r="D369" s="2"/>
      <c r="E369" s="2"/>
    </row>
    <row r="370" spans="4:5" ht="14.25" customHeight="1">
      <c r="D370" s="2"/>
      <c r="E370" s="2"/>
    </row>
    <row r="371" spans="4:5" ht="14.25" customHeight="1">
      <c r="D371" s="2"/>
      <c r="E371" s="2"/>
    </row>
    <row r="372" spans="4:5" ht="14.25" customHeight="1">
      <c r="D372" s="2"/>
      <c r="E372" s="2"/>
    </row>
    <row r="373" spans="4:5" ht="14.25" customHeight="1">
      <c r="D373" s="2"/>
      <c r="E373" s="2"/>
    </row>
    <row r="374" spans="4:5" ht="14.25" customHeight="1">
      <c r="D374" s="2"/>
      <c r="E374" s="2"/>
    </row>
    <row r="375" spans="4:5" ht="14.25" customHeight="1">
      <c r="D375" s="2"/>
      <c r="E375" s="2"/>
    </row>
    <row r="376" spans="4:5" ht="14.25" customHeight="1">
      <c r="D376" s="2"/>
      <c r="E376" s="2"/>
    </row>
    <row r="377" spans="4:5" ht="14.25" customHeight="1">
      <c r="D377" s="2"/>
      <c r="E377" s="2"/>
    </row>
    <row r="378" spans="4:5" ht="14.25" customHeight="1">
      <c r="D378" s="2"/>
      <c r="E378" s="2"/>
    </row>
    <row r="379" spans="4:5" ht="14.25" customHeight="1">
      <c r="D379" s="2"/>
      <c r="E379" s="2"/>
    </row>
    <row r="380" spans="4:5" ht="14.25" customHeight="1">
      <c r="D380" s="2"/>
      <c r="E380" s="2"/>
    </row>
    <row r="381" spans="4:5" ht="14.25" customHeight="1">
      <c r="D381" s="2"/>
      <c r="E381" s="2"/>
    </row>
    <row r="382" spans="4:5" ht="14.25" customHeight="1">
      <c r="D382" s="2"/>
      <c r="E382" s="2"/>
    </row>
    <row r="383" spans="4:5" ht="14.25" customHeight="1">
      <c r="D383" s="2"/>
      <c r="E383" s="2"/>
    </row>
    <row r="384" spans="4:5" ht="14.25" customHeight="1">
      <c r="D384" s="2"/>
      <c r="E384" s="2"/>
    </row>
    <row r="385" spans="4:5" ht="14.25" customHeight="1">
      <c r="D385" s="2"/>
      <c r="E385" s="2"/>
    </row>
    <row r="386" spans="4:5" ht="14.25" customHeight="1">
      <c r="D386" s="2"/>
      <c r="E386" s="2"/>
    </row>
    <row r="387" spans="4:5" ht="14.25" customHeight="1">
      <c r="D387" s="2"/>
      <c r="E387" s="2"/>
    </row>
    <row r="388" spans="4:5" ht="14.25" customHeight="1">
      <c r="D388" s="2"/>
      <c r="E388" s="2"/>
    </row>
    <row r="389" spans="4:5" ht="14.25" customHeight="1">
      <c r="D389" s="2"/>
      <c r="E389" s="2"/>
    </row>
    <row r="390" spans="4:5" ht="14.25" customHeight="1">
      <c r="D390" s="2"/>
      <c r="E390" s="2"/>
    </row>
    <row r="391" spans="4:5" ht="14.25" customHeight="1">
      <c r="D391" s="2"/>
      <c r="E391" s="2"/>
    </row>
    <row r="392" spans="4:5" ht="14.25" customHeight="1">
      <c r="D392" s="2"/>
      <c r="E392" s="2"/>
    </row>
    <row r="393" spans="4:5" ht="14.25" customHeight="1">
      <c r="D393" s="2"/>
      <c r="E393" s="2"/>
    </row>
    <row r="394" spans="4:5" ht="14.25" customHeight="1">
      <c r="D394" s="2"/>
      <c r="E394" s="2"/>
    </row>
    <row r="395" spans="4:5" ht="14.25" customHeight="1">
      <c r="D395" s="2"/>
      <c r="E395" s="2"/>
    </row>
    <row r="396" spans="4:5" ht="14.25" customHeight="1">
      <c r="D396" s="2"/>
      <c r="E396" s="2"/>
    </row>
    <row r="397" spans="4:5" ht="14.25" customHeight="1">
      <c r="D397" s="2"/>
      <c r="E397" s="2"/>
    </row>
    <row r="398" spans="4:5" ht="14.25" customHeight="1">
      <c r="D398" s="2"/>
      <c r="E398" s="2"/>
    </row>
    <row r="399" spans="4:5" ht="14.25" customHeight="1">
      <c r="D399" s="2"/>
      <c r="E399" s="2"/>
    </row>
    <row r="400" spans="4:5" ht="14.25" customHeight="1">
      <c r="D400" s="2"/>
      <c r="E400" s="2"/>
    </row>
    <row r="401" spans="4:5" ht="14.25" customHeight="1">
      <c r="D401" s="2"/>
      <c r="E401" s="2"/>
    </row>
    <row r="402" spans="4:5" ht="14.25" customHeight="1">
      <c r="D402" s="2"/>
      <c r="E402" s="2"/>
    </row>
    <row r="403" spans="4:5" ht="14.25" customHeight="1">
      <c r="D403" s="2"/>
      <c r="E403" s="2"/>
    </row>
    <row r="404" spans="4:5" ht="14.25" customHeight="1">
      <c r="D404" s="2"/>
      <c r="E404" s="2"/>
    </row>
    <row r="405" spans="4:5" ht="14.25" customHeight="1">
      <c r="D405" s="2"/>
      <c r="E405" s="2"/>
    </row>
    <row r="406" spans="4:5" ht="14.25" customHeight="1">
      <c r="D406" s="2"/>
      <c r="E406" s="2"/>
    </row>
    <row r="407" spans="4:5" ht="14.25" customHeight="1">
      <c r="D407" s="2"/>
      <c r="E407" s="2"/>
    </row>
    <row r="408" spans="4:5" ht="14.25" customHeight="1">
      <c r="D408" s="2"/>
      <c r="E408" s="2"/>
    </row>
    <row r="409" spans="4:5" ht="14.25" customHeight="1">
      <c r="D409" s="2"/>
      <c r="E409" s="2"/>
    </row>
    <row r="410" spans="4:5" ht="14.25" customHeight="1">
      <c r="D410" s="2"/>
      <c r="E410" s="2"/>
    </row>
    <row r="411" spans="4:5" ht="14.25" customHeight="1">
      <c r="D411" s="2"/>
      <c r="E411" s="2"/>
    </row>
    <row r="412" spans="4:5" ht="14.25" customHeight="1">
      <c r="D412" s="2"/>
      <c r="E412" s="2"/>
    </row>
    <row r="413" spans="4:5" ht="14.25" customHeight="1">
      <c r="D413" s="2"/>
      <c r="E413" s="2"/>
    </row>
    <row r="414" spans="4:5" ht="14.25" customHeight="1">
      <c r="D414" s="2"/>
      <c r="E414" s="2"/>
    </row>
    <row r="415" spans="4:5" ht="14.25" customHeight="1">
      <c r="D415" s="2"/>
      <c r="E415" s="2"/>
    </row>
    <row r="416" spans="4:5" ht="14.25" customHeight="1">
      <c r="D416" s="2"/>
      <c r="E416" s="2"/>
    </row>
    <row r="417" spans="4:5" ht="14.25" customHeight="1">
      <c r="D417" s="2"/>
      <c r="E417" s="2"/>
    </row>
    <row r="418" spans="4:5" ht="14.25" customHeight="1">
      <c r="D418" s="2"/>
      <c r="E418" s="2"/>
    </row>
    <row r="419" spans="4:5" ht="14.25" customHeight="1">
      <c r="D419" s="2"/>
      <c r="E419" s="2"/>
    </row>
    <row r="420" spans="4:5" ht="14.25" customHeight="1">
      <c r="D420" s="2"/>
      <c r="E420" s="2"/>
    </row>
    <row r="421" spans="4:5" ht="14.25" customHeight="1">
      <c r="D421" s="2"/>
      <c r="E421" s="2"/>
    </row>
    <row r="422" spans="4:5" ht="14.25" customHeight="1">
      <c r="D422" s="2"/>
      <c r="E422" s="2"/>
    </row>
    <row r="423" spans="4:5" ht="14.25" customHeight="1">
      <c r="D423" s="2"/>
      <c r="E423" s="2"/>
    </row>
    <row r="424" spans="4:5" ht="14.25" customHeight="1">
      <c r="D424" s="2"/>
      <c r="E424" s="2"/>
    </row>
    <row r="425" spans="4:5" ht="14.25" customHeight="1">
      <c r="D425" s="2"/>
      <c r="E425" s="2"/>
    </row>
    <row r="426" spans="4:5" ht="14.25" customHeight="1">
      <c r="D426" s="2"/>
      <c r="E426" s="2"/>
    </row>
    <row r="427" spans="4:5" ht="14.25" customHeight="1">
      <c r="D427" s="2"/>
      <c r="E427" s="2"/>
    </row>
    <row r="428" spans="4:5" ht="14.25" customHeight="1">
      <c r="D428" s="2"/>
      <c r="E428" s="2"/>
    </row>
    <row r="429" spans="4:5" ht="14.25" customHeight="1">
      <c r="D429" s="2"/>
      <c r="E429" s="2"/>
    </row>
    <row r="430" spans="4:5" ht="14.25" customHeight="1">
      <c r="D430" s="2"/>
      <c r="E430" s="2"/>
    </row>
    <row r="431" spans="4:5" ht="14.25" customHeight="1">
      <c r="D431" s="2"/>
      <c r="E431" s="2"/>
    </row>
    <row r="432" spans="4:5" ht="14.25" customHeight="1">
      <c r="D432" s="2"/>
      <c r="E432" s="2"/>
    </row>
    <row r="433" spans="4:5" ht="14.25" customHeight="1">
      <c r="D433" s="2"/>
      <c r="E433" s="2"/>
    </row>
    <row r="434" spans="4:5" ht="14.25" customHeight="1">
      <c r="D434" s="2"/>
      <c r="E434" s="2"/>
    </row>
    <row r="435" spans="4:5" ht="14.25" customHeight="1">
      <c r="D435" s="2"/>
      <c r="E435" s="2"/>
    </row>
    <row r="436" spans="4:5" ht="14.25" customHeight="1">
      <c r="D436" s="2"/>
      <c r="E436" s="2"/>
    </row>
    <row r="437" spans="4:5" ht="14.25" customHeight="1">
      <c r="D437" s="2"/>
      <c r="E437" s="2"/>
    </row>
    <row r="438" spans="4:5" ht="14.25" customHeight="1">
      <c r="D438" s="2"/>
      <c r="E438" s="2"/>
    </row>
    <row r="439" spans="4:5" ht="14.25" customHeight="1">
      <c r="D439" s="2"/>
      <c r="E439" s="2"/>
    </row>
    <row r="440" spans="4:5" ht="14.25" customHeight="1">
      <c r="D440" s="2"/>
      <c r="E440" s="2"/>
    </row>
    <row r="441" spans="4:5" ht="14.25" customHeight="1">
      <c r="D441" s="2"/>
      <c r="E441" s="2"/>
    </row>
    <row r="442" spans="4:5" ht="14.25" customHeight="1">
      <c r="D442" s="2"/>
      <c r="E442" s="2"/>
    </row>
    <row r="443" spans="4:5" ht="14.25" customHeight="1">
      <c r="D443" s="2"/>
      <c r="E443" s="2"/>
    </row>
    <row r="444" spans="4:5" ht="14.25" customHeight="1">
      <c r="D444" s="2"/>
      <c r="E444" s="2"/>
    </row>
    <row r="445" spans="4:5" ht="14.25" customHeight="1">
      <c r="D445" s="2"/>
      <c r="E445" s="2"/>
    </row>
    <row r="446" spans="4:5" ht="14.25" customHeight="1">
      <c r="D446" s="2"/>
      <c r="E446" s="2"/>
    </row>
    <row r="447" spans="4:5" ht="14.25" customHeight="1">
      <c r="D447" s="2"/>
      <c r="E447" s="2"/>
    </row>
    <row r="448" spans="4:5" ht="14.25" customHeight="1">
      <c r="D448" s="2"/>
      <c r="E448" s="2"/>
    </row>
    <row r="449" spans="4:5" ht="14.25" customHeight="1">
      <c r="D449" s="2"/>
      <c r="E449" s="2"/>
    </row>
    <row r="450" spans="4:5" ht="14.25" customHeight="1">
      <c r="D450" s="2"/>
      <c r="E450" s="2"/>
    </row>
    <row r="451" spans="4:5" ht="14.25" customHeight="1">
      <c r="D451" s="2"/>
      <c r="E451" s="2"/>
    </row>
    <row r="452" spans="4:5" ht="14.25" customHeight="1">
      <c r="D452" s="2"/>
      <c r="E452" s="2"/>
    </row>
    <row r="453" spans="4:5" ht="14.25" customHeight="1">
      <c r="D453" s="2"/>
      <c r="E453" s="2"/>
    </row>
    <row r="454" spans="4:5" ht="14.25" customHeight="1">
      <c r="D454" s="2"/>
      <c r="E454" s="2"/>
    </row>
    <row r="455" spans="4:5" ht="14.25" customHeight="1">
      <c r="D455" s="2"/>
      <c r="E455" s="2"/>
    </row>
    <row r="456" spans="4:5" ht="14.25" customHeight="1">
      <c r="D456" s="2"/>
      <c r="E456" s="2"/>
    </row>
    <row r="457" spans="4:5" ht="14.25" customHeight="1">
      <c r="D457" s="2"/>
      <c r="E457" s="2"/>
    </row>
    <row r="458" spans="4:5" ht="14.25" customHeight="1">
      <c r="D458" s="2"/>
      <c r="E458" s="2"/>
    </row>
    <row r="459" spans="4:5" ht="14.25" customHeight="1">
      <c r="D459" s="2"/>
      <c r="E459" s="2"/>
    </row>
    <row r="460" spans="4:5" ht="14.25" customHeight="1">
      <c r="D460" s="2"/>
      <c r="E460" s="2"/>
    </row>
    <row r="461" spans="4:5" ht="14.25" customHeight="1">
      <c r="D461" s="2"/>
      <c r="E461" s="2"/>
    </row>
    <row r="462" spans="4:5" ht="14.25" customHeight="1">
      <c r="D462" s="2"/>
      <c r="E462" s="2"/>
    </row>
    <row r="463" spans="4:5" ht="14.25" customHeight="1">
      <c r="D463" s="2"/>
      <c r="E463" s="2"/>
    </row>
    <row r="464" spans="4:5" ht="14.25" customHeight="1">
      <c r="D464" s="2"/>
      <c r="E464" s="2"/>
    </row>
    <row r="465" spans="4:5" ht="14.25" customHeight="1">
      <c r="D465" s="2"/>
      <c r="E465" s="2"/>
    </row>
    <row r="466" spans="4:5" ht="14.25" customHeight="1">
      <c r="D466" s="2"/>
      <c r="E466" s="2"/>
    </row>
    <row r="467" spans="4:5" ht="14.25" customHeight="1">
      <c r="D467" s="2"/>
      <c r="E467" s="2"/>
    </row>
    <row r="468" spans="4:5" ht="14.25" customHeight="1">
      <c r="D468" s="2"/>
      <c r="E468" s="2"/>
    </row>
    <row r="469" spans="4:5" ht="14.25" customHeight="1">
      <c r="D469" s="2"/>
      <c r="E469" s="2"/>
    </row>
    <row r="470" spans="4:5" ht="14.25" customHeight="1">
      <c r="D470" s="2"/>
      <c r="E470" s="2"/>
    </row>
    <row r="471" spans="4:5" ht="14.25" customHeight="1">
      <c r="D471" s="2"/>
      <c r="E471" s="2"/>
    </row>
    <row r="472" spans="4:5" ht="14.25" customHeight="1">
      <c r="D472" s="2"/>
      <c r="E472" s="2"/>
    </row>
    <row r="473" spans="4:5" ht="14.25" customHeight="1">
      <c r="D473" s="2"/>
      <c r="E473" s="2"/>
    </row>
    <row r="474" spans="4:5" ht="14.25" customHeight="1">
      <c r="D474" s="2"/>
      <c r="E474" s="2"/>
    </row>
    <row r="475" spans="4:5" ht="14.25" customHeight="1">
      <c r="D475" s="2"/>
      <c r="E475" s="2"/>
    </row>
    <row r="476" spans="4:5" ht="14.25" customHeight="1">
      <c r="D476" s="2"/>
      <c r="E476" s="2"/>
    </row>
    <row r="477" spans="4:5" ht="14.25" customHeight="1">
      <c r="D477" s="2"/>
      <c r="E477" s="2"/>
    </row>
    <row r="478" spans="4:5" ht="14.25" customHeight="1">
      <c r="D478" s="2"/>
      <c r="E478" s="2"/>
    </row>
    <row r="479" spans="4:5" ht="14.25" customHeight="1">
      <c r="D479" s="2"/>
      <c r="E479" s="2"/>
    </row>
    <row r="480" spans="4:5" ht="14.25" customHeight="1">
      <c r="D480" s="2"/>
      <c r="E480" s="2"/>
    </row>
    <row r="481" spans="4:5" ht="14.25" customHeight="1">
      <c r="D481" s="2"/>
      <c r="E481" s="2"/>
    </row>
    <row r="482" spans="4:5" ht="14.25" customHeight="1">
      <c r="D482" s="2"/>
      <c r="E482" s="2"/>
    </row>
    <row r="483" spans="4:5" ht="14.25" customHeight="1">
      <c r="D483" s="2"/>
      <c r="E483" s="2"/>
    </row>
    <row r="484" spans="4:5" ht="14.25" customHeight="1">
      <c r="D484" s="2"/>
      <c r="E484" s="2"/>
    </row>
    <row r="485" spans="4:5" ht="14.25" customHeight="1">
      <c r="D485" s="2"/>
      <c r="E485" s="2"/>
    </row>
    <row r="486" spans="4:5" ht="14.25" customHeight="1">
      <c r="D486" s="2"/>
      <c r="E486" s="2"/>
    </row>
    <row r="487" spans="4:5" ht="14.25" customHeight="1">
      <c r="D487" s="2"/>
      <c r="E487" s="2"/>
    </row>
    <row r="488" spans="4:5" ht="14.25" customHeight="1">
      <c r="D488" s="2"/>
      <c r="E488" s="2"/>
    </row>
    <row r="489" spans="4:5" ht="14.25" customHeight="1">
      <c r="D489" s="2"/>
      <c r="E489" s="2"/>
    </row>
    <row r="490" spans="4:5" ht="14.25" customHeight="1">
      <c r="D490" s="2"/>
      <c r="E490" s="2"/>
    </row>
    <row r="491" spans="4:5" ht="14.25" customHeight="1">
      <c r="D491" s="2"/>
      <c r="E491" s="2"/>
    </row>
    <row r="492" spans="4:5" ht="14.25" customHeight="1">
      <c r="D492" s="2"/>
      <c r="E492" s="2"/>
    </row>
    <row r="493" spans="4:5" ht="14.25" customHeight="1">
      <c r="D493" s="2"/>
      <c r="E493" s="2"/>
    </row>
    <row r="494" spans="4:5" ht="14.25" customHeight="1">
      <c r="D494" s="2"/>
      <c r="E494" s="2"/>
    </row>
    <row r="495" spans="4:5" ht="14.25" customHeight="1">
      <c r="D495" s="2"/>
      <c r="E495" s="2"/>
    </row>
    <row r="496" spans="4:5" ht="14.25" customHeight="1">
      <c r="D496" s="2"/>
      <c r="E496" s="2"/>
    </row>
    <row r="497" spans="4:5" ht="14.25" customHeight="1">
      <c r="D497" s="2"/>
      <c r="E497" s="2"/>
    </row>
    <row r="498" spans="4:5" ht="14.25" customHeight="1">
      <c r="D498" s="2"/>
      <c r="E498" s="2"/>
    </row>
    <row r="499" spans="4:5" ht="14.25" customHeight="1">
      <c r="D499" s="2"/>
      <c r="E499" s="2"/>
    </row>
    <row r="500" spans="4:5" ht="14.25" customHeight="1">
      <c r="D500" s="2"/>
      <c r="E500" s="2"/>
    </row>
    <row r="501" spans="4:5" ht="14.25" customHeight="1">
      <c r="D501" s="2"/>
      <c r="E501" s="2"/>
    </row>
    <row r="502" spans="4:5" ht="14.25" customHeight="1">
      <c r="D502" s="2"/>
      <c r="E502" s="2"/>
    </row>
    <row r="503" spans="4:5" ht="14.25" customHeight="1">
      <c r="D503" s="2"/>
      <c r="E503" s="2"/>
    </row>
    <row r="504" spans="4:5" ht="14.25" customHeight="1">
      <c r="D504" s="2"/>
      <c r="E504" s="2"/>
    </row>
    <row r="505" spans="4:5" ht="14.25" customHeight="1">
      <c r="D505" s="2"/>
      <c r="E505" s="2"/>
    </row>
    <row r="506" spans="4:5" ht="14.25" customHeight="1">
      <c r="D506" s="2"/>
      <c r="E506" s="2"/>
    </row>
    <row r="507" spans="4:5" ht="14.25" customHeight="1">
      <c r="D507" s="2"/>
      <c r="E507" s="2"/>
    </row>
    <row r="508" spans="4:5" ht="14.25" customHeight="1">
      <c r="D508" s="2"/>
      <c r="E508" s="2"/>
    </row>
    <row r="509" spans="4:5" ht="14.25" customHeight="1">
      <c r="D509" s="2"/>
      <c r="E509" s="2"/>
    </row>
    <row r="510" spans="4:5" ht="14.25" customHeight="1">
      <c r="D510" s="2"/>
      <c r="E510" s="2"/>
    </row>
    <row r="511" spans="4:5" ht="14.25" customHeight="1">
      <c r="D511" s="2"/>
      <c r="E511" s="2"/>
    </row>
    <row r="512" spans="4:5" ht="14.25" customHeight="1">
      <c r="D512" s="2"/>
      <c r="E512" s="2"/>
    </row>
    <row r="513" spans="4:5" ht="14.25" customHeight="1">
      <c r="D513" s="2"/>
      <c r="E513" s="2"/>
    </row>
    <row r="514" spans="4:5" ht="14.25" customHeight="1">
      <c r="D514" s="2"/>
      <c r="E514" s="2"/>
    </row>
    <row r="515" spans="4:5" ht="14.25" customHeight="1">
      <c r="D515" s="2"/>
      <c r="E515" s="2"/>
    </row>
    <row r="516" spans="4:5" ht="14.25" customHeight="1">
      <c r="D516" s="2"/>
      <c r="E516" s="2"/>
    </row>
    <row r="517" spans="4:5" ht="14.25" customHeight="1">
      <c r="D517" s="2"/>
      <c r="E517" s="2"/>
    </row>
    <row r="518" spans="4:5" ht="14.25" customHeight="1">
      <c r="D518" s="2"/>
      <c r="E518" s="2"/>
    </row>
    <row r="519" spans="4:5" ht="14.25" customHeight="1">
      <c r="D519" s="2"/>
      <c r="E519" s="2"/>
    </row>
    <row r="520" spans="4:5" ht="14.25" customHeight="1">
      <c r="D520" s="2"/>
      <c r="E520" s="2"/>
    </row>
    <row r="521" spans="4:5" ht="14.25" customHeight="1">
      <c r="D521" s="2"/>
      <c r="E521" s="2"/>
    </row>
    <row r="522" spans="4:5" ht="14.25" customHeight="1">
      <c r="D522" s="2"/>
      <c r="E522" s="2"/>
    </row>
    <row r="523" spans="4:5" ht="14.25" customHeight="1">
      <c r="D523" s="2"/>
      <c r="E523" s="2"/>
    </row>
    <row r="524" spans="4:5" ht="14.25" customHeight="1">
      <c r="D524" s="2"/>
      <c r="E524" s="2"/>
    </row>
    <row r="525" spans="4:5" ht="14.25" customHeight="1">
      <c r="D525" s="2"/>
      <c r="E525" s="2"/>
    </row>
    <row r="526" spans="4:5" ht="14.25" customHeight="1">
      <c r="D526" s="2"/>
      <c r="E526" s="2"/>
    </row>
    <row r="527" spans="4:5" ht="14.25" customHeight="1">
      <c r="D527" s="2"/>
      <c r="E527" s="2"/>
    </row>
    <row r="528" spans="4:5" ht="14.25" customHeight="1">
      <c r="D528" s="2"/>
      <c r="E528" s="2"/>
    </row>
    <row r="529" spans="4:5" ht="14.25" customHeight="1">
      <c r="D529" s="2"/>
      <c r="E529" s="2"/>
    </row>
    <row r="530" spans="4:5" ht="14.25" customHeight="1">
      <c r="D530" s="2"/>
      <c r="E530" s="2"/>
    </row>
    <row r="531" spans="4:5" ht="14.25" customHeight="1">
      <c r="D531" s="2"/>
      <c r="E531" s="2"/>
    </row>
    <row r="532" spans="4:5" ht="14.25" customHeight="1">
      <c r="D532" s="2"/>
      <c r="E532" s="2"/>
    </row>
    <row r="533" spans="4:5" ht="14.25" customHeight="1">
      <c r="D533" s="2"/>
      <c r="E533" s="2"/>
    </row>
    <row r="534" spans="4:5" ht="14.25" customHeight="1">
      <c r="D534" s="2"/>
      <c r="E534" s="2"/>
    </row>
    <row r="535" spans="4:5" ht="14.25" customHeight="1">
      <c r="D535" s="2"/>
      <c r="E535" s="2"/>
    </row>
    <row r="536" spans="4:5" ht="14.25" customHeight="1">
      <c r="D536" s="2"/>
      <c r="E536" s="2"/>
    </row>
    <row r="537" spans="4:5" ht="14.25" customHeight="1">
      <c r="D537" s="2"/>
      <c r="E537" s="2"/>
    </row>
    <row r="538" spans="4:5" ht="14.25" customHeight="1">
      <c r="D538" s="2"/>
      <c r="E538" s="2"/>
    </row>
    <row r="539" spans="4:5" ht="14.25" customHeight="1">
      <c r="D539" s="2"/>
      <c r="E539" s="2"/>
    </row>
    <row r="540" spans="4:5" ht="14.25" customHeight="1">
      <c r="D540" s="2"/>
      <c r="E540" s="2"/>
    </row>
    <row r="541" spans="4:5" ht="14.25" customHeight="1">
      <c r="D541" s="2"/>
      <c r="E541" s="2"/>
    </row>
    <row r="542" spans="4:5" ht="14.25" customHeight="1">
      <c r="D542" s="2"/>
      <c r="E542" s="2"/>
    </row>
    <row r="543" spans="4:5" ht="14.25" customHeight="1">
      <c r="D543" s="2"/>
      <c r="E543" s="2"/>
    </row>
    <row r="544" spans="4:5" ht="14.25" customHeight="1">
      <c r="D544" s="2"/>
      <c r="E544" s="2"/>
    </row>
    <row r="545" spans="4:5" ht="14.25" customHeight="1">
      <c r="D545" s="2"/>
      <c r="E545" s="2"/>
    </row>
    <row r="546" spans="4:5" ht="14.25" customHeight="1">
      <c r="D546" s="2"/>
      <c r="E546" s="2"/>
    </row>
    <row r="547" spans="4:5" ht="14.25" customHeight="1">
      <c r="D547" s="2"/>
      <c r="E547" s="2"/>
    </row>
    <row r="548" spans="4:5" ht="14.25" customHeight="1">
      <c r="D548" s="2"/>
      <c r="E548" s="2"/>
    </row>
    <row r="549" spans="4:5" ht="14.25" customHeight="1">
      <c r="D549" s="2"/>
      <c r="E549" s="2"/>
    </row>
    <row r="550" spans="4:5" ht="14.25" customHeight="1">
      <c r="D550" s="2"/>
      <c r="E550" s="2"/>
    </row>
    <row r="551" spans="4:5" ht="14.25" customHeight="1">
      <c r="D551" s="2"/>
      <c r="E551" s="2"/>
    </row>
    <row r="552" spans="4:5" ht="14.25" customHeight="1">
      <c r="D552" s="2"/>
      <c r="E552" s="2"/>
    </row>
    <row r="553" spans="4:5" ht="14.25" customHeight="1">
      <c r="D553" s="2"/>
      <c r="E553" s="2"/>
    </row>
    <row r="554" spans="4:5" ht="14.25" customHeight="1">
      <c r="D554" s="2"/>
      <c r="E554" s="2"/>
    </row>
    <row r="555" spans="4:5" ht="14.25" customHeight="1">
      <c r="D555" s="2"/>
      <c r="E555" s="2"/>
    </row>
    <row r="556" spans="4:5" ht="14.25" customHeight="1">
      <c r="D556" s="2"/>
      <c r="E556" s="2"/>
    </row>
    <row r="557" spans="4:5" ht="14.25" customHeight="1">
      <c r="D557" s="2"/>
      <c r="E557" s="2"/>
    </row>
    <row r="558" spans="4:5" ht="14.25" customHeight="1">
      <c r="D558" s="2"/>
      <c r="E558" s="2"/>
    </row>
    <row r="559" spans="4:5" ht="14.25" customHeight="1">
      <c r="D559" s="2"/>
      <c r="E559" s="2"/>
    </row>
    <row r="560" spans="4:5" ht="14.25" customHeight="1">
      <c r="D560" s="2"/>
      <c r="E560" s="2"/>
    </row>
    <row r="561" spans="4:5" ht="14.25" customHeight="1">
      <c r="D561" s="2"/>
      <c r="E561" s="2"/>
    </row>
    <row r="562" spans="4:5" ht="14.25" customHeight="1">
      <c r="D562" s="2"/>
      <c r="E562" s="2"/>
    </row>
    <row r="563" spans="4:5" ht="14.25" customHeight="1">
      <c r="D563" s="2"/>
      <c r="E563" s="2"/>
    </row>
    <row r="564" spans="4:5" ht="14.25" customHeight="1">
      <c r="D564" s="2"/>
      <c r="E564" s="2"/>
    </row>
    <row r="565" spans="4:5" ht="14.25" customHeight="1">
      <c r="D565" s="2"/>
      <c r="E565" s="2"/>
    </row>
    <row r="566" spans="4:5" ht="14.25" customHeight="1">
      <c r="D566" s="2"/>
      <c r="E566" s="2"/>
    </row>
    <row r="567" spans="4:5" ht="14.25" customHeight="1">
      <c r="D567" s="2"/>
      <c r="E567" s="2"/>
    </row>
    <row r="568" spans="4:5" ht="14.25" customHeight="1">
      <c r="D568" s="2"/>
      <c r="E568" s="2"/>
    </row>
    <row r="569" spans="4:5" ht="14.25" customHeight="1">
      <c r="D569" s="2"/>
      <c r="E569" s="2"/>
    </row>
    <row r="570" spans="4:5" ht="14.25" customHeight="1">
      <c r="D570" s="2"/>
      <c r="E570" s="2"/>
    </row>
    <row r="571" spans="4:5" ht="14.25" customHeight="1">
      <c r="D571" s="2"/>
      <c r="E571" s="2"/>
    </row>
    <row r="572" spans="4:5" ht="14.25" customHeight="1">
      <c r="D572" s="2"/>
      <c r="E572" s="2"/>
    </row>
    <row r="573" spans="4:5" ht="14.25" customHeight="1">
      <c r="D573" s="2"/>
      <c r="E573" s="2"/>
    </row>
    <row r="574" spans="4:5" ht="14.25" customHeight="1">
      <c r="D574" s="2"/>
      <c r="E574" s="2"/>
    </row>
    <row r="575" spans="4:5" ht="14.25" customHeight="1">
      <c r="D575" s="2"/>
      <c r="E575" s="2"/>
    </row>
    <row r="576" spans="4:5" ht="14.25" customHeight="1">
      <c r="D576" s="2"/>
      <c r="E576" s="2"/>
    </row>
    <row r="577" spans="4:5" ht="14.25" customHeight="1">
      <c r="D577" s="2"/>
      <c r="E577" s="2"/>
    </row>
    <row r="578" spans="4:5" ht="14.25" customHeight="1">
      <c r="D578" s="2"/>
      <c r="E578" s="2"/>
    </row>
    <row r="579" spans="4:5" ht="14.25" customHeight="1">
      <c r="D579" s="2"/>
      <c r="E579" s="2"/>
    </row>
    <row r="580" spans="4:5" ht="14.25" customHeight="1">
      <c r="D580" s="2"/>
      <c r="E580" s="2"/>
    </row>
    <row r="581" spans="4:5" ht="14.25" customHeight="1">
      <c r="D581" s="2"/>
      <c r="E581" s="2"/>
    </row>
    <row r="582" spans="4:5" ht="14.25" customHeight="1">
      <c r="D582" s="2"/>
      <c r="E582" s="2"/>
    </row>
    <row r="583" spans="4:5" ht="14.25" customHeight="1">
      <c r="D583" s="2"/>
      <c r="E583" s="2"/>
    </row>
    <row r="584" spans="4:5" ht="14.25" customHeight="1">
      <c r="D584" s="2"/>
      <c r="E584" s="2"/>
    </row>
    <row r="585" spans="4:5" ht="14.25" customHeight="1">
      <c r="D585" s="2"/>
      <c r="E585" s="2"/>
    </row>
    <row r="586" spans="4:5" ht="14.25" customHeight="1">
      <c r="D586" s="2"/>
      <c r="E586" s="2"/>
    </row>
    <row r="587" spans="4:5" ht="14.25" customHeight="1">
      <c r="D587" s="2"/>
      <c r="E587" s="2"/>
    </row>
    <row r="588" spans="4:5" ht="14.25" customHeight="1">
      <c r="D588" s="2"/>
      <c r="E588" s="2"/>
    </row>
    <row r="589" spans="4:5" ht="14.25" customHeight="1">
      <c r="D589" s="2"/>
      <c r="E589" s="2"/>
    </row>
    <row r="590" spans="4:5" ht="14.25" customHeight="1">
      <c r="D590" s="2"/>
      <c r="E590" s="2"/>
    </row>
    <row r="591" spans="4:5" ht="14.25" customHeight="1">
      <c r="D591" s="2"/>
      <c r="E591" s="2"/>
    </row>
    <row r="592" spans="4:5" ht="14.25" customHeight="1">
      <c r="D592" s="2"/>
      <c r="E592" s="2"/>
    </row>
    <row r="593" spans="4:5" ht="14.25" customHeight="1">
      <c r="D593" s="2"/>
      <c r="E593" s="2"/>
    </row>
    <row r="594" spans="4:5" ht="14.25" customHeight="1">
      <c r="D594" s="2"/>
      <c r="E594" s="2"/>
    </row>
    <row r="595" spans="4:5" ht="14.25" customHeight="1">
      <c r="D595" s="2"/>
      <c r="E595" s="2"/>
    </row>
    <row r="596" spans="4:5" ht="14.25" customHeight="1">
      <c r="D596" s="2"/>
      <c r="E596" s="2"/>
    </row>
    <row r="597" spans="4:5" ht="14.25" customHeight="1">
      <c r="D597" s="2"/>
      <c r="E597" s="2"/>
    </row>
    <row r="598" spans="4:5" ht="14.25" customHeight="1">
      <c r="D598" s="2"/>
      <c r="E598" s="2"/>
    </row>
    <row r="599" spans="4:5" ht="14.25" customHeight="1">
      <c r="D599" s="2"/>
      <c r="E599" s="2"/>
    </row>
    <row r="600" spans="4:5" ht="14.25" customHeight="1">
      <c r="D600" s="2"/>
      <c r="E600" s="2"/>
    </row>
    <row r="601" spans="4:5" ht="14.25" customHeight="1">
      <c r="D601" s="2"/>
      <c r="E601" s="2"/>
    </row>
    <row r="602" spans="4:5" ht="14.25" customHeight="1">
      <c r="D602" s="2"/>
      <c r="E602" s="2"/>
    </row>
    <row r="603" spans="4:5" ht="14.25" customHeight="1">
      <c r="D603" s="2"/>
      <c r="E603" s="2"/>
    </row>
    <row r="604" spans="4:5" ht="14.25" customHeight="1">
      <c r="D604" s="2"/>
      <c r="E604" s="2"/>
    </row>
    <row r="605" spans="4:5" ht="14.25" customHeight="1">
      <c r="D605" s="2"/>
      <c r="E605" s="2"/>
    </row>
    <row r="606" spans="4:5" ht="14.25" customHeight="1">
      <c r="D606" s="2"/>
      <c r="E606" s="2"/>
    </row>
    <row r="607" spans="4:5" ht="14.25" customHeight="1">
      <c r="D607" s="2"/>
      <c r="E607" s="2"/>
    </row>
    <row r="608" spans="4:5" ht="14.25" customHeight="1">
      <c r="D608" s="2"/>
      <c r="E608" s="2"/>
    </row>
    <row r="609" spans="4:5" ht="14.25" customHeight="1">
      <c r="D609" s="2"/>
      <c r="E609" s="2"/>
    </row>
    <row r="610" spans="4:5" ht="14.25" customHeight="1">
      <c r="D610" s="2"/>
      <c r="E610" s="2"/>
    </row>
    <row r="611" spans="4:5" ht="14.25" customHeight="1">
      <c r="D611" s="2"/>
      <c r="E611" s="2"/>
    </row>
    <row r="612" spans="4:5" ht="14.25" customHeight="1">
      <c r="D612" s="2"/>
      <c r="E612" s="2"/>
    </row>
    <row r="613" spans="4:5" ht="14.25" customHeight="1">
      <c r="D613" s="2"/>
      <c r="E613" s="2"/>
    </row>
    <row r="614" spans="4:5" ht="14.25" customHeight="1">
      <c r="D614" s="2"/>
      <c r="E614" s="2"/>
    </row>
    <row r="615" spans="4:5" ht="14.25" customHeight="1">
      <c r="D615" s="2"/>
      <c r="E615" s="2"/>
    </row>
    <row r="616" spans="4:5" ht="14.25" customHeight="1">
      <c r="D616" s="2"/>
      <c r="E616" s="2"/>
    </row>
    <row r="617" spans="4:5" ht="14.25" customHeight="1">
      <c r="D617" s="2"/>
      <c r="E617" s="2"/>
    </row>
    <row r="618" spans="4:5" ht="14.25" customHeight="1">
      <c r="D618" s="2"/>
      <c r="E618" s="2"/>
    </row>
    <row r="619" spans="4:5" ht="14.25" customHeight="1">
      <c r="D619" s="2"/>
      <c r="E619" s="2"/>
    </row>
    <row r="620" spans="4:5" ht="14.25" customHeight="1">
      <c r="D620" s="2"/>
      <c r="E620" s="2"/>
    </row>
    <row r="621" spans="4:5" ht="14.25" customHeight="1">
      <c r="D621" s="2"/>
      <c r="E621" s="2"/>
    </row>
    <row r="622" spans="4:5" ht="14.25" customHeight="1">
      <c r="D622" s="2"/>
      <c r="E622" s="2"/>
    </row>
    <row r="623" spans="4:5" ht="14.25" customHeight="1">
      <c r="D623" s="2"/>
      <c r="E623" s="2"/>
    </row>
    <row r="624" spans="4:5" ht="14.25" customHeight="1">
      <c r="D624" s="2"/>
      <c r="E624" s="2"/>
    </row>
    <row r="625" spans="4:5" ht="14.25" customHeight="1">
      <c r="D625" s="2"/>
      <c r="E625" s="2"/>
    </row>
    <row r="626" spans="4:5" ht="14.25" customHeight="1">
      <c r="D626" s="2"/>
      <c r="E626" s="2"/>
    </row>
    <row r="627" spans="4:5" ht="14.25" customHeight="1">
      <c r="D627" s="2"/>
      <c r="E627" s="2"/>
    </row>
    <row r="628" spans="4:5" ht="14.25" customHeight="1">
      <c r="D628" s="2"/>
      <c r="E628" s="2"/>
    </row>
    <row r="629" spans="4:5" ht="14.25" customHeight="1">
      <c r="D629" s="2"/>
      <c r="E629" s="2"/>
    </row>
    <row r="630" spans="4:5" ht="14.25" customHeight="1">
      <c r="D630" s="2"/>
      <c r="E630" s="2"/>
    </row>
    <row r="631" spans="4:5" ht="14.25" customHeight="1">
      <c r="D631" s="2"/>
      <c r="E631" s="2"/>
    </row>
    <row r="632" spans="4:5" ht="14.25" customHeight="1">
      <c r="D632" s="2"/>
      <c r="E632" s="2"/>
    </row>
    <row r="633" spans="4:5" ht="14.25" customHeight="1">
      <c r="D633" s="2"/>
      <c r="E633" s="2"/>
    </row>
    <row r="634" spans="4:5" ht="14.25" customHeight="1">
      <c r="D634" s="2"/>
      <c r="E634" s="2"/>
    </row>
    <row r="635" spans="4:5" ht="14.25" customHeight="1">
      <c r="D635" s="2"/>
      <c r="E635" s="2"/>
    </row>
    <row r="636" spans="4:5" ht="14.25" customHeight="1">
      <c r="D636" s="2"/>
      <c r="E636" s="2"/>
    </row>
    <row r="637" spans="4:5" ht="14.25" customHeight="1">
      <c r="D637" s="2"/>
      <c r="E637" s="2"/>
    </row>
    <row r="638" spans="4:5" ht="14.25" customHeight="1">
      <c r="D638" s="2"/>
      <c r="E638" s="2"/>
    </row>
    <row r="639" spans="4:5" ht="14.25" customHeight="1">
      <c r="D639" s="2"/>
      <c r="E639" s="2"/>
    </row>
    <row r="640" spans="4:5" ht="14.25" customHeight="1">
      <c r="D640" s="2"/>
      <c r="E640" s="2"/>
    </row>
    <row r="641" spans="4:5" ht="14.25" customHeight="1">
      <c r="D641" s="2"/>
      <c r="E641" s="2"/>
    </row>
    <row r="642" spans="4:5" ht="14.25" customHeight="1">
      <c r="D642" s="2"/>
      <c r="E642" s="2"/>
    </row>
    <row r="643" spans="4:5" ht="14.25" customHeight="1">
      <c r="D643" s="2"/>
      <c r="E643" s="2"/>
    </row>
    <row r="644" spans="4:5" ht="14.25" customHeight="1">
      <c r="D644" s="2"/>
      <c r="E644" s="2"/>
    </row>
    <row r="645" spans="4:5" ht="14.25" customHeight="1">
      <c r="D645" s="2"/>
      <c r="E645" s="2"/>
    </row>
    <row r="646" spans="4:5" ht="14.25" customHeight="1">
      <c r="D646" s="2"/>
      <c r="E646" s="2"/>
    </row>
    <row r="647" spans="4:5" ht="14.25" customHeight="1">
      <c r="D647" s="2"/>
      <c r="E647" s="2"/>
    </row>
    <row r="648" spans="4:5" ht="14.25" customHeight="1">
      <c r="D648" s="2"/>
      <c r="E648" s="2"/>
    </row>
    <row r="649" spans="4:5" ht="14.25" customHeight="1">
      <c r="D649" s="2"/>
      <c r="E649" s="2"/>
    </row>
    <row r="650" spans="4:5" ht="14.25" customHeight="1">
      <c r="D650" s="2"/>
      <c r="E650" s="2"/>
    </row>
    <row r="651" spans="4:5" ht="14.25" customHeight="1">
      <c r="D651" s="2"/>
      <c r="E651" s="2"/>
    </row>
    <row r="652" spans="4:5" ht="14.25" customHeight="1">
      <c r="D652" s="2"/>
      <c r="E652" s="2"/>
    </row>
    <row r="653" spans="4:5" ht="14.25" customHeight="1">
      <c r="D653" s="2"/>
      <c r="E653" s="2"/>
    </row>
    <row r="654" spans="4:5" ht="14.25" customHeight="1">
      <c r="D654" s="2"/>
      <c r="E654" s="2"/>
    </row>
    <row r="655" spans="4:5" ht="14.25" customHeight="1">
      <c r="D655" s="2"/>
      <c r="E655" s="2"/>
    </row>
    <row r="656" spans="4:5" ht="14.25" customHeight="1">
      <c r="D656" s="2"/>
      <c r="E656" s="2"/>
    </row>
    <row r="657" spans="4:5" ht="14.25" customHeight="1">
      <c r="D657" s="2"/>
      <c r="E657" s="2"/>
    </row>
    <row r="658" spans="4:5" ht="14.25" customHeight="1">
      <c r="D658" s="2"/>
      <c r="E658" s="2"/>
    </row>
    <row r="659" spans="4:5" ht="14.25" customHeight="1">
      <c r="D659" s="2"/>
      <c r="E659" s="2"/>
    </row>
    <row r="660" spans="4:5" ht="14.25" customHeight="1">
      <c r="D660" s="2"/>
      <c r="E660" s="2"/>
    </row>
    <row r="661" spans="4:5" ht="14.25" customHeight="1">
      <c r="D661" s="2"/>
      <c r="E661" s="2"/>
    </row>
    <row r="662" spans="4:5" ht="14.25" customHeight="1">
      <c r="D662" s="2"/>
      <c r="E662" s="2"/>
    </row>
    <row r="663" spans="4:5" ht="14.25" customHeight="1">
      <c r="D663" s="2"/>
      <c r="E663" s="2"/>
    </row>
    <row r="664" spans="4:5" ht="14.25" customHeight="1">
      <c r="D664" s="2"/>
      <c r="E664" s="2"/>
    </row>
    <row r="665" spans="4:5" ht="14.25" customHeight="1">
      <c r="D665" s="2"/>
      <c r="E665" s="2"/>
    </row>
    <row r="666" spans="4:5" ht="14.25" customHeight="1">
      <c r="D666" s="2"/>
      <c r="E666" s="2"/>
    </row>
    <row r="667" spans="4:5" ht="14.25" customHeight="1">
      <c r="D667" s="2"/>
      <c r="E667" s="2"/>
    </row>
    <row r="668" spans="4:5" ht="14.25" customHeight="1">
      <c r="D668" s="2"/>
      <c r="E668" s="2"/>
    </row>
    <row r="669" spans="4:5" ht="14.25" customHeight="1">
      <c r="D669" s="2"/>
      <c r="E669" s="2"/>
    </row>
    <row r="670" spans="4:5" ht="14.25" customHeight="1">
      <c r="D670" s="2"/>
      <c r="E670" s="2"/>
    </row>
    <row r="671" spans="4:5" ht="14.25" customHeight="1">
      <c r="D671" s="2"/>
      <c r="E671" s="2"/>
    </row>
    <row r="672" spans="4:5" ht="14.25" customHeight="1">
      <c r="D672" s="2"/>
      <c r="E672" s="2"/>
    </row>
    <row r="673" spans="4:5" ht="14.25" customHeight="1">
      <c r="D673" s="2"/>
      <c r="E673" s="2"/>
    </row>
    <row r="674" spans="4:5" ht="14.25" customHeight="1">
      <c r="D674" s="2"/>
      <c r="E674" s="2"/>
    </row>
    <row r="675" spans="4:5" ht="14.25" customHeight="1">
      <c r="D675" s="2"/>
      <c r="E675" s="2"/>
    </row>
    <row r="676" spans="4:5" ht="14.25" customHeight="1">
      <c r="D676" s="2"/>
      <c r="E676" s="2"/>
    </row>
    <row r="677" spans="4:5" ht="14.25" customHeight="1">
      <c r="D677" s="2"/>
      <c r="E677" s="2"/>
    </row>
    <row r="678" spans="4:5" ht="14.25" customHeight="1">
      <c r="D678" s="2"/>
      <c r="E678" s="2"/>
    </row>
    <row r="679" spans="4:5" ht="14.25" customHeight="1">
      <c r="D679" s="2"/>
      <c r="E679" s="2"/>
    </row>
    <row r="680" spans="4:5" ht="14.25" customHeight="1">
      <c r="D680" s="2"/>
      <c r="E680" s="2"/>
    </row>
    <row r="681" spans="4:5" ht="14.25" customHeight="1">
      <c r="D681" s="2"/>
      <c r="E681" s="2"/>
    </row>
    <row r="682" spans="4:5" ht="14.25" customHeight="1">
      <c r="D682" s="2"/>
      <c r="E682" s="2"/>
    </row>
    <row r="683" spans="4:5" ht="14.25" customHeight="1">
      <c r="D683" s="2"/>
      <c r="E683" s="2"/>
    </row>
    <row r="684" spans="4:5" ht="14.25" customHeight="1">
      <c r="D684" s="2"/>
      <c r="E684" s="2"/>
    </row>
    <row r="685" spans="4:5" ht="14.25" customHeight="1">
      <c r="D685" s="2"/>
      <c r="E685" s="2"/>
    </row>
    <row r="686" spans="4:5" ht="14.25" customHeight="1">
      <c r="D686" s="2"/>
      <c r="E686" s="2"/>
    </row>
    <row r="687" spans="4:5" ht="14.25" customHeight="1">
      <c r="D687" s="2"/>
      <c r="E687" s="2"/>
    </row>
    <row r="688" spans="4:5" ht="14.25" customHeight="1">
      <c r="D688" s="2"/>
      <c r="E688" s="2"/>
    </row>
    <row r="689" spans="4:5" ht="14.25" customHeight="1">
      <c r="D689" s="2"/>
      <c r="E689" s="2"/>
    </row>
    <row r="690" spans="4:5" ht="14.25" customHeight="1">
      <c r="D690" s="2"/>
      <c r="E690" s="2"/>
    </row>
    <row r="691" spans="4:5" ht="14.25" customHeight="1">
      <c r="D691" s="2"/>
      <c r="E691" s="2"/>
    </row>
    <row r="692" spans="4:5" ht="14.25" customHeight="1">
      <c r="D692" s="2"/>
      <c r="E692" s="2"/>
    </row>
    <row r="693" spans="4:5" ht="14.25" customHeight="1">
      <c r="D693" s="2"/>
      <c r="E693" s="2"/>
    </row>
    <row r="694" spans="4:5" ht="14.25" customHeight="1">
      <c r="D694" s="2"/>
      <c r="E694" s="2"/>
    </row>
    <row r="695" spans="4:5" ht="14.25" customHeight="1">
      <c r="D695" s="2"/>
      <c r="E695" s="2"/>
    </row>
    <row r="696" spans="4:5" ht="14.25" customHeight="1">
      <c r="D696" s="2"/>
      <c r="E696" s="2"/>
    </row>
    <row r="697" spans="4:5" ht="14.25" customHeight="1">
      <c r="D697" s="2"/>
      <c r="E697" s="2"/>
    </row>
    <row r="698" spans="4:5" ht="14.25" customHeight="1">
      <c r="D698" s="2"/>
      <c r="E698" s="2"/>
    </row>
    <row r="699" spans="4:5" ht="14.25" customHeight="1">
      <c r="D699" s="2"/>
      <c r="E699" s="2"/>
    </row>
    <row r="700" spans="4:5" ht="14.25" customHeight="1">
      <c r="D700" s="2"/>
      <c r="E700" s="2"/>
    </row>
    <row r="701" spans="4:5" ht="14.25" customHeight="1">
      <c r="D701" s="2"/>
      <c r="E701" s="2"/>
    </row>
    <row r="702" spans="4:5" ht="14.25" customHeight="1">
      <c r="D702" s="2"/>
      <c r="E702" s="2"/>
    </row>
    <row r="703" spans="4:5" ht="14.25" customHeight="1">
      <c r="D703" s="2"/>
      <c r="E703" s="2"/>
    </row>
    <row r="704" spans="4:5" ht="14.25" customHeight="1">
      <c r="D704" s="2"/>
      <c r="E704" s="2"/>
    </row>
    <row r="705" spans="4:5" ht="14.25" customHeight="1">
      <c r="D705" s="2"/>
      <c r="E705" s="2"/>
    </row>
    <row r="706" spans="4:5" ht="14.25" customHeight="1">
      <c r="D706" s="2"/>
      <c r="E706" s="2"/>
    </row>
    <row r="707" spans="4:5" ht="14.25" customHeight="1">
      <c r="D707" s="2"/>
      <c r="E707" s="2"/>
    </row>
    <row r="708" spans="4:5" ht="14.25" customHeight="1">
      <c r="D708" s="2"/>
      <c r="E708" s="2"/>
    </row>
    <row r="709" spans="4:5" ht="14.25" customHeight="1">
      <c r="D709" s="2"/>
      <c r="E709" s="2"/>
    </row>
    <row r="710" spans="4:5" ht="14.25" customHeight="1">
      <c r="D710" s="2"/>
      <c r="E710" s="2"/>
    </row>
    <row r="711" spans="4:5" ht="14.25" customHeight="1">
      <c r="D711" s="2"/>
      <c r="E711" s="2"/>
    </row>
    <row r="712" spans="4:5" ht="14.25" customHeight="1">
      <c r="D712" s="2"/>
      <c r="E712" s="2"/>
    </row>
    <row r="713" spans="4:5" ht="14.25" customHeight="1">
      <c r="D713" s="2"/>
      <c r="E713" s="2"/>
    </row>
    <row r="714" spans="4:5" ht="14.25" customHeight="1">
      <c r="D714" s="2"/>
      <c r="E714" s="2"/>
    </row>
    <row r="715" spans="4:5" ht="14.25" customHeight="1">
      <c r="D715" s="2"/>
      <c r="E715" s="2"/>
    </row>
    <row r="716" spans="4:5" ht="14.25" customHeight="1">
      <c r="D716" s="2"/>
      <c r="E716" s="2"/>
    </row>
    <row r="717" spans="4:5" ht="14.25" customHeight="1">
      <c r="D717" s="2"/>
      <c r="E717" s="2"/>
    </row>
    <row r="718" spans="4:5" ht="14.25" customHeight="1">
      <c r="D718" s="2"/>
      <c r="E718" s="2"/>
    </row>
    <row r="719" spans="4:5" ht="14.25" customHeight="1">
      <c r="D719" s="2"/>
      <c r="E719" s="2"/>
    </row>
    <row r="720" spans="4:5" ht="14.25" customHeight="1">
      <c r="D720" s="2"/>
      <c r="E720" s="2"/>
    </row>
    <row r="721" spans="4:5" ht="14.25" customHeight="1">
      <c r="D721" s="2"/>
      <c r="E721" s="2"/>
    </row>
    <row r="722" spans="4:5" ht="14.25" customHeight="1">
      <c r="D722" s="2"/>
      <c r="E722" s="2"/>
    </row>
    <row r="723" spans="4:5" ht="14.25" customHeight="1">
      <c r="D723" s="2"/>
      <c r="E723" s="2"/>
    </row>
    <row r="724" spans="4:5" ht="14.25" customHeight="1">
      <c r="D724" s="2"/>
      <c r="E724" s="2"/>
    </row>
    <row r="725" spans="4:5" ht="14.25" customHeight="1">
      <c r="D725" s="2"/>
      <c r="E725" s="2"/>
    </row>
    <row r="726" spans="4:5" ht="14.25" customHeight="1">
      <c r="D726" s="2"/>
      <c r="E726" s="2"/>
    </row>
    <row r="727" spans="4:5" ht="14.25" customHeight="1">
      <c r="D727" s="2"/>
      <c r="E727" s="2"/>
    </row>
    <row r="728" spans="4:5" ht="14.25" customHeight="1">
      <c r="D728" s="2"/>
      <c r="E728" s="2"/>
    </row>
    <row r="729" spans="4:5" ht="14.25" customHeight="1">
      <c r="D729" s="2"/>
      <c r="E729" s="2"/>
    </row>
    <row r="730" spans="4:5" ht="14.25" customHeight="1">
      <c r="D730" s="2"/>
      <c r="E730" s="2"/>
    </row>
    <row r="731" spans="4:5" ht="14.25" customHeight="1">
      <c r="D731" s="2"/>
      <c r="E731" s="2"/>
    </row>
    <row r="732" spans="4:5" ht="14.25" customHeight="1">
      <c r="D732" s="2"/>
      <c r="E732" s="2"/>
    </row>
    <row r="733" spans="4:5" ht="14.25" customHeight="1">
      <c r="D733" s="2"/>
      <c r="E733" s="2"/>
    </row>
    <row r="734" spans="4:5" ht="14.25" customHeight="1">
      <c r="D734" s="2"/>
      <c r="E734" s="2"/>
    </row>
    <row r="735" spans="4:5" ht="14.25" customHeight="1">
      <c r="D735" s="2"/>
      <c r="E735" s="2"/>
    </row>
    <row r="736" spans="4:5" ht="14.25" customHeight="1">
      <c r="D736" s="2"/>
      <c r="E736" s="2"/>
    </row>
    <row r="737" spans="4:5" ht="14.25" customHeight="1">
      <c r="D737" s="2"/>
      <c r="E737" s="2"/>
    </row>
    <row r="738" spans="4:5" ht="14.25" customHeight="1">
      <c r="D738" s="2"/>
      <c r="E738" s="2"/>
    </row>
    <row r="739" spans="4:5" ht="14.25" customHeight="1">
      <c r="D739" s="2"/>
      <c r="E739" s="2"/>
    </row>
    <row r="740" spans="4:5" ht="14.25" customHeight="1">
      <c r="D740" s="2"/>
      <c r="E740" s="2"/>
    </row>
    <row r="741" spans="4:5" ht="14.25" customHeight="1">
      <c r="D741" s="2"/>
      <c r="E741" s="2"/>
    </row>
    <row r="742" spans="4:5" ht="14.25" customHeight="1">
      <c r="D742" s="2"/>
      <c r="E742" s="2"/>
    </row>
    <row r="743" spans="4:5" ht="14.25" customHeight="1">
      <c r="D743" s="2"/>
      <c r="E743" s="2"/>
    </row>
    <row r="744" spans="4:5" ht="14.25" customHeight="1">
      <c r="D744" s="2"/>
      <c r="E744" s="2"/>
    </row>
    <row r="745" spans="4:5" ht="14.25" customHeight="1">
      <c r="D745" s="2"/>
      <c r="E745" s="2"/>
    </row>
    <row r="746" spans="4:5" ht="14.25" customHeight="1">
      <c r="D746" s="2"/>
      <c r="E746" s="2"/>
    </row>
    <row r="747" spans="4:5" ht="14.25" customHeight="1">
      <c r="D747" s="2"/>
      <c r="E747" s="2"/>
    </row>
    <row r="748" spans="4:5" ht="14.25" customHeight="1">
      <c r="D748" s="2"/>
      <c r="E748" s="2"/>
    </row>
    <row r="749" spans="4:5" ht="14.25" customHeight="1">
      <c r="D749" s="2"/>
      <c r="E749" s="2"/>
    </row>
    <row r="750" spans="4:5" ht="14.25" customHeight="1">
      <c r="D750" s="2"/>
      <c r="E750" s="2"/>
    </row>
    <row r="751" spans="4:5" ht="14.25" customHeight="1">
      <c r="D751" s="2"/>
      <c r="E751" s="2"/>
    </row>
    <row r="752" spans="4:5" ht="14.25" customHeight="1">
      <c r="D752" s="2"/>
      <c r="E752" s="2"/>
    </row>
    <row r="753" spans="4:5" ht="14.25" customHeight="1">
      <c r="D753" s="2"/>
      <c r="E753" s="2"/>
    </row>
    <row r="754" spans="4:5" ht="14.25" customHeight="1">
      <c r="D754" s="2"/>
      <c r="E754" s="2"/>
    </row>
    <row r="755" spans="4:5" ht="14.25" customHeight="1">
      <c r="D755" s="2"/>
      <c r="E755" s="2"/>
    </row>
    <row r="756" spans="4:5" ht="14.25" customHeight="1">
      <c r="D756" s="2"/>
      <c r="E756" s="2"/>
    </row>
    <row r="757" spans="4:5" ht="14.25" customHeight="1">
      <c r="D757" s="2"/>
      <c r="E757" s="2"/>
    </row>
    <row r="758" spans="4:5" ht="14.25" customHeight="1">
      <c r="D758" s="2"/>
      <c r="E758" s="2"/>
    </row>
    <row r="759" spans="4:5" ht="14.25" customHeight="1">
      <c r="D759" s="2"/>
      <c r="E759" s="2"/>
    </row>
    <row r="760" spans="4:5" ht="14.25" customHeight="1">
      <c r="D760" s="2"/>
      <c r="E760" s="2"/>
    </row>
    <row r="761" spans="4:5" ht="14.25" customHeight="1">
      <c r="D761" s="2"/>
      <c r="E761" s="2"/>
    </row>
    <row r="762" spans="4:5" ht="14.25" customHeight="1">
      <c r="D762" s="2"/>
      <c r="E762" s="2"/>
    </row>
    <row r="763" spans="4:5" ht="14.25" customHeight="1">
      <c r="D763" s="2"/>
      <c r="E763" s="2"/>
    </row>
    <row r="764" spans="4:5" ht="14.25" customHeight="1">
      <c r="D764" s="2"/>
      <c r="E764" s="2"/>
    </row>
    <row r="765" spans="4:5" ht="14.25" customHeight="1">
      <c r="D765" s="2"/>
      <c r="E765" s="2"/>
    </row>
    <row r="766" spans="4:5" ht="14.25" customHeight="1">
      <c r="D766" s="2"/>
      <c r="E766" s="2"/>
    </row>
    <row r="767" spans="4:5" ht="14.25" customHeight="1">
      <c r="D767" s="2"/>
      <c r="E767" s="2"/>
    </row>
    <row r="768" spans="4:5" ht="14.25" customHeight="1">
      <c r="D768" s="2"/>
      <c r="E768" s="2"/>
    </row>
    <row r="769" spans="4:5" ht="14.25" customHeight="1">
      <c r="D769" s="2"/>
      <c r="E769" s="2"/>
    </row>
    <row r="770" spans="4:5" ht="14.25" customHeight="1">
      <c r="D770" s="2"/>
      <c r="E770" s="2"/>
    </row>
    <row r="771" spans="4:5" ht="14.25" customHeight="1">
      <c r="D771" s="2"/>
      <c r="E771" s="2"/>
    </row>
    <row r="772" spans="4:5" ht="14.25" customHeight="1">
      <c r="D772" s="2"/>
      <c r="E772" s="2"/>
    </row>
    <row r="773" spans="4:5" ht="14.25" customHeight="1">
      <c r="D773" s="2"/>
      <c r="E773" s="2"/>
    </row>
    <row r="774" spans="4:5" ht="14.25" customHeight="1">
      <c r="D774" s="2"/>
      <c r="E774" s="2"/>
    </row>
    <row r="775" spans="4:5" ht="14.25" customHeight="1">
      <c r="D775" s="2"/>
      <c r="E775" s="2"/>
    </row>
    <row r="776" spans="4:5" ht="14.25" customHeight="1">
      <c r="D776" s="2"/>
      <c r="E776" s="2"/>
    </row>
    <row r="777" spans="4:5" ht="14.25" customHeight="1">
      <c r="D777" s="2"/>
      <c r="E777" s="2"/>
    </row>
    <row r="778" spans="4:5" ht="14.25" customHeight="1">
      <c r="D778" s="2"/>
      <c r="E778" s="2"/>
    </row>
    <row r="779" spans="4:5" ht="14.25" customHeight="1">
      <c r="D779" s="2"/>
      <c r="E779" s="2"/>
    </row>
    <row r="780" spans="4:5" ht="14.25" customHeight="1">
      <c r="D780" s="2"/>
      <c r="E780" s="2"/>
    </row>
    <row r="781" spans="4:5" ht="14.25" customHeight="1">
      <c r="D781" s="2"/>
      <c r="E781" s="2"/>
    </row>
    <row r="782" spans="4:5" ht="14.25" customHeight="1">
      <c r="D782" s="2"/>
      <c r="E782" s="2"/>
    </row>
    <row r="783" spans="4:5" ht="14.25" customHeight="1">
      <c r="D783" s="2"/>
      <c r="E783" s="2"/>
    </row>
    <row r="784" spans="4:5" ht="14.25" customHeight="1">
      <c r="D784" s="2"/>
      <c r="E784" s="2"/>
    </row>
    <row r="785" spans="4:5" ht="14.25" customHeight="1">
      <c r="D785" s="2"/>
      <c r="E785" s="2"/>
    </row>
    <row r="786" spans="4:5" ht="14.25" customHeight="1">
      <c r="D786" s="2"/>
      <c r="E786" s="2"/>
    </row>
    <row r="787" spans="4:5" ht="14.25" customHeight="1">
      <c r="D787" s="2"/>
      <c r="E787" s="2"/>
    </row>
    <row r="788" spans="4:5" ht="14.25" customHeight="1">
      <c r="D788" s="2"/>
      <c r="E788" s="2"/>
    </row>
    <row r="789" spans="4:5" ht="14.25" customHeight="1">
      <c r="D789" s="2"/>
      <c r="E789" s="2"/>
    </row>
    <row r="790" spans="4:5" ht="14.25" customHeight="1">
      <c r="D790" s="2"/>
      <c r="E790" s="2"/>
    </row>
    <row r="791" spans="4:5" ht="14.25" customHeight="1">
      <c r="D791" s="2"/>
      <c r="E791" s="2"/>
    </row>
    <row r="792" spans="4:5" ht="14.25" customHeight="1">
      <c r="D792" s="2"/>
      <c r="E792" s="2"/>
    </row>
    <row r="793" spans="4:5" ht="14.25" customHeight="1">
      <c r="D793" s="2"/>
      <c r="E793" s="2"/>
    </row>
    <row r="794" spans="4:5" ht="14.25" customHeight="1">
      <c r="D794" s="2"/>
      <c r="E794" s="2"/>
    </row>
    <row r="795" spans="4:5" ht="14.25" customHeight="1">
      <c r="D795" s="2"/>
      <c r="E795" s="2"/>
    </row>
    <row r="796" spans="4:5" ht="14.25" customHeight="1">
      <c r="D796" s="2"/>
      <c r="E796" s="2"/>
    </row>
    <row r="797" spans="4:5" ht="14.25" customHeight="1">
      <c r="D797" s="2"/>
      <c r="E797" s="2"/>
    </row>
    <row r="798" spans="4:5" ht="14.25" customHeight="1">
      <c r="D798" s="2"/>
      <c r="E798" s="2"/>
    </row>
    <row r="799" spans="4:5" ht="14.25" customHeight="1">
      <c r="D799" s="2"/>
      <c r="E799" s="2"/>
    </row>
    <row r="800" spans="4:5" ht="14.25" customHeight="1">
      <c r="D800" s="2"/>
      <c r="E800" s="2"/>
    </row>
    <row r="801" spans="4:5" ht="14.25" customHeight="1">
      <c r="D801" s="2"/>
      <c r="E801" s="2"/>
    </row>
    <row r="802" spans="4:5" ht="14.25" customHeight="1">
      <c r="D802" s="2"/>
      <c r="E802" s="2"/>
    </row>
    <row r="803" spans="4:5" ht="14.25" customHeight="1">
      <c r="D803" s="2"/>
      <c r="E803" s="2"/>
    </row>
    <row r="804" spans="4:5" ht="14.25" customHeight="1">
      <c r="D804" s="2"/>
      <c r="E804" s="2"/>
    </row>
    <row r="805" spans="4:5" ht="14.25" customHeight="1">
      <c r="D805" s="2"/>
      <c r="E805" s="2"/>
    </row>
    <row r="806" spans="4:5" ht="14.25" customHeight="1">
      <c r="D806" s="2"/>
      <c r="E806" s="2"/>
    </row>
    <row r="807" spans="4:5" ht="14.25" customHeight="1">
      <c r="D807" s="2"/>
      <c r="E807" s="2"/>
    </row>
    <row r="808" spans="4:5" ht="14.25" customHeight="1">
      <c r="D808" s="2"/>
      <c r="E808" s="2"/>
    </row>
    <row r="809" spans="4:5" ht="14.25" customHeight="1">
      <c r="D809" s="2"/>
      <c r="E809" s="2"/>
    </row>
    <row r="810" spans="4:5" ht="14.25" customHeight="1">
      <c r="D810" s="2"/>
      <c r="E810" s="2"/>
    </row>
    <row r="811" spans="4:5" ht="14.25" customHeight="1">
      <c r="D811" s="2"/>
      <c r="E811" s="2"/>
    </row>
    <row r="812" spans="4:5" ht="14.25" customHeight="1">
      <c r="D812" s="2"/>
      <c r="E812" s="2"/>
    </row>
    <row r="813" spans="4:5" ht="14.25" customHeight="1">
      <c r="D813" s="2"/>
      <c r="E813" s="2"/>
    </row>
    <row r="814" spans="4:5" ht="14.25" customHeight="1">
      <c r="D814" s="2"/>
      <c r="E814" s="2"/>
    </row>
    <row r="815" spans="4:5" ht="14.25" customHeight="1">
      <c r="D815" s="2"/>
      <c r="E815" s="2"/>
    </row>
    <row r="816" spans="4:5" ht="14.25" customHeight="1">
      <c r="D816" s="2"/>
      <c r="E816" s="2"/>
    </row>
    <row r="817" spans="4:5" ht="14.25" customHeight="1">
      <c r="D817" s="2"/>
      <c r="E817" s="2"/>
    </row>
    <row r="818" spans="4:5" ht="14.25" customHeight="1">
      <c r="D818" s="2"/>
      <c r="E818" s="2"/>
    </row>
    <row r="819" spans="4:5" ht="14.25" customHeight="1">
      <c r="D819" s="2"/>
      <c r="E819" s="2"/>
    </row>
    <row r="820" spans="4:5" ht="14.25" customHeight="1">
      <c r="D820" s="2"/>
      <c r="E820" s="2"/>
    </row>
    <row r="821" spans="4:5" ht="14.25" customHeight="1">
      <c r="D821" s="2"/>
      <c r="E821" s="2"/>
    </row>
    <row r="822" spans="4:5" ht="14.25" customHeight="1">
      <c r="D822" s="2"/>
      <c r="E822" s="2"/>
    </row>
    <row r="823" spans="4:5" ht="14.25" customHeight="1">
      <c r="D823" s="2"/>
      <c r="E823" s="2"/>
    </row>
    <row r="824" spans="4:5" ht="14.25" customHeight="1">
      <c r="D824" s="2"/>
      <c r="E824" s="2"/>
    </row>
    <row r="825" spans="4:5" ht="14.25" customHeight="1">
      <c r="D825" s="2"/>
      <c r="E825" s="2"/>
    </row>
    <row r="826" spans="4:5" ht="14.25" customHeight="1">
      <c r="D826" s="2"/>
      <c r="E826" s="2"/>
    </row>
    <row r="827" spans="4:5" ht="14.25" customHeight="1">
      <c r="D827" s="2"/>
      <c r="E827" s="2"/>
    </row>
    <row r="828" spans="4:5" ht="14.25" customHeight="1">
      <c r="D828" s="2"/>
      <c r="E828" s="2"/>
    </row>
    <row r="829" spans="4:5" ht="14.25" customHeight="1">
      <c r="D829" s="2"/>
      <c r="E829" s="2"/>
    </row>
    <row r="830" spans="4:5" ht="14.25" customHeight="1">
      <c r="D830" s="2"/>
      <c r="E830" s="2"/>
    </row>
    <row r="831" spans="4:5" ht="14.25" customHeight="1">
      <c r="D831" s="2"/>
      <c r="E831" s="2"/>
    </row>
    <row r="832" spans="4:5" ht="14.25" customHeight="1">
      <c r="D832" s="2"/>
      <c r="E832" s="2"/>
    </row>
    <row r="833" spans="4:5" ht="14.25" customHeight="1">
      <c r="D833" s="2"/>
      <c r="E833" s="2"/>
    </row>
    <row r="834" spans="4:5" ht="14.25" customHeight="1">
      <c r="D834" s="2"/>
      <c r="E834" s="2"/>
    </row>
    <row r="835" spans="4:5" ht="14.25" customHeight="1">
      <c r="D835" s="2"/>
      <c r="E835" s="2"/>
    </row>
    <row r="836" spans="4:5" ht="14.25" customHeight="1">
      <c r="D836" s="2"/>
      <c r="E836" s="2"/>
    </row>
    <row r="837" spans="4:5" ht="14.25" customHeight="1">
      <c r="D837" s="2"/>
      <c r="E837" s="2"/>
    </row>
    <row r="838" spans="4:5" ht="14.25" customHeight="1">
      <c r="D838" s="2"/>
      <c r="E838" s="2"/>
    </row>
    <row r="839" spans="4:5" ht="14.25" customHeight="1">
      <c r="D839" s="2"/>
      <c r="E839" s="2"/>
    </row>
    <row r="840" spans="4:5" ht="14.25" customHeight="1">
      <c r="D840" s="2"/>
      <c r="E840" s="2"/>
    </row>
    <row r="841" spans="4:5" ht="14.25" customHeight="1">
      <c r="D841" s="2"/>
      <c r="E841" s="2"/>
    </row>
    <row r="842" spans="4:5" ht="14.25" customHeight="1">
      <c r="D842" s="2"/>
      <c r="E842" s="2"/>
    </row>
    <row r="843" spans="4:5" ht="14.25" customHeight="1">
      <c r="D843" s="2"/>
      <c r="E843" s="2"/>
    </row>
    <row r="844" spans="4:5" ht="14.25" customHeight="1">
      <c r="D844" s="2"/>
      <c r="E844" s="2"/>
    </row>
    <row r="845" spans="4:5" ht="14.25" customHeight="1">
      <c r="D845" s="2"/>
      <c r="E845" s="2"/>
    </row>
    <row r="846" spans="4:5" ht="14.25" customHeight="1">
      <c r="D846" s="2"/>
      <c r="E846" s="2"/>
    </row>
    <row r="847" spans="4:5" ht="14.25" customHeight="1">
      <c r="D847" s="2"/>
      <c r="E847" s="2"/>
    </row>
    <row r="848" spans="4:5" ht="14.25" customHeight="1">
      <c r="D848" s="2"/>
      <c r="E848" s="2"/>
    </row>
    <row r="849" spans="4:5" ht="14.25" customHeight="1">
      <c r="D849" s="2"/>
      <c r="E849" s="2"/>
    </row>
    <row r="850" spans="4:5" ht="14.25" customHeight="1">
      <c r="D850" s="2"/>
      <c r="E850" s="2"/>
    </row>
    <row r="851" spans="4:5" ht="14.25" customHeight="1">
      <c r="D851" s="2"/>
      <c r="E851" s="2"/>
    </row>
    <row r="852" spans="4:5" ht="14.25" customHeight="1">
      <c r="D852" s="2"/>
      <c r="E852" s="2"/>
    </row>
    <row r="853" spans="4:5" ht="14.25" customHeight="1">
      <c r="D853" s="2"/>
      <c r="E853" s="2"/>
    </row>
    <row r="854" spans="4:5" ht="14.25" customHeight="1">
      <c r="D854" s="2"/>
      <c r="E854" s="2"/>
    </row>
    <row r="855" spans="4:5" ht="14.25" customHeight="1">
      <c r="D855" s="2"/>
      <c r="E855" s="2"/>
    </row>
    <row r="856" spans="4:5" ht="14.25" customHeight="1">
      <c r="D856" s="2"/>
      <c r="E856" s="2"/>
    </row>
    <row r="857" spans="4:5" ht="14.25" customHeight="1">
      <c r="D857" s="2"/>
      <c r="E857" s="2"/>
    </row>
    <row r="858" spans="4:5" ht="14.25" customHeight="1">
      <c r="D858" s="2"/>
      <c r="E858" s="2"/>
    </row>
    <row r="859" spans="4:5" ht="14.25" customHeight="1">
      <c r="D859" s="2"/>
      <c r="E859" s="2"/>
    </row>
    <row r="860" spans="4:5" ht="14.25" customHeight="1">
      <c r="D860" s="2"/>
      <c r="E860" s="2"/>
    </row>
    <row r="861" spans="4:5" ht="14.25" customHeight="1">
      <c r="D861" s="2"/>
      <c r="E861" s="2"/>
    </row>
    <row r="862" spans="4:5" ht="14.25" customHeight="1">
      <c r="D862" s="2"/>
      <c r="E862" s="2"/>
    </row>
    <row r="863" spans="4:5" ht="14.25" customHeight="1">
      <c r="D863" s="2"/>
      <c r="E863" s="2"/>
    </row>
    <row r="864" spans="4:5" ht="14.25" customHeight="1">
      <c r="D864" s="2"/>
      <c r="E864" s="2"/>
    </row>
    <row r="865" spans="4:5" ht="14.25" customHeight="1">
      <c r="D865" s="2"/>
      <c r="E865" s="2"/>
    </row>
    <row r="866" spans="4:5" ht="14.25" customHeight="1">
      <c r="D866" s="2"/>
      <c r="E866" s="2"/>
    </row>
    <row r="867" spans="4:5" ht="14.25" customHeight="1">
      <c r="D867" s="2"/>
      <c r="E867" s="2"/>
    </row>
    <row r="868" spans="4:5" ht="14.25" customHeight="1">
      <c r="D868" s="2"/>
      <c r="E868" s="2"/>
    </row>
    <row r="869" spans="4:5" ht="14.25" customHeight="1">
      <c r="D869" s="2"/>
      <c r="E869" s="2"/>
    </row>
    <row r="870" spans="4:5" ht="14.25" customHeight="1">
      <c r="D870" s="2"/>
      <c r="E870" s="2"/>
    </row>
    <row r="871" spans="4:5" ht="14.25" customHeight="1">
      <c r="D871" s="2"/>
      <c r="E871" s="2"/>
    </row>
    <row r="872" spans="4:5" ht="14.25" customHeight="1">
      <c r="D872" s="2"/>
      <c r="E872" s="2"/>
    </row>
    <row r="873" spans="4:5" ht="14.25" customHeight="1">
      <c r="D873" s="2"/>
      <c r="E873" s="2"/>
    </row>
    <row r="874" spans="4:5" ht="14.25" customHeight="1">
      <c r="D874" s="2"/>
      <c r="E874" s="2"/>
    </row>
    <row r="875" spans="4:5" ht="14.25" customHeight="1">
      <c r="D875" s="2"/>
      <c r="E875" s="2"/>
    </row>
    <row r="876" spans="4:5" ht="14.25" customHeight="1">
      <c r="D876" s="2"/>
      <c r="E876" s="2"/>
    </row>
    <row r="877" spans="4:5" ht="14.25" customHeight="1">
      <c r="D877" s="2"/>
      <c r="E877" s="2"/>
    </row>
    <row r="878" spans="4:5" ht="14.25" customHeight="1">
      <c r="D878" s="2"/>
      <c r="E878" s="2"/>
    </row>
    <row r="879" spans="4:5" ht="14.25" customHeight="1">
      <c r="D879" s="2"/>
      <c r="E879" s="2"/>
    </row>
    <row r="880" spans="4:5" ht="14.25" customHeight="1">
      <c r="D880" s="2"/>
      <c r="E880" s="2"/>
    </row>
    <row r="881" spans="4:5" ht="14.25" customHeight="1">
      <c r="D881" s="2"/>
      <c r="E881" s="2"/>
    </row>
    <row r="882" spans="4:5" ht="14.25" customHeight="1">
      <c r="D882" s="2"/>
      <c r="E882" s="2"/>
    </row>
    <row r="883" spans="4:5" ht="14.25" customHeight="1">
      <c r="D883" s="2"/>
      <c r="E883" s="2"/>
    </row>
    <row r="884" spans="4:5" ht="14.25" customHeight="1">
      <c r="D884" s="2"/>
      <c r="E884" s="2"/>
    </row>
    <row r="885" spans="4:5" ht="14.25" customHeight="1">
      <c r="D885" s="2"/>
      <c r="E885" s="2"/>
    </row>
    <row r="886" spans="4:5" ht="14.25" customHeight="1">
      <c r="D886" s="2"/>
      <c r="E886" s="2"/>
    </row>
    <row r="887" spans="4:5" ht="14.25" customHeight="1">
      <c r="D887" s="2"/>
      <c r="E887" s="2"/>
    </row>
    <row r="888" spans="4:5" ht="14.25" customHeight="1">
      <c r="D888" s="2"/>
      <c r="E888" s="2"/>
    </row>
    <row r="889" spans="4:5" ht="14.25" customHeight="1">
      <c r="D889" s="2"/>
      <c r="E889" s="2"/>
    </row>
    <row r="890" spans="4:5" ht="14.25" customHeight="1">
      <c r="D890" s="2"/>
      <c r="E890" s="2"/>
    </row>
    <row r="891" spans="4:5" ht="14.25" customHeight="1">
      <c r="D891" s="2"/>
      <c r="E891" s="2"/>
    </row>
    <row r="892" spans="4:5" ht="14.25" customHeight="1">
      <c r="D892" s="2"/>
      <c r="E892" s="2"/>
    </row>
    <row r="893" spans="4:5" ht="14.25" customHeight="1">
      <c r="D893" s="2"/>
      <c r="E893" s="2"/>
    </row>
    <row r="894" spans="4:5" ht="14.25" customHeight="1">
      <c r="D894" s="2"/>
      <c r="E894" s="2"/>
    </row>
    <row r="895" spans="4:5" ht="14.25" customHeight="1">
      <c r="D895" s="2"/>
      <c r="E895" s="2"/>
    </row>
    <row r="896" spans="4:5" ht="14.25" customHeight="1">
      <c r="D896" s="2"/>
      <c r="E896" s="2"/>
    </row>
    <row r="897" spans="4:5" ht="14.25" customHeight="1">
      <c r="D897" s="2"/>
      <c r="E897" s="2"/>
    </row>
    <row r="898" spans="4:5" ht="14.25" customHeight="1">
      <c r="D898" s="2"/>
      <c r="E898" s="2"/>
    </row>
    <row r="899" spans="4:5" ht="14.25" customHeight="1">
      <c r="D899" s="2"/>
      <c r="E899" s="2"/>
    </row>
    <row r="900" spans="4:5" ht="14.25" customHeight="1">
      <c r="D900" s="2"/>
      <c r="E900" s="2"/>
    </row>
    <row r="901" spans="4:5" ht="14.25" customHeight="1">
      <c r="D901" s="2"/>
      <c r="E901" s="2"/>
    </row>
    <row r="902" spans="4:5" ht="14.25" customHeight="1">
      <c r="D902" s="2"/>
      <c r="E902" s="2"/>
    </row>
    <row r="903" spans="4:5" ht="14.25" customHeight="1">
      <c r="D903" s="2"/>
      <c r="E903" s="2"/>
    </row>
    <row r="904" spans="4:5" ht="14.25" customHeight="1">
      <c r="D904" s="2"/>
      <c r="E904" s="2"/>
    </row>
    <row r="905" spans="4:5" ht="14.25" customHeight="1">
      <c r="D905" s="2"/>
      <c r="E905" s="2"/>
    </row>
    <row r="906" spans="4:5" ht="14.25" customHeight="1">
      <c r="D906" s="2"/>
      <c r="E906" s="2"/>
    </row>
    <row r="907" spans="4:5" ht="14.25" customHeight="1">
      <c r="D907" s="2"/>
      <c r="E907" s="2"/>
    </row>
    <row r="908" spans="4:5" ht="14.25" customHeight="1">
      <c r="D908" s="2"/>
      <c r="E908" s="2"/>
    </row>
    <row r="909" spans="4:5" ht="14.25" customHeight="1">
      <c r="D909" s="2"/>
      <c r="E909" s="2"/>
    </row>
    <row r="910" spans="4:5" ht="14.25" customHeight="1">
      <c r="D910" s="2"/>
      <c r="E910" s="2"/>
    </row>
    <row r="911" spans="4:5" ht="14.25" customHeight="1">
      <c r="D911" s="2"/>
      <c r="E911" s="2"/>
    </row>
    <row r="912" spans="4:5" ht="14.25" customHeight="1">
      <c r="D912" s="2"/>
      <c r="E912" s="2"/>
    </row>
    <row r="913" spans="4:5" ht="14.25" customHeight="1">
      <c r="D913" s="2"/>
      <c r="E913" s="2"/>
    </row>
    <row r="914" spans="4:5" ht="14.25" customHeight="1">
      <c r="D914" s="2"/>
      <c r="E914" s="2"/>
    </row>
    <row r="915" spans="4:5" ht="14.25" customHeight="1">
      <c r="D915" s="2"/>
      <c r="E915" s="2"/>
    </row>
    <row r="916" spans="4:5" ht="14.25" customHeight="1">
      <c r="D916" s="2"/>
      <c r="E916" s="2"/>
    </row>
    <row r="917" spans="4:5" ht="14.25" customHeight="1">
      <c r="D917" s="2"/>
      <c r="E917" s="2"/>
    </row>
    <row r="918" spans="4:5" ht="14.25" customHeight="1">
      <c r="D918" s="2"/>
      <c r="E918" s="2"/>
    </row>
    <row r="919" spans="4:5" ht="14.25" customHeight="1">
      <c r="D919" s="2"/>
      <c r="E919" s="2"/>
    </row>
    <row r="920" spans="4:5" ht="14.25" customHeight="1">
      <c r="D920" s="2"/>
      <c r="E920" s="2"/>
    </row>
    <row r="921" spans="4:5" ht="14.25" customHeight="1">
      <c r="D921" s="2"/>
      <c r="E921" s="2"/>
    </row>
    <row r="922" spans="4:5" ht="14.25" customHeight="1">
      <c r="D922" s="2"/>
      <c r="E922" s="2"/>
    </row>
    <row r="923" spans="4:5" ht="14.25" customHeight="1">
      <c r="D923" s="2"/>
      <c r="E923" s="2"/>
    </row>
    <row r="924" spans="4:5" ht="14.25" customHeight="1">
      <c r="D924" s="2"/>
      <c r="E924" s="2"/>
    </row>
    <row r="925" spans="4:5" ht="14.25" customHeight="1">
      <c r="D925" s="2"/>
      <c r="E925" s="2"/>
    </row>
    <row r="926" spans="4:5" ht="14.25" customHeight="1">
      <c r="D926" s="2"/>
      <c r="E926" s="2"/>
    </row>
    <row r="927" spans="4:5" ht="14.25" customHeight="1">
      <c r="D927" s="2"/>
      <c r="E927" s="2"/>
    </row>
    <row r="928" spans="4:5" ht="14.25" customHeight="1">
      <c r="D928" s="2"/>
      <c r="E928" s="2"/>
    </row>
    <row r="929" spans="4:5" ht="14.25" customHeight="1">
      <c r="D929" s="2"/>
      <c r="E929" s="2"/>
    </row>
    <row r="930" spans="4:5" ht="14.25" customHeight="1">
      <c r="D930" s="2"/>
      <c r="E930" s="2"/>
    </row>
    <row r="931" spans="4:5" ht="14.25" customHeight="1">
      <c r="D931" s="2"/>
      <c r="E931" s="2"/>
    </row>
    <row r="932" spans="4:5" ht="14.25" customHeight="1">
      <c r="D932" s="2"/>
      <c r="E932" s="2"/>
    </row>
    <row r="933" spans="4:5" ht="14.25" customHeight="1">
      <c r="D933" s="2"/>
      <c r="E933" s="2"/>
    </row>
    <row r="934" spans="4:5" ht="14.25" customHeight="1">
      <c r="D934" s="2"/>
      <c r="E934" s="2"/>
    </row>
    <row r="935" spans="4:5" ht="14.25" customHeight="1">
      <c r="D935" s="2"/>
      <c r="E935" s="2"/>
    </row>
    <row r="936" spans="4:5" ht="14.25" customHeight="1">
      <c r="D936" s="2"/>
      <c r="E936" s="2"/>
    </row>
    <row r="937" spans="4:5" ht="14.25" customHeight="1">
      <c r="D937" s="2"/>
      <c r="E937" s="2"/>
    </row>
    <row r="938" spans="4:5" ht="14.25" customHeight="1">
      <c r="D938" s="2"/>
      <c r="E938" s="2"/>
    </row>
    <row r="939" spans="4:5" ht="14.25" customHeight="1">
      <c r="D939" s="2"/>
      <c r="E939" s="2"/>
    </row>
    <row r="940" spans="4:5" ht="14.25" customHeight="1">
      <c r="D940" s="2"/>
      <c r="E940" s="2"/>
    </row>
    <row r="941" spans="4:5" ht="14.25" customHeight="1">
      <c r="D941" s="2"/>
      <c r="E941" s="2"/>
    </row>
    <row r="942" spans="4:5" ht="14.25" customHeight="1">
      <c r="D942" s="2"/>
      <c r="E942" s="2"/>
    </row>
    <row r="943" spans="4:5" ht="14.25" customHeight="1">
      <c r="D943" s="2"/>
      <c r="E943" s="2"/>
    </row>
    <row r="944" spans="4:5" ht="14.25" customHeight="1">
      <c r="D944" s="2"/>
      <c r="E944" s="2"/>
    </row>
    <row r="945" spans="4:5" ht="14.25" customHeight="1">
      <c r="D945" s="2"/>
      <c r="E945" s="2"/>
    </row>
    <row r="946" spans="4:5" ht="14.25" customHeight="1">
      <c r="D946" s="2"/>
      <c r="E946" s="2"/>
    </row>
    <row r="947" spans="4:5" ht="14.25" customHeight="1">
      <c r="D947" s="2"/>
      <c r="E947" s="2"/>
    </row>
    <row r="948" spans="4:5" ht="14.25" customHeight="1">
      <c r="D948" s="2"/>
      <c r="E948" s="2"/>
    </row>
    <row r="949" spans="4:5" ht="14.25" customHeight="1">
      <c r="D949" s="2"/>
      <c r="E949" s="2"/>
    </row>
    <row r="950" spans="4:5" ht="14.25" customHeight="1">
      <c r="D950" s="2"/>
      <c r="E950" s="2"/>
    </row>
    <row r="951" spans="4:5" ht="14.25" customHeight="1">
      <c r="D951" s="2"/>
      <c r="E951" s="2"/>
    </row>
    <row r="952" spans="4:5" ht="14.25" customHeight="1">
      <c r="D952" s="2"/>
      <c r="E952" s="2"/>
    </row>
    <row r="953" spans="4:5" ht="14.25" customHeight="1">
      <c r="D953" s="2"/>
      <c r="E953" s="2"/>
    </row>
    <row r="954" spans="4:5" ht="14.25" customHeight="1">
      <c r="D954" s="2"/>
      <c r="E954" s="2"/>
    </row>
    <row r="955" spans="4:5" ht="14.25" customHeight="1">
      <c r="D955" s="2"/>
      <c r="E955" s="2"/>
    </row>
    <row r="956" spans="4:5" ht="14.25" customHeight="1">
      <c r="D956" s="2"/>
      <c r="E956" s="2"/>
    </row>
    <row r="957" spans="4:5" ht="14.25" customHeight="1">
      <c r="D957" s="2"/>
      <c r="E957" s="2"/>
    </row>
    <row r="958" spans="4:5" ht="14.25" customHeight="1">
      <c r="D958" s="2"/>
      <c r="E958" s="2"/>
    </row>
    <row r="959" spans="4:5" ht="14.25" customHeight="1">
      <c r="D959" s="2"/>
      <c r="E959" s="2"/>
    </row>
    <row r="960" spans="4:5" ht="14.25" customHeight="1">
      <c r="D960" s="2"/>
      <c r="E960" s="2"/>
    </row>
    <row r="961" spans="4:5" ht="14.25" customHeight="1">
      <c r="D961" s="2"/>
      <c r="E961" s="2"/>
    </row>
    <row r="962" spans="4:5" ht="14.25" customHeight="1">
      <c r="D962" s="2"/>
      <c r="E962" s="2"/>
    </row>
    <row r="963" spans="4:5" ht="14.25" customHeight="1">
      <c r="D963" s="2"/>
      <c r="E963" s="2"/>
    </row>
    <row r="964" spans="4:5" ht="14.25" customHeight="1">
      <c r="D964" s="2"/>
      <c r="E964" s="2"/>
    </row>
    <row r="965" spans="4:5" ht="14.25" customHeight="1">
      <c r="D965" s="2"/>
      <c r="E965" s="2"/>
    </row>
    <row r="966" spans="4:5" ht="14.25" customHeight="1">
      <c r="D966" s="2"/>
      <c r="E966" s="2"/>
    </row>
    <row r="967" spans="4:5" ht="14.25" customHeight="1">
      <c r="D967" s="2"/>
      <c r="E967" s="2"/>
    </row>
    <row r="968" spans="4:5" ht="14.25" customHeight="1">
      <c r="D968" s="2"/>
      <c r="E968" s="2"/>
    </row>
    <row r="969" spans="4:5" ht="14.25" customHeight="1">
      <c r="D969" s="2"/>
      <c r="E969" s="2"/>
    </row>
    <row r="970" spans="4:5" ht="14.25" customHeight="1">
      <c r="D970" s="2"/>
      <c r="E970" s="2"/>
    </row>
    <row r="971" spans="4:5" ht="14.25" customHeight="1">
      <c r="D971" s="2"/>
      <c r="E971" s="2"/>
    </row>
    <row r="972" spans="4:5" ht="14.25" customHeight="1">
      <c r="D972" s="2"/>
      <c r="E972" s="2"/>
    </row>
    <row r="973" spans="4:5" ht="14.25" customHeight="1">
      <c r="D973" s="2"/>
      <c r="E973" s="2"/>
    </row>
    <row r="974" spans="4:5" ht="14.25" customHeight="1">
      <c r="D974" s="2"/>
      <c r="E974" s="2"/>
    </row>
    <row r="975" spans="4:5" ht="14.25" customHeight="1">
      <c r="D975" s="2"/>
      <c r="E975" s="2"/>
    </row>
    <row r="976" spans="4:5" ht="14.25" customHeight="1">
      <c r="D976" s="2"/>
      <c r="E976" s="2"/>
    </row>
    <row r="977" spans="4:5" ht="14.25" customHeight="1">
      <c r="D977" s="2"/>
      <c r="E977" s="2"/>
    </row>
    <row r="978" spans="4:5" ht="14.25" customHeight="1">
      <c r="D978" s="2"/>
      <c r="E978" s="2"/>
    </row>
    <row r="979" spans="4:5" ht="14.25" customHeight="1">
      <c r="D979" s="2"/>
      <c r="E979" s="2"/>
    </row>
    <row r="980" spans="4:5" ht="14.25" customHeight="1">
      <c r="D980" s="2"/>
      <c r="E980" s="2"/>
    </row>
    <row r="981" spans="4:5" ht="14.25" customHeight="1">
      <c r="D981" s="2"/>
      <c r="E981" s="2"/>
    </row>
    <row r="982" spans="4:5" ht="14.25" customHeight="1">
      <c r="D982" s="2"/>
      <c r="E982" s="2"/>
    </row>
    <row r="983" spans="4:5" ht="14.25" customHeight="1">
      <c r="D983" s="2"/>
      <c r="E983" s="2"/>
    </row>
    <row r="984" spans="4:5" ht="14.25" customHeight="1">
      <c r="D984" s="2"/>
      <c r="E984" s="2"/>
    </row>
    <row r="985" spans="4:5" ht="14.25" customHeight="1">
      <c r="D985" s="2"/>
      <c r="E985" s="2"/>
    </row>
    <row r="986" spans="4:5" ht="14.25" customHeight="1">
      <c r="D986" s="2"/>
      <c r="E986" s="2"/>
    </row>
    <row r="987" spans="4:5" ht="14.25" customHeight="1">
      <c r="D987" s="2"/>
      <c r="E987" s="2"/>
    </row>
    <row r="988" spans="4:5" ht="14.25" customHeight="1">
      <c r="D988" s="2"/>
      <c r="E988" s="2"/>
    </row>
    <row r="989" spans="4:5" ht="14.25" customHeight="1">
      <c r="D989" s="2"/>
      <c r="E989" s="2"/>
    </row>
    <row r="990" spans="4:5" ht="14.25" customHeight="1">
      <c r="D990" s="2"/>
      <c r="E990" s="2"/>
    </row>
    <row r="991" spans="4:5" ht="14.25" customHeight="1">
      <c r="D991" s="2"/>
      <c r="E991" s="2"/>
    </row>
    <row r="992" spans="4:5" ht="14.25" customHeight="1">
      <c r="D992" s="2"/>
      <c r="E992" s="2"/>
    </row>
    <row r="993" spans="4:5" ht="14.25" customHeight="1">
      <c r="D993" s="2"/>
      <c r="E993" s="2"/>
    </row>
    <row r="994" spans="4:5" ht="14.25" customHeight="1">
      <c r="D994" s="2"/>
      <c r="E994" s="2"/>
    </row>
    <row r="995" spans="4:5" ht="14.25" customHeight="1">
      <c r="D995" s="2"/>
      <c r="E995" s="2"/>
    </row>
    <row r="996" spans="4:5" ht="14.25" customHeight="1">
      <c r="D996" s="2"/>
      <c r="E996" s="2"/>
    </row>
    <row r="997" spans="4:5" ht="14.25" customHeight="1">
      <c r="D997" s="2"/>
      <c r="E997" s="2"/>
    </row>
    <row r="998" spans="4:5" ht="14.25" customHeight="1">
      <c r="D998" s="2"/>
      <c r="E998" s="2"/>
    </row>
    <row r="999" spans="4:5" ht="14.25" customHeight="1">
      <c r="D999" s="2"/>
      <c r="E999" s="2"/>
    </row>
    <row r="1000" spans="4:5" ht="14.25" customHeight="1">
      <c r="D1000" s="2"/>
      <c r="E1000" s="2"/>
    </row>
  </sheetData>
  <conditionalFormatting sqref="M3:M13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D3:D13">
    <cfRule type="top10" dxfId="9" priority="1" percent="1" rank="10"/>
  </conditionalFormatting>
  <pageMargins left="0.7" right="0.7" top="0.75" bottom="0.75" header="0" footer="0"/>
  <pageSetup orientation="landscape"/>
  <tableParts count="6">
    <tablePart r:id="rId1"/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U1000"/>
  <sheetViews>
    <sheetView zoomScale="85" zoomScaleNormal="85" workbookViewId="0">
      <selection activeCell="D21" sqref="D21"/>
    </sheetView>
  </sheetViews>
  <sheetFormatPr defaultColWidth="12.54296875" defaultRowHeight="15" customHeight="1"/>
  <cols>
    <col min="1" max="1" width="16.1796875" customWidth="1"/>
    <col min="2" max="2" width="10.81640625" customWidth="1"/>
    <col min="3" max="4" width="8.54296875" customWidth="1"/>
    <col min="5" max="5" width="10.453125" customWidth="1"/>
    <col min="6" max="6" width="11.81640625" customWidth="1"/>
    <col min="7" max="7" width="8.54296875" customWidth="1"/>
    <col min="8" max="8" width="9.81640625" customWidth="1"/>
    <col min="9" max="9" width="15.453125" customWidth="1"/>
    <col min="10" max="10" width="16.54296875" customWidth="1"/>
    <col min="11" max="11" width="15.54296875" customWidth="1"/>
    <col min="12" max="12" width="26.1796875" customWidth="1"/>
    <col min="13" max="13" width="12.1796875" customWidth="1"/>
    <col min="14" max="21" width="10.453125" customWidth="1"/>
    <col min="22" max="26" width="8.54296875" customWidth="1"/>
  </cols>
  <sheetData>
    <row r="1" spans="1:14" ht="14.25" customHeight="1">
      <c r="B1" s="15" t="s">
        <v>26</v>
      </c>
      <c r="M1" s="3"/>
      <c r="N1" s="3"/>
    </row>
    <row r="2" spans="1:14" ht="14.25" customHeight="1">
      <c r="A2" s="78" t="s">
        <v>1</v>
      </c>
      <c r="B2" s="78" t="s">
        <v>2</v>
      </c>
      <c r="C2" s="78" t="s">
        <v>3</v>
      </c>
      <c r="D2" s="78" t="s">
        <v>4</v>
      </c>
      <c r="E2" s="78" t="s">
        <v>5</v>
      </c>
      <c r="F2" s="78" t="s">
        <v>6</v>
      </c>
      <c r="G2" s="78" t="s">
        <v>7</v>
      </c>
      <c r="H2" s="78" t="s">
        <v>8</v>
      </c>
      <c r="I2" s="78" t="s">
        <v>9</v>
      </c>
      <c r="J2" s="78" t="s">
        <v>10</v>
      </c>
      <c r="K2" s="78" t="s">
        <v>11</v>
      </c>
      <c r="L2" s="78" t="s">
        <v>12</v>
      </c>
      <c r="M2" s="79" t="s">
        <v>13</v>
      </c>
    </row>
    <row r="3" spans="1:14" ht="14.25" customHeight="1">
      <c r="A3" s="80" t="str">
        <f>'Data entry'!I27</f>
        <v>a</v>
      </c>
      <c r="B3" s="80">
        <f>'Data entry'!P5</f>
        <v>0</v>
      </c>
      <c r="C3" s="80">
        <f>'Data entry'!Q5</f>
        <v>0</v>
      </c>
      <c r="D3" s="80">
        <f>'AWAY (2)'!$B3+'AWAY (2)'!$C3</f>
        <v>0</v>
      </c>
      <c r="E3" s="80" t="str">
        <f>'Data entry'!R5</f>
        <v>H</v>
      </c>
      <c r="F3" s="80" t="str">
        <f>IF(B3&gt; C3, "W", IF(B3 &lt; C3, "L", "D"))</f>
        <v>D</v>
      </c>
      <c r="G3" s="80" cm="1">
        <f t="array" ref="G3">_xlfn.SWITCH(F3,"L",0,"w",3,"D",1,)</f>
        <v>1</v>
      </c>
      <c r="H3" s="80">
        <f>'Data entry'!L28</f>
        <v>10</v>
      </c>
      <c r="I3" s="80">
        <f>'AWAY (2)'!$H3*'AWAY (2)'!$G3</f>
        <v>10</v>
      </c>
      <c r="J3" s="80">
        <f>'AWAY (2)'!$G3</f>
        <v>1</v>
      </c>
      <c r="K3" s="80">
        <f>'Data entry'!K28</f>
        <v>1</v>
      </c>
      <c r="L3" s="80">
        <f>IF(AND('AWAY (2)'!$B3&gt;0,'AWAY (2)'!$C3&gt;0),1,0)</f>
        <v>0</v>
      </c>
      <c r="M3" s="81">
        <f>'AWAY (2)'!$J3/'AWAY (2)'!$K3</f>
        <v>1</v>
      </c>
    </row>
    <row r="4" spans="1:14" ht="14.25" customHeight="1">
      <c r="A4" s="82" t="str">
        <f>'Data entry'!I28</f>
        <v>b</v>
      </c>
      <c r="B4" s="82">
        <f>'Data entry'!P6</f>
        <v>2</v>
      </c>
      <c r="C4" s="82">
        <f>'Data entry'!Q6</f>
        <v>2</v>
      </c>
      <c r="D4" s="82">
        <f>'AWAY (2)'!$B4+'AWAY (2)'!$C4</f>
        <v>4</v>
      </c>
      <c r="E4" s="82" t="str">
        <f>'Data entry'!R6</f>
        <v>H</v>
      </c>
      <c r="F4" s="82" t="str">
        <f t="shared" ref="F4:F13" si="0">IF(B4&gt; C4, "W", IF(B4 &lt; C4, "L", "D"))</f>
        <v>D</v>
      </c>
      <c r="G4" s="82" cm="1">
        <f t="array" ref="G4">_xlfn.SWITCH(F4,"L",0,"w",3,"D",1,)</f>
        <v>1</v>
      </c>
      <c r="H4" s="82">
        <f>'Data entry'!L29</f>
        <v>9</v>
      </c>
      <c r="I4" s="82">
        <f>'AWAY (2)'!$H4*'AWAY (2)'!$G4</f>
        <v>9</v>
      </c>
      <c r="J4" s="82">
        <f>J3+'AWAY (2)'!$G4</f>
        <v>2</v>
      </c>
      <c r="K4" s="82">
        <f>'Data entry'!K29</f>
        <v>2</v>
      </c>
      <c r="L4" s="82">
        <f>IF(AND('AWAY (2)'!$B4&gt;0,'AWAY (2)'!$C4&gt;0),1,0)</f>
        <v>1</v>
      </c>
      <c r="M4" s="83">
        <f>'AWAY (2)'!$J4/'AWAY (2)'!$K4</f>
        <v>1</v>
      </c>
    </row>
    <row r="5" spans="1:14" ht="14.25" customHeight="1">
      <c r="A5" s="80" t="str">
        <f>'Data entry'!I29</f>
        <v>c</v>
      </c>
      <c r="B5" s="80">
        <f>'Data entry'!P7</f>
        <v>0</v>
      </c>
      <c r="C5" s="80">
        <f>'Data entry'!Q7</f>
        <v>2</v>
      </c>
      <c r="D5" s="80">
        <f>'AWAY (2)'!$B5+'AWAY (2)'!$C5</f>
        <v>2</v>
      </c>
      <c r="E5" s="80" t="str">
        <f>'Data entry'!R7</f>
        <v>A</v>
      </c>
      <c r="F5" s="80" t="str">
        <f>IF(B5&gt; C5, "W", IF(B5 &lt; C5, "L", "D"))</f>
        <v>L</v>
      </c>
      <c r="G5" s="80" cm="1">
        <f t="array" ref="G5">_xlfn.SWITCH(F5,"L",0,"w",3,"D",1,)</f>
        <v>0</v>
      </c>
      <c r="H5" s="80">
        <f>'Data entry'!L30</f>
        <v>8</v>
      </c>
      <c r="I5" s="80">
        <f>'AWAY (2)'!$H5*'AWAY (2)'!$G5</f>
        <v>0</v>
      </c>
      <c r="J5" s="80">
        <f>J4+'AWAY (2)'!$G5</f>
        <v>2</v>
      </c>
      <c r="K5" s="80">
        <f>'Data entry'!K30</f>
        <v>3</v>
      </c>
      <c r="L5" s="80">
        <f>IF(AND('AWAY (2)'!$B5&gt;0,'AWAY (2)'!$C5&gt;0),1,0)</f>
        <v>0</v>
      </c>
      <c r="M5" s="81">
        <f>'AWAY (2)'!$J5/'AWAY (2)'!$K5</f>
        <v>0.66666666666666663</v>
      </c>
    </row>
    <row r="6" spans="1:14" ht="14.25" customHeight="1">
      <c r="A6" s="82" t="str">
        <f>'Data entry'!I30</f>
        <v>d</v>
      </c>
      <c r="B6" s="82">
        <f>'Data entry'!P8</f>
        <v>0</v>
      </c>
      <c r="C6" s="82">
        <f>'Data entry'!Q8</f>
        <v>1</v>
      </c>
      <c r="D6" s="82">
        <f>'AWAY (2)'!$B6+'AWAY (2)'!$C6</f>
        <v>1</v>
      </c>
      <c r="E6" s="82" t="str">
        <f>'Data entry'!R8</f>
        <v>A</v>
      </c>
      <c r="F6" s="82" t="str">
        <f t="shared" si="0"/>
        <v>L</v>
      </c>
      <c r="G6" s="82" cm="1">
        <f t="array" ref="G6">_xlfn.SWITCH(F6,"L",0,"w",3,"D",1,)</f>
        <v>0</v>
      </c>
      <c r="H6" s="82">
        <f>'Data entry'!L31</f>
        <v>7</v>
      </c>
      <c r="I6" s="82">
        <f>'AWAY (2)'!$H6*'AWAY (2)'!$G6</f>
        <v>0</v>
      </c>
      <c r="J6" s="82">
        <f>J5+'AWAY (2)'!$G6</f>
        <v>2</v>
      </c>
      <c r="K6" s="82">
        <f>'Data entry'!K31</f>
        <v>4</v>
      </c>
      <c r="L6" s="82">
        <f>IF(AND('AWAY (2)'!$B6&gt;0,'AWAY (2)'!$C6&gt;0),1,0)</f>
        <v>0</v>
      </c>
      <c r="M6" s="83">
        <f>'AWAY (2)'!$J6/'AWAY (2)'!$K6</f>
        <v>0.5</v>
      </c>
    </row>
    <row r="7" spans="1:14" ht="14.25" customHeight="1">
      <c r="A7" s="80" t="str">
        <f>'Data entry'!I31</f>
        <v>f</v>
      </c>
      <c r="B7" s="80">
        <f>'Data entry'!P9</f>
        <v>1</v>
      </c>
      <c r="C7" s="80">
        <f>'Data entry'!Q9</f>
        <v>4</v>
      </c>
      <c r="D7" s="80">
        <f>'AWAY (2)'!$B7+'AWAY (2)'!$C7</f>
        <v>5</v>
      </c>
      <c r="E7" s="80" t="str">
        <f>'Data entry'!R9</f>
        <v>A</v>
      </c>
      <c r="F7" s="80" t="str">
        <f t="shared" si="0"/>
        <v>L</v>
      </c>
      <c r="G7" s="80" cm="1">
        <f t="array" ref="G7">_xlfn.SWITCH(F7,"L",0,"w",3,"D",1,)</f>
        <v>0</v>
      </c>
      <c r="H7" s="80">
        <f>'Data entry'!L32</f>
        <v>6</v>
      </c>
      <c r="I7" s="80">
        <f>'AWAY (2)'!$H7*'AWAY (2)'!$G7</f>
        <v>0</v>
      </c>
      <c r="J7" s="80">
        <f>J6+'AWAY (2)'!$G7</f>
        <v>2</v>
      </c>
      <c r="K7" s="80">
        <f>'Data entry'!K32</f>
        <v>5</v>
      </c>
      <c r="L7" s="80">
        <f>IF(AND('AWAY (2)'!$B7&gt;0,'AWAY (2)'!$C7&gt;0),1,0)</f>
        <v>1</v>
      </c>
      <c r="M7" s="81">
        <f>'AWAY (2)'!$J7/'AWAY (2)'!$K7</f>
        <v>0.4</v>
      </c>
    </row>
    <row r="8" spans="1:14" ht="14.25" customHeight="1">
      <c r="A8" s="82" t="str">
        <f>'Data entry'!I32</f>
        <v>g</v>
      </c>
      <c r="B8" s="82">
        <f>'Data entry'!P10</f>
        <v>1</v>
      </c>
      <c r="C8" s="82">
        <f>'Data entry'!Q10</f>
        <v>2</v>
      </c>
      <c r="D8" s="82">
        <f>'AWAY (2)'!$B8+'AWAY (2)'!$C8</f>
        <v>3</v>
      </c>
      <c r="E8" s="82" t="str">
        <f>'Data entry'!R10</f>
        <v>H</v>
      </c>
      <c r="F8" s="82" t="str">
        <f t="shared" si="0"/>
        <v>L</v>
      </c>
      <c r="G8" s="82" cm="1">
        <f t="array" ref="G8">_xlfn.SWITCH(F8,"L",0,"w",3,"D",1,)</f>
        <v>0</v>
      </c>
      <c r="H8" s="82">
        <f>'Data entry'!L33</f>
        <v>5</v>
      </c>
      <c r="I8" s="82">
        <f>'AWAY (2)'!$H8*'AWAY (2)'!$G8</f>
        <v>0</v>
      </c>
      <c r="J8" s="82">
        <f>J7+'AWAY (2)'!$G8</f>
        <v>2</v>
      </c>
      <c r="K8" s="82">
        <f>'Data entry'!K33</f>
        <v>6</v>
      </c>
      <c r="L8" s="82">
        <f>IF(AND('AWAY (2)'!$B8&gt;0,'AWAY (2)'!$C8&gt;0),1,0)</f>
        <v>1</v>
      </c>
      <c r="M8" s="83">
        <f>'AWAY (2)'!$J8/'AWAY (2)'!$K8</f>
        <v>0.33333333333333331</v>
      </c>
    </row>
    <row r="9" spans="1:14" ht="14.25" customHeight="1">
      <c r="A9" s="80" t="str">
        <f>'Data entry'!I33</f>
        <v>h</v>
      </c>
      <c r="B9" s="80">
        <f>'Data entry'!P11</f>
        <v>1</v>
      </c>
      <c r="C9" s="80">
        <f>'Data entry'!Q11</f>
        <v>1</v>
      </c>
      <c r="D9" s="80">
        <f>'AWAY (2)'!$B9+'AWAY (2)'!$C9</f>
        <v>2</v>
      </c>
      <c r="E9" s="80" t="str">
        <f>'Data entry'!R11</f>
        <v>H</v>
      </c>
      <c r="F9" s="80" t="str">
        <f t="shared" si="0"/>
        <v>D</v>
      </c>
      <c r="G9" s="80" cm="1">
        <f t="array" ref="G9">_xlfn.SWITCH(F9,"L",0,"w",3,"D",1,)</f>
        <v>1</v>
      </c>
      <c r="H9" s="80">
        <f>'Data entry'!L34</f>
        <v>4</v>
      </c>
      <c r="I9" s="80">
        <f>'AWAY (2)'!$H9*'AWAY (2)'!$G9</f>
        <v>4</v>
      </c>
      <c r="J9" s="80">
        <f>J8+'AWAY (2)'!$G9</f>
        <v>3</v>
      </c>
      <c r="K9" s="80">
        <f>'Data entry'!K34</f>
        <v>7</v>
      </c>
      <c r="L9" s="80">
        <f>IF(AND('AWAY (2)'!$B9&gt;0,'AWAY (2)'!$C9&gt;0),1,0)</f>
        <v>1</v>
      </c>
      <c r="M9" s="81">
        <f>'AWAY (2)'!$J9/'AWAY (2)'!$K9</f>
        <v>0.42857142857142855</v>
      </c>
    </row>
    <row r="10" spans="1:14" ht="14.25" customHeight="1">
      <c r="A10" s="82" t="str">
        <f>'Data entry'!I34</f>
        <v>j</v>
      </c>
      <c r="B10" s="82">
        <f>'Data entry'!P12</f>
        <v>2</v>
      </c>
      <c r="C10" s="82">
        <f>'Data entry'!Q12</f>
        <v>0</v>
      </c>
      <c r="D10" s="82">
        <f>'AWAY (2)'!$B10+'AWAY (2)'!$C10</f>
        <v>2</v>
      </c>
      <c r="E10" s="82" t="str">
        <f>'Data entry'!R12</f>
        <v>H</v>
      </c>
      <c r="F10" s="82" t="str">
        <f t="shared" si="0"/>
        <v>W</v>
      </c>
      <c r="G10" s="82" cm="1">
        <f t="array" ref="G10">_xlfn.SWITCH(F10,"L",0,"w",3,"D",1,)</f>
        <v>3</v>
      </c>
      <c r="H10" s="82">
        <f>'Data entry'!L35</f>
        <v>3</v>
      </c>
      <c r="I10" s="82">
        <f>'AWAY (2)'!$H10*'AWAY (2)'!$G10</f>
        <v>9</v>
      </c>
      <c r="J10" s="82">
        <f>J9+'AWAY (2)'!$G10</f>
        <v>6</v>
      </c>
      <c r="K10" s="82">
        <f>'Data entry'!K35</f>
        <v>8</v>
      </c>
      <c r="L10" s="82">
        <f>IF(AND('AWAY (2)'!$B10&gt;0,'AWAY (2)'!$C10&gt;0),1,0)</f>
        <v>0</v>
      </c>
      <c r="M10" s="83">
        <f>'AWAY (2)'!$J10/'AWAY (2)'!$K10</f>
        <v>0.75</v>
      </c>
    </row>
    <row r="11" spans="1:14" ht="14.25" customHeight="1">
      <c r="A11" s="80" t="str">
        <f>'Data entry'!I35</f>
        <v>k</v>
      </c>
      <c r="B11" s="80">
        <f>'Data entry'!P13</f>
        <v>3</v>
      </c>
      <c r="C11" s="80">
        <f>'Data entry'!Q13</f>
        <v>1</v>
      </c>
      <c r="D11" s="80">
        <f>'AWAY (2)'!$B11+'AWAY (2)'!$C11</f>
        <v>4</v>
      </c>
      <c r="E11" s="80" t="str">
        <f>'Data entry'!R13</f>
        <v>A</v>
      </c>
      <c r="F11" s="80" t="str">
        <f t="shared" si="0"/>
        <v>W</v>
      </c>
      <c r="G11" s="80" cm="1">
        <f t="array" ref="G11">_xlfn.SWITCH(F11,"L",0,"w",3,"D",1,)</f>
        <v>3</v>
      </c>
      <c r="H11" s="80">
        <f>'Data entry'!L36</f>
        <v>2</v>
      </c>
      <c r="I11" s="80">
        <f>'AWAY (2)'!$H11*'AWAY (2)'!$G11</f>
        <v>6</v>
      </c>
      <c r="J11" s="80">
        <f>J10+'AWAY (2)'!$G11</f>
        <v>9</v>
      </c>
      <c r="K11" s="80">
        <f>'Data entry'!K36</f>
        <v>9</v>
      </c>
      <c r="L11" s="80">
        <f>IF(AND('AWAY (2)'!$B11&gt;0,'AWAY (2)'!$C11&gt;0),1,0)</f>
        <v>1</v>
      </c>
      <c r="M11" s="81">
        <f>'AWAY (2)'!$J11/'AWAY (2)'!$K11</f>
        <v>1</v>
      </c>
    </row>
    <row r="12" spans="1:14" ht="14.25" customHeight="1">
      <c r="A12" s="82" t="str">
        <f>'Data entry'!I36</f>
        <v>l</v>
      </c>
      <c r="B12" s="82">
        <f>'Data entry'!P14</f>
        <v>0</v>
      </c>
      <c r="C12" s="82">
        <f>'Data entry'!Q14</f>
        <v>0</v>
      </c>
      <c r="D12" s="82">
        <f>'AWAY (2)'!$B12+'AWAY (2)'!$C12</f>
        <v>0</v>
      </c>
      <c r="E12" s="82" t="str">
        <f>'Data entry'!R14</f>
        <v>H</v>
      </c>
      <c r="F12" s="82" t="str">
        <f t="shared" si="0"/>
        <v>D</v>
      </c>
      <c r="G12" s="82" cm="1">
        <f t="array" ref="G12">_xlfn.SWITCH(F12,"L",0,"w",3,"D",1,)</f>
        <v>1</v>
      </c>
      <c r="H12" s="82">
        <f>'Data entry'!L37</f>
        <v>1</v>
      </c>
      <c r="I12" s="82">
        <f>'AWAY (2)'!$H12*'AWAY (2)'!$G12</f>
        <v>1</v>
      </c>
      <c r="J12" s="82">
        <f>J11+'AWAY (2)'!$G12</f>
        <v>10</v>
      </c>
      <c r="K12" s="82">
        <f>'Data entry'!K37</f>
        <v>10</v>
      </c>
      <c r="L12" s="82">
        <f>IF(AND('AWAY (2)'!$B12&gt;0,'AWAY (2)'!$C12&gt;0),1,0)</f>
        <v>0</v>
      </c>
      <c r="M12" s="83">
        <f>'AWAY (2)'!$J12/'AWAY (2)'!$K12</f>
        <v>1</v>
      </c>
    </row>
    <row r="13" spans="1:14" ht="14.25" customHeight="1">
      <c r="A13" s="80" t="str">
        <f>'Data entry'!I37</f>
        <v>m</v>
      </c>
      <c r="B13" s="80">
        <f>'Data entry'!P15</f>
        <v>1</v>
      </c>
      <c r="C13" s="80">
        <f>'Data entry'!Q15</f>
        <v>0</v>
      </c>
      <c r="D13" s="80">
        <f>'AWAY (2)'!$B13+'AWAY (2)'!$C13</f>
        <v>1</v>
      </c>
      <c r="E13" s="80" t="str">
        <f>'Data entry'!R15</f>
        <v>H</v>
      </c>
      <c r="F13" s="80" t="str">
        <f t="shared" si="0"/>
        <v>W</v>
      </c>
      <c r="G13" s="80" cm="1">
        <f t="array" ref="G13">_xlfn.SWITCH(F13,"L",0,"w",3,"D",1,)</f>
        <v>3</v>
      </c>
      <c r="H13" s="80">
        <f>'Data entry'!L38</f>
        <v>0</v>
      </c>
      <c r="I13" s="80">
        <f>'AWAY (2)'!$H13*'AWAY (2)'!$G13</f>
        <v>0</v>
      </c>
      <c r="J13" s="80">
        <f>J12+'AWAY (2)'!$G13</f>
        <v>13</v>
      </c>
      <c r="K13" s="80">
        <f>'Data entry'!K38</f>
        <v>11</v>
      </c>
      <c r="L13" s="80">
        <f>IF(AND('AWAY (2)'!$B13&gt;0,'AWAY (2)'!$C13&gt;0),1,0)</f>
        <v>0</v>
      </c>
      <c r="M13" s="81">
        <f>'AWAY (2)'!$J13/'AWAY (2)'!$K13</f>
        <v>1.1818181818181819</v>
      </c>
    </row>
    <row r="14" spans="1:14" ht="14.25" customHeight="1">
      <c r="A14" s="82" t="s">
        <v>4</v>
      </c>
      <c r="B14" s="82">
        <f>SUBTOTAL(109,'AWAY (2)'!$B$3:$B$13)</f>
        <v>11</v>
      </c>
      <c r="C14" s="82">
        <f>SUBTOTAL(101,'AWAY (2)'!$C$3:$C$13)</f>
        <v>1.1818181818181819</v>
      </c>
      <c r="D14" s="82">
        <f>SUBTOTAL(109,'AWAY (2)'!$D$3:$D$13)</f>
        <v>24</v>
      </c>
      <c r="E14" s="82"/>
      <c r="F14" s="82"/>
      <c r="G14" s="82"/>
      <c r="H14" s="82">
        <f>SUBTOTAL(109,'AWAY (2)'!$H$3:$H$13)</f>
        <v>55</v>
      </c>
      <c r="I14" s="82">
        <f>SUBTOTAL(109,'AWAY (2)'!$I$3:$I$13)</f>
        <v>39</v>
      </c>
      <c r="J14" s="82">
        <f>SUBTOTAL(109,'AWAY (2)'!$J$3:$J$13)</f>
        <v>52</v>
      </c>
      <c r="K14" s="82"/>
      <c r="L14" s="82">
        <f>SUBTOTAL(109,'AWAY (2)'!$L$3:$L$13)</f>
        <v>5</v>
      </c>
      <c r="M14" s="83">
        <f>SUBTOTAL(109,'AWAY (2)'!$M$3:$M$13)</f>
        <v>8.2603896103896108</v>
      </c>
    </row>
    <row r="15" spans="1:14" ht="14.25" customHeight="1">
      <c r="M15" s="3"/>
      <c r="N15" s="3"/>
    </row>
    <row r="16" spans="1:14" ht="14.25" customHeight="1">
      <c r="E16" s="41">
        <f>AVERAGE(B22:C22)</f>
        <v>1</v>
      </c>
      <c r="M16" s="3"/>
      <c r="N16" s="3"/>
    </row>
    <row r="17" spans="1:21" ht="14.25" customHeight="1">
      <c r="M17" s="3"/>
      <c r="N17" s="3"/>
    </row>
    <row r="18" spans="1:21" ht="14.25" customHeight="1">
      <c r="I18" s="6" t="s">
        <v>68</v>
      </c>
      <c r="L18" s="16" t="s">
        <v>69</v>
      </c>
      <c r="N18" s="17" t="s">
        <v>70</v>
      </c>
      <c r="O18" s="9"/>
    </row>
    <row r="19" spans="1:21" ht="14.25" customHeight="1">
      <c r="A19" s="6" t="s">
        <v>25</v>
      </c>
      <c r="B19" s="41" t="s">
        <v>71</v>
      </c>
      <c r="C19" s="41" t="s">
        <v>72</v>
      </c>
      <c r="D19" s="41" t="s">
        <v>38</v>
      </c>
      <c r="F19" s="6" t="s">
        <v>27</v>
      </c>
      <c r="I19" s="52" t="s">
        <v>29</v>
      </c>
      <c r="J19" s="53" t="s">
        <v>30</v>
      </c>
      <c r="L19" s="54" t="s">
        <v>73</v>
      </c>
      <c r="M19" s="55" t="s">
        <v>74</v>
      </c>
      <c r="N19" s="18" t="s">
        <v>29</v>
      </c>
      <c r="O19" s="9" t="s">
        <v>75</v>
      </c>
      <c r="Q19" s="41" t="s">
        <v>76</v>
      </c>
      <c r="T19" s="41" t="s">
        <v>77</v>
      </c>
    </row>
    <row r="20" spans="1:21" ht="14.25" customHeight="1">
      <c r="A20" s="43" t="s">
        <v>127</v>
      </c>
      <c r="B20" s="41">
        <f>SUMIF('AWAY (2)'!$E$3:$E$13,"H",'AWAY (2)'!$B$3:$B$13)</f>
        <v>7</v>
      </c>
      <c r="C20" s="41">
        <f>SUMIF('AWAY (2)'!$E$3:$E$13,"A",'AWAY (2)'!$B$3:$B$13)</f>
        <v>4</v>
      </c>
      <c r="D20" s="41">
        <f>SUM('AWAY (2)'!$B20:$C20)</f>
        <v>11</v>
      </c>
      <c r="F20" s="6"/>
      <c r="I20" s="7">
        <v>0</v>
      </c>
      <c r="J20" s="8">
        <f t="array" ref="J20:J30">FREQUENCY('AWAY (2)'!$D$3:$D$13,I20:I29)</f>
        <v>2</v>
      </c>
      <c r="L20" s="56" t="s">
        <v>78</v>
      </c>
      <c r="M20" s="57" t="s">
        <v>16</v>
      </c>
      <c r="N20" s="19">
        <v>0</v>
      </c>
      <c r="O20" s="9">
        <f t="array" ref="O20:O29">FREQUENCY(D3:D7,N20:N28)</f>
        <v>1</v>
      </c>
      <c r="Q20" s="41" t="s">
        <v>18</v>
      </c>
      <c r="R20" s="41" t="s">
        <v>19</v>
      </c>
      <c r="T20" s="41" t="s">
        <v>18</v>
      </c>
      <c r="U20" s="41" t="s">
        <v>19</v>
      </c>
    </row>
    <row r="21" spans="1:21" ht="14.25" customHeight="1">
      <c r="A21" s="43" t="s">
        <v>244</v>
      </c>
      <c r="B21" s="41">
        <f t="array" ref="B21">SUM(--('AWAY (2)'!$B$3:$B$13='AWAY (2)'!$C$3:$C$13))</f>
        <v>4</v>
      </c>
      <c r="C21" s="41"/>
      <c r="D21" s="41">
        <f>SUM('AWAY (2)'!$B21:$C21)</f>
        <v>4</v>
      </c>
      <c r="F21" s="41"/>
      <c r="I21" s="7">
        <v>1</v>
      </c>
      <c r="J21" s="8">
        <v>2</v>
      </c>
      <c r="L21" s="5">
        <v>0</v>
      </c>
      <c r="M21" s="20">
        <f t="array" ref="M21:M29">FREQUENCY(L33:L37,L21:L28)</f>
        <v>1</v>
      </c>
      <c r="N21" s="19">
        <v>1</v>
      </c>
      <c r="O21" s="9">
        <v>1</v>
      </c>
      <c r="Q21" s="41" t="s">
        <v>33</v>
      </c>
      <c r="R21" s="41" cm="1">
        <f t="array" ref="R21">(SUM(J21:J30/J31))</f>
        <v>0.81818181818181823</v>
      </c>
      <c r="T21" s="41" t="s">
        <v>33</v>
      </c>
      <c r="U21" s="41" cm="1">
        <f t="array" ref="U21">(SUM(O21:O28/O30))</f>
        <v>0.8</v>
      </c>
    </row>
    <row r="22" spans="1:21" ht="14.25" customHeight="1">
      <c r="A22" s="43" t="s">
        <v>245</v>
      </c>
      <c r="B22" s="41">
        <f>AVERAGEIF('AWAY (2)'!$E$3:$E$13,"H",'AWAY (2)'!$B$3:$B$13)</f>
        <v>1</v>
      </c>
      <c r="C22" s="41">
        <f>AVERAGEIF('AWAY (2)'!$E$3:$E$13,"A",'AWAY (2)'!$B$3:$B$13)</f>
        <v>1</v>
      </c>
      <c r="D22" s="41">
        <f>SUM('AWAY (2)'!$B22:$C22)</f>
        <v>2</v>
      </c>
      <c r="F22" s="41"/>
      <c r="I22" s="7">
        <v>2</v>
      </c>
      <c r="J22" s="8">
        <v>3</v>
      </c>
      <c r="L22" s="56">
        <v>1</v>
      </c>
      <c r="M22" s="58">
        <v>1</v>
      </c>
      <c r="N22" s="19">
        <v>2</v>
      </c>
      <c r="O22" s="9">
        <v>1</v>
      </c>
      <c r="Q22" s="41" t="s">
        <v>21</v>
      </c>
      <c r="R22" s="41">
        <f>(SUM(J22:J30))/J31</f>
        <v>0.63636363636363635</v>
      </c>
      <c r="T22" s="41" t="s">
        <v>79</v>
      </c>
      <c r="U22" s="41">
        <f t="array" ref="U22">(SUM(O22:O29/O30))</f>
        <v>0.60000000000000009</v>
      </c>
    </row>
    <row r="23" spans="1:21" ht="14.25" customHeight="1">
      <c r="A23" s="43" t="s">
        <v>246</v>
      </c>
      <c r="B23" s="41">
        <f>SUMIF('AWAY (2)'!$E$3:$E$13,"H",'AWAY (2)'!$C$3:$C$13)</f>
        <v>5</v>
      </c>
      <c r="C23" s="41">
        <f>SUMIF('AWAY (2)'!$E$3:$E$13,"A",'AWAY (2)'!$C$3:$C$13)</f>
        <v>8</v>
      </c>
      <c r="D23" s="41">
        <f>SUM('AWAY (2)'!$B23:$C23)</f>
        <v>13</v>
      </c>
      <c r="F23" s="41"/>
      <c r="I23" s="7">
        <v>3</v>
      </c>
      <c r="J23" s="8">
        <v>1</v>
      </c>
      <c r="L23" s="5">
        <v>2</v>
      </c>
      <c r="M23" s="20">
        <v>1</v>
      </c>
      <c r="N23" s="19">
        <v>3</v>
      </c>
      <c r="O23" s="9">
        <v>0</v>
      </c>
      <c r="Q23" s="41" t="s">
        <v>34</v>
      </c>
      <c r="R23" s="41">
        <f>(SUM(J23:J30))/J31</f>
        <v>0.36363636363636365</v>
      </c>
      <c r="T23" s="41" t="s">
        <v>34</v>
      </c>
      <c r="U23" s="41">
        <f>(SUM(O23:O29))/O30</f>
        <v>0.4</v>
      </c>
    </row>
    <row r="24" spans="1:21" ht="14.25" customHeight="1">
      <c r="A24" s="43" t="s">
        <v>247</v>
      </c>
      <c r="B24" s="41">
        <f>COUNTA('AWAY (2)'!$A$3:$A$13)</f>
        <v>11</v>
      </c>
      <c r="C24" s="41"/>
      <c r="D24" s="41">
        <f>SUM('AWAY (2)'!$B24:$C24)</f>
        <v>11</v>
      </c>
      <c r="F24" s="41"/>
      <c r="I24" s="7">
        <v>4</v>
      </c>
      <c r="J24" s="8">
        <v>2</v>
      </c>
      <c r="L24" s="56">
        <v>3</v>
      </c>
      <c r="M24" s="58">
        <v>0</v>
      </c>
      <c r="N24" s="19">
        <v>4</v>
      </c>
      <c r="O24" s="9">
        <v>1</v>
      </c>
      <c r="Q24" s="41" t="s">
        <v>35</v>
      </c>
      <c r="R24" s="41">
        <f>(SUM(J24:J30))/J31</f>
        <v>0.27272727272727271</v>
      </c>
      <c r="T24" s="41" t="s">
        <v>35</v>
      </c>
      <c r="U24" s="41">
        <f>(SUM(O24:O29))/O30</f>
        <v>0.4</v>
      </c>
    </row>
    <row r="25" spans="1:21" ht="14.25" customHeight="1">
      <c r="A25" s="43" t="s">
        <v>248</v>
      </c>
      <c r="B25" s="85">
        <f>I14/H14</f>
        <v>0.70909090909090911</v>
      </c>
      <c r="C25" s="41"/>
      <c r="D25" s="41">
        <f>SUM('AWAY (2)'!$B25:$C25)</f>
        <v>0.70909090909090911</v>
      </c>
      <c r="F25" s="41">
        <f>(SUM(I3:I7))/SUM(H3:H7)</f>
        <v>0.47499999999999998</v>
      </c>
      <c r="I25" s="7">
        <v>5</v>
      </c>
      <c r="J25" s="8">
        <v>1</v>
      </c>
      <c r="L25" s="5">
        <v>4</v>
      </c>
      <c r="M25" s="20">
        <v>2</v>
      </c>
      <c r="N25" s="19">
        <v>5</v>
      </c>
      <c r="O25" s="9">
        <v>1</v>
      </c>
    </row>
    <row r="26" spans="1:21" ht="14.25" customHeight="1">
      <c r="A26" s="43" t="s">
        <v>87</v>
      </c>
      <c r="B26" s="10">
        <f>B25/3</f>
        <v>0.23636363636363636</v>
      </c>
      <c r="C26" s="10"/>
      <c r="D26" s="10">
        <f>SUM('AWAY (2)'!$B26:$C26)</f>
        <v>0.23636363636363636</v>
      </c>
      <c r="F26" s="10">
        <f>F25/3</f>
        <v>0.15833333333333333</v>
      </c>
      <c r="I26" s="13">
        <v>6</v>
      </c>
      <c r="J26" s="14">
        <v>0</v>
      </c>
      <c r="L26" s="56">
        <v>5</v>
      </c>
      <c r="M26" s="58">
        <v>0</v>
      </c>
      <c r="N26" s="19">
        <v>6</v>
      </c>
      <c r="O26" s="9">
        <v>0</v>
      </c>
    </row>
    <row r="27" spans="1:21" ht="14.25" customHeight="1">
      <c r="A27" s="43" t="s">
        <v>12</v>
      </c>
      <c r="B27" s="41"/>
      <c r="C27" s="41"/>
      <c r="D27" s="41">
        <f>L14</f>
        <v>5</v>
      </c>
      <c r="F27" s="41">
        <f>SUM(L3:L7)</f>
        <v>2</v>
      </c>
      <c r="I27" s="21">
        <v>7</v>
      </c>
      <c r="J27" s="41">
        <v>0</v>
      </c>
      <c r="L27" s="22">
        <v>6</v>
      </c>
      <c r="M27" s="23">
        <v>0</v>
      </c>
      <c r="N27" s="19">
        <v>7</v>
      </c>
      <c r="O27" s="9">
        <v>0</v>
      </c>
    </row>
    <row r="28" spans="1:21" ht="14.25" customHeight="1">
      <c r="A28" s="43" t="s">
        <v>249</v>
      </c>
      <c r="B28" s="41">
        <f>COUNTIF('AWAY (2)'!$F$3:$F$13,"W")</f>
        <v>3</v>
      </c>
      <c r="C28" s="41"/>
      <c r="D28" s="41">
        <f>SUM('AWAY (2)'!$B28:$C28)</f>
        <v>3</v>
      </c>
      <c r="F28" s="41"/>
      <c r="I28" s="21">
        <v>8</v>
      </c>
      <c r="J28" s="41">
        <v>0</v>
      </c>
      <c r="L28" s="24">
        <v>7</v>
      </c>
      <c r="M28" s="3">
        <v>0</v>
      </c>
      <c r="N28" s="19">
        <v>8</v>
      </c>
      <c r="O28" s="9">
        <v>0</v>
      </c>
    </row>
    <row r="29" spans="1:21" ht="14.25" customHeight="1">
      <c r="A29" s="43" t="s">
        <v>250</v>
      </c>
      <c r="B29" s="41">
        <f>COUNTIF('AWAY (2)'!$F$3:$F$13,"L")</f>
        <v>4</v>
      </c>
      <c r="C29" s="41"/>
      <c r="D29" s="41">
        <f>SUM('AWAY (2)'!$B29:$C29)</f>
        <v>4</v>
      </c>
      <c r="F29" s="41"/>
      <c r="I29" s="21">
        <v>9</v>
      </c>
      <c r="J29" s="41">
        <v>0</v>
      </c>
      <c r="M29" s="3">
        <v>0</v>
      </c>
      <c r="N29" s="19"/>
      <c r="O29" s="9">
        <v>0</v>
      </c>
    </row>
    <row r="30" spans="1:21" ht="14.25" customHeight="1">
      <c r="A30" s="43" t="s">
        <v>251</v>
      </c>
      <c r="B30" s="41">
        <f>COUNTIF('AWAY (2)'!$F$3:$F$13,"d")</f>
        <v>4</v>
      </c>
      <c r="C30" s="41"/>
      <c r="D30" s="41">
        <f>SUM('AWAY (2)'!$B30:$C30)</f>
        <v>4</v>
      </c>
      <c r="F30" s="41"/>
      <c r="J30" s="41">
        <v>0</v>
      </c>
      <c r="M30" s="3">
        <f>SUM(M20:M29)</f>
        <v>5</v>
      </c>
      <c r="N30" s="3"/>
      <c r="O30" s="41">
        <f>SUM(O20:O29)</f>
        <v>5</v>
      </c>
    </row>
    <row r="31" spans="1:21" ht="14.25" customHeight="1">
      <c r="A31" s="41"/>
      <c r="B31" s="41"/>
      <c r="C31" s="41"/>
      <c r="D31" s="41"/>
      <c r="F31" s="41"/>
      <c r="G31" s="41">
        <f>COUNTIF(F21:F31,0)</f>
        <v>0</v>
      </c>
      <c r="J31" s="41">
        <f>SUM(J20:J30)</f>
        <v>11</v>
      </c>
      <c r="M31" s="3"/>
      <c r="N31" s="3"/>
    </row>
    <row r="32" spans="1:21" ht="14.25" customHeight="1">
      <c r="H32" s="52" t="s">
        <v>0</v>
      </c>
      <c r="I32" s="59" t="s">
        <v>26</v>
      </c>
      <c r="J32" s="59" t="s">
        <v>36</v>
      </c>
      <c r="K32" s="59" t="s">
        <v>37</v>
      </c>
      <c r="L32" s="53" t="s">
        <v>38</v>
      </c>
      <c r="M32" s="52" t="s">
        <v>80</v>
      </c>
      <c r="N32" s="59" t="s">
        <v>49</v>
      </c>
      <c r="O32" s="59" t="s">
        <v>41</v>
      </c>
    </row>
    <row r="33" spans="1:15" ht="14.25" customHeight="1">
      <c r="H33" s="60" t="str">
        <f t="array" ref="H33:K37">H2H</f>
        <v>AWAY</v>
      </c>
      <c r="I33" s="61" t="str">
        <v>HOME</v>
      </c>
      <c r="J33" s="61">
        <v>2</v>
      </c>
      <c r="K33" s="61">
        <v>2</v>
      </c>
      <c r="L33" s="62">
        <f>SUM(J33:K33)</f>
        <v>4</v>
      </c>
      <c r="M33" s="60">
        <f>IF(AND(J33&gt;K33,"HOME"),1,0)</f>
        <v>0</v>
      </c>
      <c r="N33" s="61">
        <f>IF(AND(J33&lt;K33,"AWAY"),1,0)</f>
        <v>0</v>
      </c>
      <c r="O33" s="61">
        <f>IF(J33=K33,1,0)</f>
        <v>1</v>
      </c>
    </row>
    <row r="34" spans="1:15" ht="14.25" customHeight="1">
      <c r="H34" s="7" t="str">
        <v>AWAY</v>
      </c>
      <c r="I34" s="11" t="str">
        <v>HOME</v>
      </c>
      <c r="J34" s="11">
        <v>1</v>
      </c>
      <c r="K34" s="11">
        <v>3</v>
      </c>
      <c r="L34" s="8">
        <f>SUM(J34:K34)</f>
        <v>4</v>
      </c>
      <c r="M34" s="7">
        <f>IF(AND(J34&gt;K34,"HOME"),1,0)</f>
        <v>0</v>
      </c>
      <c r="N34" s="11">
        <f>IF(AND(J34&lt;K34,"AWAY"),1,0)</f>
        <v>1</v>
      </c>
      <c r="O34" s="11"/>
    </row>
    <row r="35" spans="1:15" ht="14.25" customHeight="1">
      <c r="H35" s="60" t="str">
        <v>HOME</v>
      </c>
      <c r="I35" s="61" t="str">
        <v>AWAY</v>
      </c>
      <c r="J35" s="61">
        <v>0</v>
      </c>
      <c r="K35" s="61">
        <v>0</v>
      </c>
      <c r="L35" s="62">
        <f>SUM(J35:K35)</f>
        <v>0</v>
      </c>
      <c r="M35" s="60">
        <f>IF(AND(J35&gt;K35,"HOME"),1,0)</f>
        <v>0</v>
      </c>
      <c r="N35" s="61">
        <f>IF(AND(J35&lt;K35,"AWAY"),1,0)</f>
        <v>0</v>
      </c>
      <c r="O35" s="61"/>
    </row>
    <row r="36" spans="1:15" ht="14.25" customHeight="1">
      <c r="H36" s="7" t="str">
        <v>HOME</v>
      </c>
      <c r="I36" s="11" t="str">
        <v>AWAY</v>
      </c>
      <c r="J36" s="11">
        <v>0</v>
      </c>
      <c r="K36" s="11">
        <v>1</v>
      </c>
      <c r="L36" s="8">
        <f>SUM(J36:K36)</f>
        <v>1</v>
      </c>
      <c r="M36" s="7">
        <f>IF(AND(J36&gt;K36,"HOME"),1,0)</f>
        <v>0</v>
      </c>
      <c r="N36" s="11">
        <f>IF(AND(J36&lt;K36,"AWAY"),1,0)</f>
        <v>1</v>
      </c>
      <c r="O36" s="11"/>
    </row>
    <row r="37" spans="1:15" ht="14.25" customHeight="1">
      <c r="A37" s="12"/>
      <c r="H37" s="63" t="str">
        <v>HOME</v>
      </c>
      <c r="I37" s="25" t="str">
        <v>AWAY</v>
      </c>
      <c r="J37" s="25">
        <v>0</v>
      </c>
      <c r="K37" s="25">
        <v>2</v>
      </c>
      <c r="L37" s="64">
        <f>SUM(J37:K37)</f>
        <v>2</v>
      </c>
      <c r="M37" s="63">
        <f>IF(AND(J37&gt;K37,"HOME"),1,0)</f>
        <v>0</v>
      </c>
      <c r="N37" s="25">
        <f>IF(AND(J37&lt;K37,"AWAY"),1,0)</f>
        <v>1</v>
      </c>
      <c r="O37" s="25"/>
    </row>
    <row r="38" spans="1:15" ht="14.25" customHeight="1">
      <c r="A38" s="12" t="s">
        <v>44</v>
      </c>
      <c r="M38" s="52">
        <f>SUM(M33:M37)</f>
        <v>0</v>
      </c>
      <c r="N38" s="59">
        <f>SUM(N33:N37)</f>
        <v>3</v>
      </c>
      <c r="O38" s="59">
        <f>SUM(O33:O37)</f>
        <v>1</v>
      </c>
    </row>
    <row r="39" spans="1:15" ht="14.25" customHeight="1">
      <c r="A39" s="12" t="s">
        <v>45</v>
      </c>
      <c r="M39" s="3"/>
      <c r="N39" s="3"/>
    </row>
    <row r="40" spans="1:15" ht="14.25" customHeight="1">
      <c r="A40" s="12" t="s">
        <v>46</v>
      </c>
      <c r="M40" s="3"/>
      <c r="N40" s="3"/>
    </row>
    <row r="41" spans="1:15" ht="14.25" customHeight="1">
      <c r="A41" s="12" t="s">
        <v>51</v>
      </c>
      <c r="H41" s="41" t="s">
        <v>47</v>
      </c>
      <c r="I41" s="41" t="s">
        <v>0</v>
      </c>
      <c r="J41" s="41" t="s">
        <v>26</v>
      </c>
      <c r="K41" s="41" t="s">
        <v>38</v>
      </c>
      <c r="L41" s="41" t="s">
        <v>80</v>
      </c>
      <c r="M41" s="3" t="s">
        <v>49</v>
      </c>
      <c r="N41" s="3"/>
    </row>
    <row r="42" spans="1:15" ht="14.25" customHeight="1">
      <c r="A42" s="12" t="s">
        <v>53</v>
      </c>
      <c r="H42" s="41" t="str">
        <f>'Data entry'!I5</f>
        <v>HOME</v>
      </c>
      <c r="I42" s="41">
        <f>SUMIF(H33:H37,"HOME",J33:J37)</f>
        <v>0</v>
      </c>
      <c r="J42" s="41">
        <f>SUMIF(I33:I37,"HOME",K33:K37)</f>
        <v>5</v>
      </c>
      <c r="K42" s="41"/>
      <c r="L42" s="41"/>
      <c r="M42" s="3"/>
      <c r="N42" s="3"/>
    </row>
    <row r="43" spans="1:15" ht="14.25" customHeight="1">
      <c r="A43" s="12" t="s">
        <v>54</v>
      </c>
      <c r="H43" s="41" t="str">
        <f>'Data entry'!J5</f>
        <v>AWAY</v>
      </c>
      <c r="I43" s="41">
        <f>SUMIF(H33:H37,"AWAY",J33:J37)</f>
        <v>3</v>
      </c>
      <c r="J43" s="41">
        <f>SUMIF(I33:I37,"AWAY",K33:K37)</f>
        <v>3</v>
      </c>
      <c r="K43" s="41"/>
      <c r="L43" s="41"/>
      <c r="M43" s="3"/>
      <c r="N43" s="3"/>
    </row>
    <row r="44" spans="1:15" ht="14.25" customHeight="1">
      <c r="A44" s="12" t="s">
        <v>55</v>
      </c>
      <c r="M44" s="3"/>
      <c r="N44" s="3"/>
    </row>
    <row r="45" spans="1:15" ht="14.25" customHeight="1">
      <c r="A45" s="12" t="s">
        <v>56</v>
      </c>
      <c r="M45" s="3"/>
      <c r="N45" s="3"/>
    </row>
    <row r="46" spans="1:15" ht="14.25" customHeight="1">
      <c r="A46" s="12" t="s">
        <v>57</v>
      </c>
      <c r="M46" s="3"/>
      <c r="N46" s="3"/>
    </row>
    <row r="47" spans="1:15" ht="14.25" customHeight="1">
      <c r="A47" s="12" t="s">
        <v>58</v>
      </c>
      <c r="M47" s="3"/>
      <c r="N47" s="3"/>
    </row>
    <row r="48" spans="1:15" ht="14.25" customHeight="1">
      <c r="A48" s="12" t="s">
        <v>59</v>
      </c>
      <c r="M48" s="3"/>
      <c r="N48" s="3"/>
    </row>
    <row r="49" spans="1:14" ht="14.25" customHeight="1">
      <c r="A49" s="12" t="s">
        <v>60</v>
      </c>
      <c r="M49" s="3"/>
      <c r="N49" s="3"/>
    </row>
    <row r="50" spans="1:14" ht="14.25" customHeight="1">
      <c r="A50" s="12" t="s">
        <v>61</v>
      </c>
      <c r="M50" s="3"/>
      <c r="N50" s="3"/>
    </row>
    <row r="51" spans="1:14" ht="14.25" customHeight="1">
      <c r="A51" s="12" t="s">
        <v>62</v>
      </c>
      <c r="M51" s="3"/>
      <c r="N51" s="3"/>
    </row>
    <row r="52" spans="1:14" ht="14.25" customHeight="1">
      <c r="A52" s="12" t="s">
        <v>63</v>
      </c>
      <c r="M52" s="3"/>
      <c r="N52" s="3"/>
    </row>
    <row r="53" spans="1:14" ht="14.25" customHeight="1">
      <c r="A53" s="12" t="s">
        <v>64</v>
      </c>
      <c r="M53" s="3"/>
      <c r="N53" s="3"/>
    </row>
    <row r="54" spans="1:14" ht="14.25" customHeight="1">
      <c r="A54" s="12" t="s">
        <v>65</v>
      </c>
      <c r="M54" s="3"/>
      <c r="N54" s="3"/>
    </row>
    <row r="55" spans="1:14" ht="14.25" customHeight="1">
      <c r="A55" s="12" t="s">
        <v>66</v>
      </c>
      <c r="M55" s="3"/>
      <c r="N55" s="3"/>
    </row>
    <row r="56" spans="1:14" ht="14.25" customHeight="1">
      <c r="A56" s="12" t="s">
        <v>67</v>
      </c>
      <c r="M56" s="3"/>
      <c r="N56" s="3"/>
    </row>
    <row r="57" spans="1:14" ht="14.25" customHeight="1">
      <c r="M57" s="3"/>
      <c r="N57" s="3"/>
    </row>
    <row r="58" spans="1:14" ht="14.25" customHeight="1">
      <c r="M58" s="3"/>
      <c r="N58" s="3"/>
    </row>
    <row r="59" spans="1:14" ht="14.25" customHeight="1">
      <c r="M59" s="3"/>
      <c r="N59" s="3"/>
    </row>
    <row r="60" spans="1:14" ht="14.25" customHeight="1">
      <c r="M60" s="3"/>
      <c r="N60" s="3"/>
    </row>
    <row r="61" spans="1:14" ht="14.25" customHeight="1">
      <c r="M61" s="3"/>
      <c r="N61" s="3"/>
    </row>
    <row r="62" spans="1:14" ht="14.25" customHeight="1">
      <c r="M62" s="3"/>
      <c r="N62" s="3"/>
    </row>
    <row r="63" spans="1:14" ht="14.25" customHeight="1">
      <c r="M63" s="3"/>
      <c r="N63" s="3"/>
    </row>
    <row r="64" spans="1:14" ht="14.25" customHeight="1">
      <c r="M64" s="3"/>
      <c r="N64" s="3"/>
    </row>
    <row r="65" spans="13:14" ht="14.25" customHeight="1">
      <c r="M65" s="3"/>
      <c r="N65" s="3"/>
    </row>
    <row r="66" spans="13:14" ht="14.25" customHeight="1">
      <c r="M66" s="3"/>
      <c r="N66" s="3"/>
    </row>
    <row r="67" spans="13:14" ht="14.25" customHeight="1">
      <c r="M67" s="3"/>
      <c r="N67" s="3"/>
    </row>
    <row r="68" spans="13:14" ht="14.25" customHeight="1">
      <c r="M68" s="3"/>
      <c r="N68" s="3"/>
    </row>
    <row r="69" spans="13:14" ht="14.25" customHeight="1">
      <c r="M69" s="3"/>
      <c r="N69" s="3"/>
    </row>
    <row r="70" spans="13:14" ht="14.25" customHeight="1">
      <c r="M70" s="3"/>
      <c r="N70" s="3"/>
    </row>
    <row r="71" spans="13:14" ht="14.25" customHeight="1">
      <c r="M71" s="3"/>
      <c r="N71" s="3"/>
    </row>
    <row r="72" spans="13:14" ht="14.25" customHeight="1">
      <c r="M72" s="3"/>
      <c r="N72" s="3"/>
    </row>
    <row r="73" spans="13:14" ht="14.25" customHeight="1">
      <c r="M73" s="3"/>
      <c r="N73" s="3"/>
    </row>
    <row r="74" spans="13:14" ht="14.25" customHeight="1">
      <c r="M74" s="3"/>
      <c r="N74" s="3"/>
    </row>
    <row r="75" spans="13:14" ht="14.25" customHeight="1">
      <c r="M75" s="3"/>
      <c r="N75" s="3"/>
    </row>
    <row r="76" spans="13:14" ht="14.25" customHeight="1">
      <c r="M76" s="3"/>
      <c r="N76" s="3"/>
    </row>
    <row r="77" spans="13:14" ht="14.25" customHeight="1">
      <c r="M77" s="3"/>
      <c r="N77" s="3"/>
    </row>
    <row r="78" spans="13:14" ht="14.25" customHeight="1">
      <c r="M78" s="3"/>
      <c r="N78" s="3"/>
    </row>
    <row r="79" spans="13:14" ht="14.25" customHeight="1">
      <c r="M79" s="3"/>
      <c r="N79" s="3"/>
    </row>
    <row r="80" spans="13:14" ht="14.25" customHeight="1">
      <c r="M80" s="3"/>
      <c r="N80" s="3"/>
    </row>
    <row r="81" spans="13:14" ht="14.25" customHeight="1">
      <c r="M81" s="3"/>
      <c r="N81" s="3"/>
    </row>
    <row r="82" spans="13:14" ht="14.25" customHeight="1">
      <c r="M82" s="3"/>
      <c r="N82" s="3"/>
    </row>
    <row r="83" spans="13:14" ht="14.25" customHeight="1">
      <c r="M83" s="3"/>
      <c r="N83" s="3"/>
    </row>
    <row r="84" spans="13:14" ht="14.25" customHeight="1">
      <c r="M84" s="3"/>
      <c r="N84" s="3"/>
    </row>
    <row r="85" spans="13:14" ht="14.25" customHeight="1">
      <c r="M85" s="3"/>
      <c r="N85" s="3"/>
    </row>
    <row r="86" spans="13:14" ht="14.25" customHeight="1">
      <c r="M86" s="3"/>
      <c r="N86" s="3"/>
    </row>
    <row r="87" spans="13:14" ht="14.25" customHeight="1">
      <c r="M87" s="3"/>
      <c r="N87" s="3"/>
    </row>
    <row r="88" spans="13:14" ht="14.25" customHeight="1">
      <c r="M88" s="3"/>
      <c r="N88" s="3"/>
    </row>
    <row r="89" spans="13:14" ht="14.25" customHeight="1">
      <c r="M89" s="3"/>
      <c r="N89" s="3"/>
    </row>
    <row r="90" spans="13:14" ht="14.25" customHeight="1">
      <c r="M90" s="3"/>
      <c r="N90" s="3"/>
    </row>
    <row r="91" spans="13:14" ht="14.25" customHeight="1">
      <c r="M91" s="3"/>
      <c r="N91" s="3"/>
    </row>
    <row r="92" spans="13:14" ht="14.25" customHeight="1">
      <c r="M92" s="3"/>
      <c r="N92" s="3"/>
    </row>
    <row r="93" spans="13:14" ht="14.25" customHeight="1">
      <c r="M93" s="3"/>
      <c r="N93" s="3"/>
    </row>
    <row r="94" spans="13:14" ht="14.25" customHeight="1">
      <c r="M94" s="3"/>
      <c r="N94" s="3"/>
    </row>
    <row r="95" spans="13:14" ht="14.25" customHeight="1">
      <c r="M95" s="3"/>
      <c r="N95" s="3"/>
    </row>
    <row r="96" spans="13:14" ht="14.25" customHeight="1">
      <c r="M96" s="3"/>
      <c r="N96" s="3"/>
    </row>
    <row r="97" spans="13:14" ht="14.25" customHeight="1">
      <c r="M97" s="3"/>
      <c r="N97" s="3"/>
    </row>
    <row r="98" spans="13:14" ht="14.25" customHeight="1">
      <c r="M98" s="3"/>
      <c r="N98" s="3"/>
    </row>
    <row r="99" spans="13:14" ht="14.25" customHeight="1">
      <c r="M99" s="3"/>
      <c r="N99" s="3"/>
    </row>
    <row r="100" spans="13:14" ht="14.25" customHeight="1">
      <c r="M100" s="3"/>
      <c r="N100" s="3"/>
    </row>
    <row r="101" spans="13:14" ht="14.25" customHeight="1">
      <c r="M101" s="3"/>
      <c r="N101" s="3"/>
    </row>
    <row r="102" spans="13:14" ht="14.25" customHeight="1">
      <c r="M102" s="3"/>
      <c r="N102" s="3"/>
    </row>
    <row r="103" spans="13:14" ht="14.25" customHeight="1">
      <c r="M103" s="3"/>
      <c r="N103" s="3"/>
    </row>
    <row r="104" spans="13:14" ht="14.25" customHeight="1">
      <c r="M104" s="3"/>
      <c r="N104" s="3"/>
    </row>
    <row r="105" spans="13:14" ht="14.25" customHeight="1">
      <c r="M105" s="3"/>
      <c r="N105" s="3"/>
    </row>
    <row r="106" spans="13:14" ht="14.25" customHeight="1">
      <c r="M106" s="3"/>
      <c r="N106" s="3"/>
    </row>
    <row r="107" spans="13:14" ht="14.25" customHeight="1">
      <c r="M107" s="3"/>
      <c r="N107" s="3"/>
    </row>
    <row r="108" spans="13:14" ht="14.25" customHeight="1">
      <c r="M108" s="3"/>
      <c r="N108" s="3"/>
    </row>
    <row r="109" spans="13:14" ht="14.25" customHeight="1">
      <c r="M109" s="3"/>
      <c r="N109" s="3"/>
    </row>
    <row r="110" spans="13:14" ht="14.25" customHeight="1">
      <c r="M110" s="3"/>
      <c r="N110" s="3"/>
    </row>
    <row r="111" spans="13:14" ht="14.25" customHeight="1">
      <c r="M111" s="3"/>
      <c r="N111" s="3"/>
    </row>
    <row r="112" spans="13:14" ht="14.25" customHeight="1">
      <c r="M112" s="3"/>
      <c r="N112" s="3"/>
    </row>
    <row r="113" spans="13:14" ht="14.25" customHeight="1">
      <c r="M113" s="3"/>
      <c r="N113" s="3"/>
    </row>
    <row r="114" spans="13:14" ht="14.25" customHeight="1">
      <c r="M114" s="3"/>
      <c r="N114" s="3"/>
    </row>
    <row r="115" spans="13:14" ht="14.25" customHeight="1">
      <c r="M115" s="3"/>
      <c r="N115" s="3"/>
    </row>
    <row r="116" spans="13:14" ht="14.25" customHeight="1">
      <c r="M116" s="3"/>
      <c r="N116" s="3"/>
    </row>
    <row r="117" spans="13:14" ht="14.25" customHeight="1">
      <c r="M117" s="3"/>
      <c r="N117" s="3"/>
    </row>
    <row r="118" spans="13:14" ht="14.25" customHeight="1">
      <c r="M118" s="3"/>
      <c r="N118" s="3"/>
    </row>
    <row r="119" spans="13:14" ht="14.25" customHeight="1">
      <c r="M119" s="3"/>
      <c r="N119" s="3"/>
    </row>
    <row r="120" spans="13:14" ht="14.25" customHeight="1">
      <c r="M120" s="3"/>
      <c r="N120" s="3"/>
    </row>
    <row r="121" spans="13:14" ht="14.25" customHeight="1">
      <c r="M121" s="3"/>
      <c r="N121" s="3"/>
    </row>
    <row r="122" spans="13:14" ht="14.25" customHeight="1">
      <c r="M122" s="3"/>
      <c r="N122" s="3"/>
    </row>
    <row r="123" spans="13:14" ht="14.25" customHeight="1">
      <c r="M123" s="3"/>
      <c r="N123" s="3"/>
    </row>
    <row r="124" spans="13:14" ht="14.25" customHeight="1">
      <c r="M124" s="3"/>
      <c r="N124" s="3"/>
    </row>
    <row r="125" spans="13:14" ht="14.25" customHeight="1">
      <c r="M125" s="3"/>
      <c r="N125" s="3"/>
    </row>
    <row r="126" spans="13:14" ht="14.25" customHeight="1">
      <c r="M126" s="3"/>
      <c r="N126" s="3"/>
    </row>
    <row r="127" spans="13:14" ht="14.25" customHeight="1">
      <c r="M127" s="3"/>
      <c r="N127" s="3"/>
    </row>
    <row r="128" spans="13:14" ht="14.25" customHeight="1">
      <c r="M128" s="3"/>
      <c r="N128" s="3"/>
    </row>
    <row r="129" spans="13:14" ht="14.25" customHeight="1">
      <c r="M129" s="3"/>
      <c r="N129" s="3"/>
    </row>
    <row r="130" spans="13:14" ht="14.25" customHeight="1">
      <c r="M130" s="3"/>
      <c r="N130" s="3"/>
    </row>
    <row r="131" spans="13:14" ht="14.25" customHeight="1">
      <c r="M131" s="3"/>
      <c r="N131" s="3"/>
    </row>
    <row r="132" spans="13:14" ht="14.25" customHeight="1">
      <c r="M132" s="3"/>
      <c r="N132" s="3"/>
    </row>
    <row r="133" spans="13:14" ht="14.25" customHeight="1">
      <c r="M133" s="3"/>
      <c r="N133" s="3"/>
    </row>
    <row r="134" spans="13:14" ht="14.25" customHeight="1">
      <c r="M134" s="3"/>
      <c r="N134" s="3"/>
    </row>
    <row r="135" spans="13:14" ht="14.25" customHeight="1">
      <c r="M135" s="3"/>
      <c r="N135" s="3"/>
    </row>
    <row r="136" spans="13:14" ht="14.25" customHeight="1">
      <c r="M136" s="3"/>
      <c r="N136" s="3"/>
    </row>
    <row r="137" spans="13:14" ht="14.25" customHeight="1">
      <c r="M137" s="3"/>
      <c r="N137" s="3"/>
    </row>
    <row r="138" spans="13:14" ht="14.25" customHeight="1">
      <c r="M138" s="3"/>
      <c r="N138" s="3"/>
    </row>
    <row r="139" spans="13:14" ht="14.25" customHeight="1">
      <c r="M139" s="3"/>
      <c r="N139" s="3"/>
    </row>
    <row r="140" spans="13:14" ht="14.25" customHeight="1">
      <c r="M140" s="3"/>
      <c r="N140" s="3"/>
    </row>
    <row r="141" spans="13:14" ht="14.25" customHeight="1">
      <c r="M141" s="3"/>
      <c r="N141" s="3"/>
    </row>
    <row r="142" spans="13:14" ht="14.25" customHeight="1">
      <c r="M142" s="3"/>
      <c r="N142" s="3"/>
    </row>
    <row r="143" spans="13:14" ht="14.25" customHeight="1">
      <c r="M143" s="3"/>
      <c r="N143" s="3"/>
    </row>
    <row r="144" spans="13:14" ht="14.25" customHeight="1">
      <c r="M144" s="3"/>
      <c r="N144" s="3"/>
    </row>
    <row r="145" spans="13:14" ht="14.25" customHeight="1">
      <c r="M145" s="3"/>
      <c r="N145" s="3"/>
    </row>
    <row r="146" spans="13:14" ht="14.25" customHeight="1">
      <c r="M146" s="3"/>
      <c r="N146" s="3"/>
    </row>
    <row r="147" spans="13:14" ht="14.25" customHeight="1">
      <c r="M147" s="3"/>
      <c r="N147" s="3"/>
    </row>
    <row r="148" spans="13:14" ht="14.25" customHeight="1">
      <c r="M148" s="3"/>
      <c r="N148" s="3"/>
    </row>
    <row r="149" spans="13:14" ht="14.25" customHeight="1">
      <c r="M149" s="3"/>
      <c r="N149" s="3"/>
    </row>
    <row r="150" spans="13:14" ht="14.25" customHeight="1">
      <c r="M150" s="3"/>
      <c r="N150" s="3"/>
    </row>
    <row r="151" spans="13:14" ht="14.25" customHeight="1">
      <c r="M151" s="3"/>
      <c r="N151" s="3"/>
    </row>
    <row r="152" spans="13:14" ht="14.25" customHeight="1">
      <c r="M152" s="3"/>
      <c r="N152" s="3"/>
    </row>
    <row r="153" spans="13:14" ht="14.25" customHeight="1">
      <c r="M153" s="3"/>
      <c r="N153" s="3"/>
    </row>
    <row r="154" spans="13:14" ht="14.25" customHeight="1">
      <c r="M154" s="3"/>
      <c r="N154" s="3"/>
    </row>
    <row r="155" spans="13:14" ht="14.25" customHeight="1">
      <c r="M155" s="3"/>
      <c r="N155" s="3"/>
    </row>
    <row r="156" spans="13:14" ht="14.25" customHeight="1">
      <c r="M156" s="3"/>
      <c r="N156" s="3"/>
    </row>
    <row r="157" spans="13:14" ht="14.25" customHeight="1">
      <c r="M157" s="3"/>
      <c r="N157" s="3"/>
    </row>
    <row r="158" spans="13:14" ht="14.25" customHeight="1">
      <c r="M158" s="3"/>
      <c r="N158" s="3"/>
    </row>
    <row r="159" spans="13:14" ht="14.25" customHeight="1">
      <c r="M159" s="3"/>
      <c r="N159" s="3"/>
    </row>
    <row r="160" spans="13:14" ht="14.25" customHeight="1">
      <c r="M160" s="3"/>
      <c r="N160" s="3"/>
    </row>
    <row r="161" spans="13:14" ht="14.25" customHeight="1">
      <c r="M161" s="3"/>
      <c r="N161" s="3"/>
    </row>
    <row r="162" spans="13:14" ht="14.25" customHeight="1">
      <c r="M162" s="3"/>
      <c r="N162" s="3"/>
    </row>
    <row r="163" spans="13:14" ht="14.25" customHeight="1">
      <c r="M163" s="3"/>
      <c r="N163" s="3"/>
    </row>
    <row r="164" spans="13:14" ht="14.25" customHeight="1">
      <c r="M164" s="3"/>
      <c r="N164" s="3"/>
    </row>
    <row r="165" spans="13:14" ht="14.25" customHeight="1">
      <c r="M165" s="3"/>
      <c r="N165" s="3"/>
    </row>
    <row r="166" spans="13:14" ht="14.25" customHeight="1">
      <c r="M166" s="3"/>
      <c r="N166" s="3"/>
    </row>
    <row r="167" spans="13:14" ht="14.25" customHeight="1">
      <c r="M167" s="3"/>
      <c r="N167" s="3"/>
    </row>
    <row r="168" spans="13:14" ht="14.25" customHeight="1">
      <c r="M168" s="3"/>
      <c r="N168" s="3"/>
    </row>
    <row r="169" spans="13:14" ht="14.25" customHeight="1">
      <c r="M169" s="3"/>
      <c r="N169" s="3"/>
    </row>
    <row r="170" spans="13:14" ht="14.25" customHeight="1">
      <c r="M170" s="3"/>
      <c r="N170" s="3"/>
    </row>
    <row r="171" spans="13:14" ht="14.25" customHeight="1">
      <c r="M171" s="3"/>
      <c r="N171" s="3"/>
    </row>
    <row r="172" spans="13:14" ht="14.25" customHeight="1">
      <c r="M172" s="3"/>
      <c r="N172" s="3"/>
    </row>
    <row r="173" spans="13:14" ht="14.25" customHeight="1">
      <c r="M173" s="3"/>
      <c r="N173" s="3"/>
    </row>
    <row r="174" spans="13:14" ht="14.25" customHeight="1">
      <c r="M174" s="3"/>
      <c r="N174" s="3"/>
    </row>
    <row r="175" spans="13:14" ht="14.25" customHeight="1">
      <c r="M175" s="3"/>
      <c r="N175" s="3"/>
    </row>
    <row r="176" spans="13:14" ht="14.25" customHeight="1">
      <c r="M176" s="3"/>
      <c r="N176" s="3"/>
    </row>
    <row r="177" spans="13:14" ht="14.25" customHeight="1">
      <c r="M177" s="3"/>
      <c r="N177" s="3"/>
    </row>
    <row r="178" spans="13:14" ht="14.25" customHeight="1">
      <c r="M178" s="3"/>
      <c r="N178" s="3"/>
    </row>
    <row r="179" spans="13:14" ht="14.25" customHeight="1">
      <c r="M179" s="3"/>
      <c r="N179" s="3"/>
    </row>
    <row r="180" spans="13:14" ht="14.25" customHeight="1">
      <c r="M180" s="3"/>
      <c r="N180" s="3"/>
    </row>
    <row r="181" spans="13:14" ht="14.25" customHeight="1">
      <c r="M181" s="3"/>
      <c r="N181" s="3"/>
    </row>
    <row r="182" spans="13:14" ht="14.25" customHeight="1">
      <c r="M182" s="3"/>
      <c r="N182" s="3"/>
    </row>
    <row r="183" spans="13:14" ht="14.25" customHeight="1">
      <c r="M183" s="3"/>
      <c r="N183" s="3"/>
    </row>
    <row r="184" spans="13:14" ht="14.25" customHeight="1">
      <c r="M184" s="3"/>
      <c r="N184" s="3"/>
    </row>
    <row r="185" spans="13:14" ht="14.25" customHeight="1">
      <c r="M185" s="3"/>
      <c r="N185" s="3"/>
    </row>
    <row r="186" spans="13:14" ht="14.25" customHeight="1">
      <c r="M186" s="3"/>
      <c r="N186" s="3"/>
    </row>
    <row r="187" spans="13:14" ht="14.25" customHeight="1">
      <c r="M187" s="3"/>
      <c r="N187" s="3"/>
    </row>
    <row r="188" spans="13:14" ht="14.25" customHeight="1">
      <c r="M188" s="3"/>
      <c r="N188" s="3"/>
    </row>
    <row r="189" spans="13:14" ht="14.25" customHeight="1">
      <c r="M189" s="3"/>
      <c r="N189" s="3"/>
    </row>
    <row r="190" spans="13:14" ht="14.25" customHeight="1">
      <c r="M190" s="3"/>
      <c r="N190" s="3"/>
    </row>
    <row r="191" spans="13:14" ht="14.25" customHeight="1">
      <c r="M191" s="3"/>
      <c r="N191" s="3"/>
    </row>
    <row r="192" spans="13:14" ht="14.25" customHeight="1">
      <c r="M192" s="3"/>
      <c r="N192" s="3"/>
    </row>
    <row r="193" spans="13:14" ht="14.25" customHeight="1">
      <c r="M193" s="3"/>
      <c r="N193" s="3"/>
    </row>
    <row r="194" spans="13:14" ht="14.25" customHeight="1">
      <c r="M194" s="3"/>
      <c r="N194" s="3"/>
    </row>
    <row r="195" spans="13:14" ht="14.25" customHeight="1">
      <c r="M195" s="3"/>
      <c r="N195" s="3"/>
    </row>
    <row r="196" spans="13:14" ht="14.25" customHeight="1">
      <c r="M196" s="3"/>
      <c r="N196" s="3"/>
    </row>
    <row r="197" spans="13:14" ht="14.25" customHeight="1">
      <c r="M197" s="3"/>
      <c r="N197" s="3"/>
    </row>
    <row r="198" spans="13:14" ht="14.25" customHeight="1">
      <c r="M198" s="3"/>
      <c r="N198" s="3"/>
    </row>
    <row r="199" spans="13:14" ht="14.25" customHeight="1">
      <c r="M199" s="3"/>
      <c r="N199" s="3"/>
    </row>
    <row r="200" spans="13:14" ht="14.25" customHeight="1">
      <c r="M200" s="3"/>
      <c r="N200" s="3"/>
    </row>
    <row r="201" spans="13:14" ht="14.25" customHeight="1">
      <c r="M201" s="3"/>
      <c r="N201" s="3"/>
    </row>
    <row r="202" spans="13:14" ht="14.25" customHeight="1">
      <c r="M202" s="3"/>
      <c r="N202" s="3"/>
    </row>
    <row r="203" spans="13:14" ht="14.25" customHeight="1">
      <c r="M203" s="3"/>
      <c r="N203" s="3"/>
    </row>
    <row r="204" spans="13:14" ht="14.25" customHeight="1">
      <c r="M204" s="3"/>
      <c r="N204" s="3"/>
    </row>
    <row r="205" spans="13:14" ht="14.25" customHeight="1">
      <c r="M205" s="3"/>
      <c r="N205" s="3"/>
    </row>
    <row r="206" spans="13:14" ht="14.25" customHeight="1">
      <c r="M206" s="3"/>
      <c r="N206" s="3"/>
    </row>
    <row r="207" spans="13:14" ht="14.25" customHeight="1">
      <c r="M207" s="3"/>
      <c r="N207" s="3"/>
    </row>
    <row r="208" spans="13:14" ht="14.25" customHeight="1">
      <c r="M208" s="3"/>
      <c r="N208" s="3"/>
    </row>
    <row r="209" spans="13:14" ht="14.25" customHeight="1">
      <c r="M209" s="3"/>
      <c r="N209" s="3"/>
    </row>
    <row r="210" spans="13:14" ht="14.25" customHeight="1">
      <c r="M210" s="3"/>
      <c r="N210" s="3"/>
    </row>
    <row r="211" spans="13:14" ht="14.25" customHeight="1">
      <c r="M211" s="3"/>
      <c r="N211" s="3"/>
    </row>
    <row r="212" spans="13:14" ht="14.25" customHeight="1">
      <c r="M212" s="3"/>
      <c r="N212" s="3"/>
    </row>
    <row r="213" spans="13:14" ht="14.25" customHeight="1">
      <c r="M213" s="3"/>
      <c r="N213" s="3"/>
    </row>
    <row r="214" spans="13:14" ht="14.25" customHeight="1">
      <c r="M214" s="3"/>
      <c r="N214" s="3"/>
    </row>
    <row r="215" spans="13:14" ht="14.25" customHeight="1">
      <c r="M215" s="3"/>
      <c r="N215" s="3"/>
    </row>
    <row r="216" spans="13:14" ht="14.25" customHeight="1">
      <c r="M216" s="3"/>
      <c r="N216" s="3"/>
    </row>
    <row r="217" spans="13:14" ht="14.25" customHeight="1">
      <c r="M217" s="3"/>
      <c r="N217" s="3"/>
    </row>
    <row r="218" spans="13:14" ht="14.25" customHeight="1">
      <c r="M218" s="3"/>
      <c r="N218" s="3"/>
    </row>
    <row r="219" spans="13:14" ht="14.25" customHeight="1">
      <c r="M219" s="3"/>
      <c r="N219" s="3"/>
    </row>
    <row r="220" spans="13:14" ht="14.25" customHeight="1">
      <c r="M220" s="3"/>
      <c r="N220" s="3"/>
    </row>
    <row r="221" spans="13:14" ht="14.25" customHeight="1">
      <c r="M221" s="3"/>
      <c r="N221" s="3"/>
    </row>
    <row r="222" spans="13:14" ht="14.25" customHeight="1">
      <c r="M222" s="3"/>
      <c r="N222" s="3"/>
    </row>
    <row r="223" spans="13:14" ht="14.25" customHeight="1">
      <c r="M223" s="3"/>
      <c r="N223" s="3"/>
    </row>
    <row r="224" spans="13:14" ht="14.25" customHeight="1">
      <c r="M224" s="3"/>
      <c r="N224" s="3"/>
    </row>
    <row r="225" spans="13:14" ht="14.25" customHeight="1">
      <c r="M225" s="3"/>
      <c r="N225" s="3"/>
    </row>
    <row r="226" spans="13:14" ht="14.25" customHeight="1">
      <c r="M226" s="3"/>
      <c r="N226" s="3"/>
    </row>
    <row r="227" spans="13:14" ht="14.25" customHeight="1">
      <c r="M227" s="3"/>
      <c r="N227" s="3"/>
    </row>
    <row r="228" spans="13:14" ht="14.25" customHeight="1">
      <c r="M228" s="3"/>
      <c r="N228" s="3"/>
    </row>
    <row r="229" spans="13:14" ht="14.25" customHeight="1">
      <c r="M229" s="3"/>
      <c r="N229" s="3"/>
    </row>
    <row r="230" spans="13:14" ht="14.25" customHeight="1">
      <c r="M230" s="3"/>
      <c r="N230" s="3"/>
    </row>
    <row r="231" spans="13:14" ht="14.25" customHeight="1">
      <c r="M231" s="3"/>
      <c r="N231" s="3"/>
    </row>
    <row r="232" spans="13:14" ht="14.25" customHeight="1">
      <c r="M232" s="3"/>
      <c r="N232" s="3"/>
    </row>
    <row r="233" spans="13:14" ht="14.25" customHeight="1">
      <c r="M233" s="3"/>
      <c r="N233" s="3"/>
    </row>
    <row r="234" spans="13:14" ht="14.25" customHeight="1">
      <c r="M234" s="3"/>
      <c r="N234" s="3"/>
    </row>
    <row r="235" spans="13:14" ht="14.25" customHeight="1">
      <c r="M235" s="3"/>
      <c r="N235" s="3"/>
    </row>
    <row r="236" spans="13:14" ht="14.25" customHeight="1">
      <c r="M236" s="3"/>
      <c r="N236" s="3"/>
    </row>
    <row r="237" spans="13:14" ht="14.25" customHeight="1">
      <c r="M237" s="3"/>
      <c r="N237" s="3"/>
    </row>
    <row r="238" spans="13:14" ht="14.25" customHeight="1">
      <c r="M238" s="3"/>
      <c r="N238" s="3"/>
    </row>
    <row r="239" spans="13:14" ht="14.25" customHeight="1">
      <c r="M239" s="3"/>
      <c r="N239" s="3"/>
    </row>
    <row r="240" spans="13:14" ht="14.25" customHeight="1">
      <c r="M240" s="3"/>
      <c r="N240" s="3"/>
    </row>
    <row r="241" spans="13:14" ht="14.25" customHeight="1">
      <c r="M241" s="3"/>
      <c r="N241" s="3"/>
    </row>
    <row r="242" spans="13:14" ht="14.25" customHeight="1">
      <c r="M242" s="3"/>
      <c r="N242" s="3"/>
    </row>
    <row r="243" spans="13:14" ht="14.25" customHeight="1">
      <c r="M243" s="3"/>
      <c r="N243" s="3"/>
    </row>
    <row r="244" spans="13:14" ht="14.25" customHeight="1">
      <c r="M244" s="3"/>
      <c r="N244" s="3"/>
    </row>
    <row r="245" spans="13:14" ht="14.25" customHeight="1">
      <c r="M245" s="3"/>
      <c r="N245" s="3"/>
    </row>
    <row r="246" spans="13:14" ht="14.25" customHeight="1">
      <c r="M246" s="3"/>
      <c r="N246" s="3"/>
    </row>
    <row r="247" spans="13:14" ht="14.25" customHeight="1">
      <c r="M247" s="3"/>
      <c r="N247" s="3"/>
    </row>
    <row r="248" spans="13:14" ht="14.25" customHeight="1">
      <c r="M248" s="3"/>
      <c r="N248" s="3"/>
    </row>
    <row r="249" spans="13:14" ht="14.25" customHeight="1">
      <c r="M249" s="3"/>
      <c r="N249" s="3"/>
    </row>
    <row r="250" spans="13:14" ht="14.25" customHeight="1">
      <c r="M250" s="3"/>
      <c r="N250" s="3"/>
    </row>
    <row r="251" spans="13:14" ht="14.25" customHeight="1">
      <c r="M251" s="3"/>
      <c r="N251" s="3"/>
    </row>
    <row r="252" spans="13:14" ht="14.25" customHeight="1">
      <c r="M252" s="3"/>
      <c r="N252" s="3"/>
    </row>
    <row r="253" spans="13:14" ht="14.25" customHeight="1">
      <c r="M253" s="3"/>
      <c r="N253" s="3"/>
    </row>
    <row r="254" spans="13:14" ht="14.25" customHeight="1">
      <c r="M254" s="3"/>
      <c r="N254" s="3"/>
    </row>
    <row r="255" spans="13:14" ht="14.25" customHeight="1">
      <c r="M255" s="3"/>
      <c r="N255" s="3"/>
    </row>
    <row r="256" spans="13:14" ht="14.25" customHeight="1">
      <c r="M256" s="3"/>
      <c r="N256" s="3"/>
    </row>
    <row r="257" spans="13:14" ht="14.25" customHeight="1">
      <c r="M257" s="3"/>
      <c r="N257" s="3"/>
    </row>
    <row r="258" spans="13:14" ht="14.25" customHeight="1">
      <c r="M258" s="3"/>
      <c r="N258" s="3"/>
    </row>
    <row r="259" spans="13:14" ht="14.25" customHeight="1">
      <c r="M259" s="3"/>
      <c r="N259" s="3"/>
    </row>
    <row r="260" spans="13:14" ht="14.25" customHeight="1">
      <c r="M260" s="3"/>
      <c r="N260" s="3"/>
    </row>
    <row r="261" spans="13:14" ht="14.25" customHeight="1">
      <c r="M261" s="3"/>
      <c r="N261" s="3"/>
    </row>
    <row r="262" spans="13:14" ht="14.25" customHeight="1">
      <c r="M262" s="3"/>
      <c r="N262" s="3"/>
    </row>
    <row r="263" spans="13:14" ht="14.25" customHeight="1">
      <c r="M263" s="3"/>
      <c r="N263" s="3"/>
    </row>
    <row r="264" spans="13:14" ht="14.25" customHeight="1">
      <c r="M264" s="3"/>
      <c r="N264" s="3"/>
    </row>
    <row r="265" spans="13:14" ht="14.25" customHeight="1">
      <c r="M265" s="3"/>
      <c r="N265" s="3"/>
    </row>
    <row r="266" spans="13:14" ht="14.25" customHeight="1">
      <c r="M266" s="3"/>
      <c r="N266" s="3"/>
    </row>
    <row r="267" spans="13:14" ht="14.25" customHeight="1">
      <c r="M267" s="3"/>
      <c r="N267" s="3"/>
    </row>
    <row r="268" spans="13:14" ht="14.25" customHeight="1">
      <c r="M268" s="3"/>
      <c r="N268" s="3"/>
    </row>
    <row r="269" spans="13:14" ht="14.25" customHeight="1">
      <c r="M269" s="3"/>
      <c r="N269" s="3"/>
    </row>
    <row r="270" spans="13:14" ht="14.25" customHeight="1">
      <c r="M270" s="3"/>
      <c r="N270" s="3"/>
    </row>
    <row r="271" spans="13:14" ht="14.25" customHeight="1">
      <c r="M271" s="3"/>
      <c r="N271" s="3"/>
    </row>
    <row r="272" spans="13:14" ht="14.25" customHeight="1">
      <c r="M272" s="3"/>
      <c r="N272" s="3"/>
    </row>
    <row r="273" spans="13:14" ht="14.25" customHeight="1">
      <c r="M273" s="3"/>
      <c r="N273" s="3"/>
    </row>
    <row r="274" spans="13:14" ht="14.25" customHeight="1">
      <c r="M274" s="3"/>
      <c r="N274" s="3"/>
    </row>
    <row r="275" spans="13:14" ht="14.25" customHeight="1">
      <c r="M275" s="3"/>
      <c r="N275" s="3"/>
    </row>
    <row r="276" spans="13:14" ht="14.25" customHeight="1">
      <c r="M276" s="3"/>
      <c r="N276" s="3"/>
    </row>
    <row r="277" spans="13:14" ht="14.25" customHeight="1">
      <c r="M277" s="3"/>
      <c r="N277" s="3"/>
    </row>
    <row r="278" spans="13:14" ht="14.25" customHeight="1">
      <c r="M278" s="3"/>
      <c r="N278" s="3"/>
    </row>
    <row r="279" spans="13:14" ht="14.25" customHeight="1">
      <c r="M279" s="3"/>
      <c r="N279" s="3"/>
    </row>
    <row r="280" spans="13:14" ht="14.25" customHeight="1">
      <c r="M280" s="3"/>
      <c r="N280" s="3"/>
    </row>
    <row r="281" spans="13:14" ht="14.25" customHeight="1">
      <c r="M281" s="3"/>
      <c r="N281" s="3"/>
    </row>
    <row r="282" spans="13:14" ht="14.25" customHeight="1">
      <c r="M282" s="3"/>
      <c r="N282" s="3"/>
    </row>
    <row r="283" spans="13:14" ht="14.25" customHeight="1">
      <c r="M283" s="3"/>
      <c r="N283" s="3"/>
    </row>
    <row r="284" spans="13:14" ht="14.25" customHeight="1">
      <c r="M284" s="3"/>
      <c r="N284" s="3"/>
    </row>
    <row r="285" spans="13:14" ht="14.25" customHeight="1">
      <c r="M285" s="3"/>
      <c r="N285" s="3"/>
    </row>
    <row r="286" spans="13:14" ht="14.25" customHeight="1">
      <c r="M286" s="3"/>
      <c r="N286" s="3"/>
    </row>
    <row r="287" spans="13:14" ht="14.25" customHeight="1">
      <c r="M287" s="3"/>
      <c r="N287" s="3"/>
    </row>
    <row r="288" spans="13:14" ht="14.25" customHeight="1">
      <c r="M288" s="3"/>
      <c r="N288" s="3"/>
    </row>
    <row r="289" spans="13:14" ht="14.25" customHeight="1">
      <c r="M289" s="3"/>
      <c r="N289" s="3"/>
    </row>
    <row r="290" spans="13:14" ht="14.25" customHeight="1">
      <c r="M290" s="3"/>
      <c r="N290" s="3"/>
    </row>
    <row r="291" spans="13:14" ht="14.25" customHeight="1">
      <c r="M291" s="3"/>
      <c r="N291" s="3"/>
    </row>
    <row r="292" spans="13:14" ht="14.25" customHeight="1">
      <c r="M292" s="3"/>
      <c r="N292" s="3"/>
    </row>
    <row r="293" spans="13:14" ht="14.25" customHeight="1">
      <c r="M293" s="3"/>
      <c r="N293" s="3"/>
    </row>
    <row r="294" spans="13:14" ht="14.25" customHeight="1">
      <c r="M294" s="3"/>
      <c r="N294" s="3"/>
    </row>
    <row r="295" spans="13:14" ht="14.25" customHeight="1">
      <c r="M295" s="3"/>
      <c r="N295" s="3"/>
    </row>
    <row r="296" spans="13:14" ht="14.25" customHeight="1">
      <c r="M296" s="3"/>
      <c r="N296" s="3"/>
    </row>
    <row r="297" spans="13:14" ht="14.25" customHeight="1">
      <c r="M297" s="3"/>
      <c r="N297" s="3"/>
    </row>
    <row r="298" spans="13:14" ht="14.25" customHeight="1">
      <c r="M298" s="3"/>
      <c r="N298" s="3"/>
    </row>
    <row r="299" spans="13:14" ht="14.25" customHeight="1">
      <c r="M299" s="3"/>
      <c r="N299" s="3"/>
    </row>
    <row r="300" spans="13:14" ht="14.25" customHeight="1">
      <c r="M300" s="3"/>
      <c r="N300" s="3"/>
    </row>
    <row r="301" spans="13:14" ht="14.25" customHeight="1">
      <c r="M301" s="3"/>
      <c r="N301" s="3"/>
    </row>
    <row r="302" spans="13:14" ht="14.25" customHeight="1">
      <c r="M302" s="3"/>
      <c r="N302" s="3"/>
    </row>
    <row r="303" spans="13:14" ht="14.25" customHeight="1">
      <c r="M303" s="3"/>
      <c r="N303" s="3"/>
    </row>
    <row r="304" spans="13:14" ht="14.25" customHeight="1">
      <c r="M304" s="3"/>
      <c r="N304" s="3"/>
    </row>
    <row r="305" spans="13:14" ht="14.25" customHeight="1">
      <c r="M305" s="3"/>
      <c r="N305" s="3"/>
    </row>
    <row r="306" spans="13:14" ht="14.25" customHeight="1">
      <c r="M306" s="3"/>
      <c r="N306" s="3"/>
    </row>
    <row r="307" spans="13:14" ht="14.25" customHeight="1">
      <c r="M307" s="3"/>
      <c r="N307" s="3"/>
    </row>
    <row r="308" spans="13:14" ht="14.25" customHeight="1">
      <c r="M308" s="3"/>
      <c r="N308" s="3"/>
    </row>
    <row r="309" spans="13:14" ht="14.25" customHeight="1">
      <c r="M309" s="3"/>
      <c r="N309" s="3"/>
    </row>
    <row r="310" spans="13:14" ht="14.25" customHeight="1">
      <c r="M310" s="3"/>
      <c r="N310" s="3"/>
    </row>
    <row r="311" spans="13:14" ht="14.25" customHeight="1">
      <c r="M311" s="3"/>
      <c r="N311" s="3"/>
    </row>
    <row r="312" spans="13:14" ht="14.25" customHeight="1">
      <c r="M312" s="3"/>
      <c r="N312" s="3"/>
    </row>
    <row r="313" spans="13:14" ht="14.25" customHeight="1">
      <c r="M313" s="3"/>
      <c r="N313" s="3"/>
    </row>
    <row r="314" spans="13:14" ht="14.25" customHeight="1">
      <c r="M314" s="3"/>
      <c r="N314" s="3"/>
    </row>
    <row r="315" spans="13:14" ht="14.25" customHeight="1">
      <c r="M315" s="3"/>
      <c r="N315" s="3"/>
    </row>
    <row r="316" spans="13:14" ht="14.25" customHeight="1">
      <c r="M316" s="3"/>
      <c r="N316" s="3"/>
    </row>
    <row r="317" spans="13:14" ht="14.25" customHeight="1">
      <c r="M317" s="3"/>
      <c r="N317" s="3"/>
    </row>
    <row r="318" spans="13:14" ht="14.25" customHeight="1">
      <c r="M318" s="3"/>
      <c r="N318" s="3"/>
    </row>
    <row r="319" spans="13:14" ht="14.25" customHeight="1">
      <c r="M319" s="3"/>
      <c r="N319" s="3"/>
    </row>
    <row r="320" spans="13:14" ht="14.25" customHeight="1">
      <c r="M320" s="3"/>
      <c r="N320" s="3"/>
    </row>
    <row r="321" spans="13:14" ht="14.25" customHeight="1">
      <c r="M321" s="3"/>
      <c r="N321" s="3"/>
    </row>
    <row r="322" spans="13:14" ht="14.25" customHeight="1">
      <c r="M322" s="3"/>
      <c r="N322" s="3"/>
    </row>
    <row r="323" spans="13:14" ht="14.25" customHeight="1">
      <c r="M323" s="3"/>
      <c r="N323" s="3"/>
    </row>
    <row r="324" spans="13:14" ht="14.25" customHeight="1">
      <c r="M324" s="3"/>
      <c r="N324" s="3"/>
    </row>
    <row r="325" spans="13:14" ht="14.25" customHeight="1">
      <c r="M325" s="3"/>
      <c r="N325" s="3"/>
    </row>
    <row r="326" spans="13:14" ht="14.25" customHeight="1">
      <c r="M326" s="3"/>
      <c r="N326" s="3"/>
    </row>
    <row r="327" spans="13:14" ht="14.25" customHeight="1">
      <c r="M327" s="3"/>
      <c r="N327" s="3"/>
    </row>
    <row r="328" spans="13:14" ht="14.25" customHeight="1">
      <c r="M328" s="3"/>
      <c r="N328" s="3"/>
    </row>
    <row r="329" spans="13:14" ht="14.25" customHeight="1">
      <c r="M329" s="3"/>
      <c r="N329" s="3"/>
    </row>
    <row r="330" spans="13:14" ht="14.25" customHeight="1">
      <c r="M330" s="3"/>
      <c r="N330" s="3"/>
    </row>
    <row r="331" spans="13:14" ht="14.25" customHeight="1">
      <c r="M331" s="3"/>
      <c r="N331" s="3"/>
    </row>
    <row r="332" spans="13:14" ht="14.25" customHeight="1">
      <c r="M332" s="3"/>
      <c r="N332" s="3"/>
    </row>
    <row r="333" spans="13:14" ht="14.25" customHeight="1">
      <c r="M333" s="3"/>
      <c r="N333" s="3"/>
    </row>
    <row r="334" spans="13:14" ht="14.25" customHeight="1">
      <c r="M334" s="3"/>
      <c r="N334" s="3"/>
    </row>
    <row r="335" spans="13:14" ht="14.25" customHeight="1">
      <c r="M335" s="3"/>
      <c r="N335" s="3"/>
    </row>
    <row r="336" spans="13:14" ht="14.25" customHeight="1">
      <c r="M336" s="3"/>
      <c r="N336" s="3"/>
    </row>
    <row r="337" spans="13:14" ht="14.25" customHeight="1">
      <c r="M337" s="3"/>
      <c r="N337" s="3"/>
    </row>
    <row r="338" spans="13:14" ht="14.25" customHeight="1">
      <c r="M338" s="3"/>
      <c r="N338" s="3"/>
    </row>
    <row r="339" spans="13:14" ht="14.25" customHeight="1">
      <c r="M339" s="3"/>
      <c r="N339" s="3"/>
    </row>
    <row r="340" spans="13:14" ht="14.25" customHeight="1">
      <c r="M340" s="3"/>
      <c r="N340" s="3"/>
    </row>
    <row r="341" spans="13:14" ht="14.25" customHeight="1">
      <c r="M341" s="3"/>
      <c r="N341" s="3"/>
    </row>
    <row r="342" spans="13:14" ht="14.25" customHeight="1">
      <c r="M342" s="3"/>
      <c r="N342" s="3"/>
    </row>
    <row r="343" spans="13:14" ht="14.25" customHeight="1">
      <c r="M343" s="3"/>
      <c r="N343" s="3"/>
    </row>
    <row r="344" spans="13:14" ht="14.25" customHeight="1">
      <c r="M344" s="3"/>
      <c r="N344" s="3"/>
    </row>
    <row r="345" spans="13:14" ht="14.25" customHeight="1">
      <c r="M345" s="3"/>
      <c r="N345" s="3"/>
    </row>
    <row r="346" spans="13:14" ht="14.25" customHeight="1">
      <c r="M346" s="3"/>
      <c r="N346" s="3"/>
    </row>
    <row r="347" spans="13:14" ht="14.25" customHeight="1">
      <c r="M347" s="3"/>
      <c r="N347" s="3"/>
    </row>
    <row r="348" spans="13:14" ht="14.25" customHeight="1">
      <c r="M348" s="3"/>
      <c r="N348" s="3"/>
    </row>
    <row r="349" spans="13:14" ht="14.25" customHeight="1">
      <c r="M349" s="3"/>
      <c r="N349" s="3"/>
    </row>
    <row r="350" spans="13:14" ht="14.25" customHeight="1">
      <c r="M350" s="3"/>
      <c r="N350" s="3"/>
    </row>
    <row r="351" spans="13:14" ht="14.25" customHeight="1">
      <c r="M351" s="3"/>
      <c r="N351" s="3"/>
    </row>
    <row r="352" spans="13:14" ht="14.25" customHeight="1">
      <c r="M352" s="3"/>
      <c r="N352" s="3"/>
    </row>
    <row r="353" spans="13:14" ht="14.25" customHeight="1">
      <c r="M353" s="3"/>
      <c r="N353" s="3"/>
    </row>
    <row r="354" spans="13:14" ht="14.25" customHeight="1">
      <c r="M354" s="3"/>
      <c r="N354" s="3"/>
    </row>
    <row r="355" spans="13:14" ht="14.25" customHeight="1">
      <c r="M355" s="3"/>
      <c r="N355" s="3"/>
    </row>
    <row r="356" spans="13:14" ht="14.25" customHeight="1">
      <c r="M356" s="3"/>
      <c r="N356" s="3"/>
    </row>
    <row r="357" spans="13:14" ht="14.25" customHeight="1">
      <c r="M357" s="3"/>
      <c r="N357" s="3"/>
    </row>
    <row r="358" spans="13:14" ht="14.25" customHeight="1">
      <c r="M358" s="3"/>
      <c r="N358" s="3"/>
    </row>
    <row r="359" spans="13:14" ht="14.25" customHeight="1">
      <c r="M359" s="3"/>
      <c r="N359" s="3"/>
    </row>
    <row r="360" spans="13:14" ht="14.25" customHeight="1">
      <c r="M360" s="3"/>
      <c r="N360" s="3"/>
    </row>
    <row r="361" spans="13:14" ht="14.25" customHeight="1">
      <c r="M361" s="3"/>
      <c r="N361" s="3"/>
    </row>
    <row r="362" spans="13:14" ht="14.25" customHeight="1">
      <c r="M362" s="3"/>
      <c r="N362" s="3"/>
    </row>
    <row r="363" spans="13:14" ht="14.25" customHeight="1">
      <c r="M363" s="3"/>
      <c r="N363" s="3"/>
    </row>
    <row r="364" spans="13:14" ht="14.25" customHeight="1">
      <c r="M364" s="3"/>
      <c r="N364" s="3"/>
    </row>
    <row r="365" spans="13:14" ht="14.25" customHeight="1">
      <c r="M365" s="3"/>
      <c r="N365" s="3"/>
    </row>
    <row r="366" spans="13:14" ht="14.25" customHeight="1">
      <c r="M366" s="3"/>
      <c r="N366" s="3"/>
    </row>
    <row r="367" spans="13:14" ht="14.25" customHeight="1">
      <c r="M367" s="3"/>
      <c r="N367" s="3"/>
    </row>
    <row r="368" spans="13:14" ht="14.25" customHeight="1">
      <c r="M368" s="3"/>
      <c r="N368" s="3"/>
    </row>
    <row r="369" spans="13:14" ht="14.25" customHeight="1">
      <c r="M369" s="3"/>
      <c r="N369" s="3"/>
    </row>
    <row r="370" spans="13:14" ht="14.25" customHeight="1">
      <c r="M370" s="3"/>
      <c r="N370" s="3"/>
    </row>
    <row r="371" spans="13:14" ht="14.25" customHeight="1">
      <c r="M371" s="3"/>
      <c r="N371" s="3"/>
    </row>
    <row r="372" spans="13:14" ht="14.25" customHeight="1">
      <c r="M372" s="3"/>
      <c r="N372" s="3"/>
    </row>
    <row r="373" spans="13:14" ht="14.25" customHeight="1">
      <c r="M373" s="3"/>
      <c r="N373" s="3"/>
    </row>
    <row r="374" spans="13:14" ht="14.25" customHeight="1">
      <c r="M374" s="3"/>
      <c r="N374" s="3"/>
    </row>
    <row r="375" spans="13:14" ht="14.25" customHeight="1">
      <c r="M375" s="3"/>
      <c r="N375" s="3"/>
    </row>
    <row r="376" spans="13:14" ht="14.25" customHeight="1">
      <c r="M376" s="3"/>
      <c r="N376" s="3"/>
    </row>
    <row r="377" spans="13:14" ht="14.25" customHeight="1">
      <c r="M377" s="3"/>
      <c r="N377" s="3"/>
    </row>
    <row r="378" spans="13:14" ht="14.25" customHeight="1">
      <c r="M378" s="3"/>
      <c r="N378" s="3"/>
    </row>
    <row r="379" spans="13:14" ht="14.25" customHeight="1">
      <c r="M379" s="3"/>
      <c r="N379" s="3"/>
    </row>
    <row r="380" spans="13:14" ht="14.25" customHeight="1">
      <c r="M380" s="3"/>
      <c r="N380" s="3"/>
    </row>
    <row r="381" spans="13:14" ht="14.25" customHeight="1">
      <c r="M381" s="3"/>
      <c r="N381" s="3"/>
    </row>
    <row r="382" spans="13:14" ht="14.25" customHeight="1">
      <c r="M382" s="3"/>
      <c r="N382" s="3"/>
    </row>
    <row r="383" spans="13:14" ht="14.25" customHeight="1">
      <c r="M383" s="3"/>
      <c r="N383" s="3"/>
    </row>
    <row r="384" spans="13:14" ht="14.25" customHeight="1">
      <c r="M384" s="3"/>
      <c r="N384" s="3"/>
    </row>
    <row r="385" spans="13:14" ht="14.25" customHeight="1">
      <c r="M385" s="3"/>
      <c r="N385" s="3"/>
    </row>
    <row r="386" spans="13:14" ht="14.25" customHeight="1">
      <c r="M386" s="3"/>
      <c r="N386" s="3"/>
    </row>
    <row r="387" spans="13:14" ht="14.25" customHeight="1">
      <c r="M387" s="3"/>
      <c r="N387" s="3"/>
    </row>
    <row r="388" spans="13:14" ht="14.25" customHeight="1">
      <c r="M388" s="3"/>
      <c r="N388" s="3"/>
    </row>
    <row r="389" spans="13:14" ht="14.25" customHeight="1">
      <c r="M389" s="3"/>
      <c r="N389" s="3"/>
    </row>
    <row r="390" spans="13:14" ht="14.25" customHeight="1">
      <c r="M390" s="3"/>
      <c r="N390" s="3"/>
    </row>
    <row r="391" spans="13:14" ht="14.25" customHeight="1">
      <c r="M391" s="3"/>
      <c r="N391" s="3"/>
    </row>
    <row r="392" spans="13:14" ht="14.25" customHeight="1">
      <c r="M392" s="3"/>
      <c r="N392" s="3"/>
    </row>
    <row r="393" spans="13:14" ht="14.25" customHeight="1">
      <c r="M393" s="3"/>
      <c r="N393" s="3"/>
    </row>
    <row r="394" spans="13:14" ht="14.25" customHeight="1">
      <c r="M394" s="3"/>
      <c r="N394" s="3"/>
    </row>
    <row r="395" spans="13:14" ht="14.25" customHeight="1">
      <c r="M395" s="3"/>
      <c r="N395" s="3"/>
    </row>
    <row r="396" spans="13:14" ht="14.25" customHeight="1">
      <c r="M396" s="3"/>
      <c r="N396" s="3"/>
    </row>
    <row r="397" spans="13:14" ht="14.25" customHeight="1">
      <c r="M397" s="3"/>
      <c r="N397" s="3"/>
    </row>
    <row r="398" spans="13:14" ht="14.25" customHeight="1">
      <c r="M398" s="3"/>
      <c r="N398" s="3"/>
    </row>
    <row r="399" spans="13:14" ht="14.25" customHeight="1">
      <c r="M399" s="3"/>
      <c r="N399" s="3"/>
    </row>
    <row r="400" spans="13:14" ht="14.25" customHeight="1">
      <c r="M400" s="3"/>
      <c r="N400" s="3"/>
    </row>
    <row r="401" spans="13:14" ht="14.25" customHeight="1">
      <c r="M401" s="3"/>
      <c r="N401" s="3"/>
    </row>
    <row r="402" spans="13:14" ht="14.25" customHeight="1">
      <c r="M402" s="3"/>
      <c r="N402" s="3"/>
    </row>
    <row r="403" spans="13:14" ht="14.25" customHeight="1">
      <c r="M403" s="3"/>
      <c r="N403" s="3"/>
    </row>
    <row r="404" spans="13:14" ht="14.25" customHeight="1">
      <c r="M404" s="3"/>
      <c r="N404" s="3"/>
    </row>
    <row r="405" spans="13:14" ht="14.25" customHeight="1">
      <c r="M405" s="3"/>
      <c r="N405" s="3"/>
    </row>
    <row r="406" spans="13:14" ht="14.25" customHeight="1">
      <c r="M406" s="3"/>
      <c r="N406" s="3"/>
    </row>
    <row r="407" spans="13:14" ht="14.25" customHeight="1">
      <c r="M407" s="3"/>
      <c r="N407" s="3"/>
    </row>
    <row r="408" spans="13:14" ht="14.25" customHeight="1">
      <c r="M408" s="3"/>
      <c r="N408" s="3"/>
    </row>
    <row r="409" spans="13:14" ht="14.25" customHeight="1">
      <c r="M409" s="3"/>
      <c r="N409" s="3"/>
    </row>
    <row r="410" spans="13:14" ht="14.25" customHeight="1">
      <c r="M410" s="3"/>
      <c r="N410" s="3"/>
    </row>
    <row r="411" spans="13:14" ht="14.25" customHeight="1">
      <c r="M411" s="3"/>
      <c r="N411" s="3"/>
    </row>
    <row r="412" spans="13:14" ht="14.25" customHeight="1">
      <c r="M412" s="3"/>
      <c r="N412" s="3"/>
    </row>
    <row r="413" spans="13:14" ht="14.25" customHeight="1">
      <c r="M413" s="3"/>
      <c r="N413" s="3"/>
    </row>
    <row r="414" spans="13:14" ht="14.25" customHeight="1">
      <c r="M414" s="3"/>
      <c r="N414" s="3"/>
    </row>
    <row r="415" spans="13:14" ht="14.25" customHeight="1">
      <c r="M415" s="3"/>
      <c r="N415" s="3"/>
    </row>
    <row r="416" spans="13:14" ht="14.25" customHeight="1">
      <c r="M416" s="3"/>
      <c r="N416" s="3"/>
    </row>
    <row r="417" spans="13:14" ht="14.25" customHeight="1">
      <c r="M417" s="3"/>
      <c r="N417" s="3"/>
    </row>
    <row r="418" spans="13:14" ht="14.25" customHeight="1">
      <c r="M418" s="3"/>
      <c r="N418" s="3"/>
    </row>
    <row r="419" spans="13:14" ht="14.25" customHeight="1">
      <c r="M419" s="3"/>
      <c r="N419" s="3"/>
    </row>
    <row r="420" spans="13:14" ht="14.25" customHeight="1">
      <c r="M420" s="3"/>
      <c r="N420" s="3"/>
    </row>
    <row r="421" spans="13:14" ht="14.25" customHeight="1">
      <c r="M421" s="3"/>
      <c r="N421" s="3"/>
    </row>
    <row r="422" spans="13:14" ht="14.25" customHeight="1">
      <c r="M422" s="3"/>
      <c r="N422" s="3"/>
    </row>
    <row r="423" spans="13:14" ht="14.25" customHeight="1">
      <c r="M423" s="3"/>
      <c r="N423" s="3"/>
    </row>
    <row r="424" spans="13:14" ht="14.25" customHeight="1">
      <c r="M424" s="3"/>
      <c r="N424" s="3"/>
    </row>
    <row r="425" spans="13:14" ht="14.25" customHeight="1">
      <c r="M425" s="3"/>
      <c r="N425" s="3"/>
    </row>
    <row r="426" spans="13:14" ht="14.25" customHeight="1">
      <c r="M426" s="3"/>
      <c r="N426" s="3"/>
    </row>
    <row r="427" spans="13:14" ht="14.25" customHeight="1">
      <c r="M427" s="3"/>
      <c r="N427" s="3"/>
    </row>
    <row r="428" spans="13:14" ht="14.25" customHeight="1">
      <c r="M428" s="3"/>
      <c r="N428" s="3"/>
    </row>
    <row r="429" spans="13:14" ht="14.25" customHeight="1">
      <c r="M429" s="3"/>
      <c r="N429" s="3"/>
    </row>
    <row r="430" spans="13:14" ht="14.25" customHeight="1">
      <c r="M430" s="3"/>
      <c r="N430" s="3"/>
    </row>
    <row r="431" spans="13:14" ht="14.25" customHeight="1">
      <c r="M431" s="3"/>
      <c r="N431" s="3"/>
    </row>
    <row r="432" spans="13:14" ht="14.25" customHeight="1">
      <c r="M432" s="3"/>
      <c r="N432" s="3"/>
    </row>
    <row r="433" spans="13:14" ht="14.25" customHeight="1">
      <c r="M433" s="3"/>
      <c r="N433" s="3"/>
    </row>
    <row r="434" spans="13:14" ht="14.25" customHeight="1">
      <c r="M434" s="3"/>
      <c r="N434" s="3"/>
    </row>
    <row r="435" spans="13:14" ht="14.25" customHeight="1">
      <c r="M435" s="3"/>
      <c r="N435" s="3"/>
    </row>
    <row r="436" spans="13:14" ht="14.25" customHeight="1">
      <c r="M436" s="3"/>
      <c r="N436" s="3"/>
    </row>
    <row r="437" spans="13:14" ht="14.25" customHeight="1">
      <c r="M437" s="3"/>
      <c r="N437" s="3"/>
    </row>
    <row r="438" spans="13:14" ht="14.25" customHeight="1">
      <c r="M438" s="3"/>
      <c r="N438" s="3"/>
    </row>
    <row r="439" spans="13:14" ht="14.25" customHeight="1">
      <c r="M439" s="3"/>
      <c r="N439" s="3"/>
    </row>
    <row r="440" spans="13:14" ht="14.25" customHeight="1">
      <c r="M440" s="3"/>
      <c r="N440" s="3"/>
    </row>
    <row r="441" spans="13:14" ht="14.25" customHeight="1">
      <c r="M441" s="3"/>
      <c r="N441" s="3"/>
    </row>
    <row r="442" spans="13:14" ht="14.25" customHeight="1">
      <c r="M442" s="3"/>
      <c r="N442" s="3"/>
    </row>
    <row r="443" spans="13:14" ht="14.25" customHeight="1">
      <c r="M443" s="3"/>
      <c r="N443" s="3"/>
    </row>
    <row r="444" spans="13:14" ht="14.25" customHeight="1">
      <c r="M444" s="3"/>
      <c r="N444" s="3"/>
    </row>
    <row r="445" spans="13:14" ht="14.25" customHeight="1">
      <c r="M445" s="3"/>
      <c r="N445" s="3"/>
    </row>
    <row r="446" spans="13:14" ht="14.25" customHeight="1">
      <c r="M446" s="3"/>
      <c r="N446" s="3"/>
    </row>
    <row r="447" spans="13:14" ht="14.25" customHeight="1">
      <c r="M447" s="3"/>
      <c r="N447" s="3"/>
    </row>
    <row r="448" spans="13:14" ht="14.25" customHeight="1">
      <c r="M448" s="3"/>
      <c r="N448" s="3"/>
    </row>
    <row r="449" spans="13:14" ht="14.25" customHeight="1">
      <c r="M449" s="3"/>
      <c r="N449" s="3"/>
    </row>
    <row r="450" spans="13:14" ht="14.25" customHeight="1">
      <c r="M450" s="3"/>
      <c r="N450" s="3"/>
    </row>
    <row r="451" spans="13:14" ht="14.25" customHeight="1">
      <c r="M451" s="3"/>
      <c r="N451" s="3"/>
    </row>
    <row r="452" spans="13:14" ht="14.25" customHeight="1">
      <c r="M452" s="3"/>
      <c r="N452" s="3"/>
    </row>
    <row r="453" spans="13:14" ht="14.25" customHeight="1">
      <c r="M453" s="3"/>
      <c r="N453" s="3"/>
    </row>
    <row r="454" spans="13:14" ht="14.25" customHeight="1">
      <c r="M454" s="3"/>
      <c r="N454" s="3"/>
    </row>
    <row r="455" spans="13:14" ht="14.25" customHeight="1">
      <c r="M455" s="3"/>
      <c r="N455" s="3"/>
    </row>
    <row r="456" spans="13:14" ht="14.25" customHeight="1">
      <c r="M456" s="3"/>
      <c r="N456" s="3"/>
    </row>
    <row r="457" spans="13:14" ht="14.25" customHeight="1">
      <c r="M457" s="3"/>
      <c r="N457" s="3"/>
    </row>
    <row r="458" spans="13:14" ht="14.25" customHeight="1">
      <c r="M458" s="3"/>
      <c r="N458" s="3"/>
    </row>
    <row r="459" spans="13:14" ht="14.25" customHeight="1">
      <c r="M459" s="3"/>
      <c r="N459" s="3"/>
    </row>
    <row r="460" spans="13:14" ht="14.25" customHeight="1">
      <c r="M460" s="3"/>
      <c r="N460" s="3"/>
    </row>
    <row r="461" spans="13:14" ht="14.25" customHeight="1">
      <c r="M461" s="3"/>
      <c r="N461" s="3"/>
    </row>
    <row r="462" spans="13:14" ht="14.25" customHeight="1">
      <c r="M462" s="3"/>
      <c r="N462" s="3"/>
    </row>
    <row r="463" spans="13:14" ht="14.25" customHeight="1">
      <c r="M463" s="3"/>
      <c r="N463" s="3"/>
    </row>
    <row r="464" spans="13:14" ht="14.25" customHeight="1">
      <c r="M464" s="3"/>
      <c r="N464" s="3"/>
    </row>
    <row r="465" spans="13:14" ht="14.25" customHeight="1">
      <c r="M465" s="3"/>
      <c r="N465" s="3"/>
    </row>
    <row r="466" spans="13:14" ht="14.25" customHeight="1">
      <c r="M466" s="3"/>
      <c r="N466" s="3"/>
    </row>
    <row r="467" spans="13:14" ht="14.25" customHeight="1">
      <c r="M467" s="3"/>
      <c r="N467" s="3"/>
    </row>
    <row r="468" spans="13:14" ht="14.25" customHeight="1">
      <c r="M468" s="3"/>
      <c r="N468" s="3"/>
    </row>
    <row r="469" spans="13:14" ht="14.25" customHeight="1">
      <c r="M469" s="3"/>
      <c r="N469" s="3"/>
    </row>
    <row r="470" spans="13:14" ht="14.25" customHeight="1">
      <c r="M470" s="3"/>
      <c r="N470" s="3"/>
    </row>
    <row r="471" spans="13:14" ht="14.25" customHeight="1">
      <c r="M471" s="3"/>
      <c r="N471" s="3"/>
    </row>
    <row r="472" spans="13:14" ht="14.25" customHeight="1">
      <c r="M472" s="3"/>
      <c r="N472" s="3"/>
    </row>
    <row r="473" spans="13:14" ht="14.25" customHeight="1">
      <c r="M473" s="3"/>
      <c r="N473" s="3"/>
    </row>
    <row r="474" spans="13:14" ht="14.25" customHeight="1">
      <c r="M474" s="3"/>
      <c r="N474" s="3"/>
    </row>
    <row r="475" spans="13:14" ht="14.25" customHeight="1">
      <c r="M475" s="3"/>
      <c r="N475" s="3"/>
    </row>
    <row r="476" spans="13:14" ht="14.25" customHeight="1">
      <c r="M476" s="3"/>
      <c r="N476" s="3"/>
    </row>
    <row r="477" spans="13:14" ht="14.25" customHeight="1">
      <c r="M477" s="3"/>
      <c r="N477" s="3"/>
    </row>
    <row r="478" spans="13:14" ht="14.25" customHeight="1">
      <c r="M478" s="3"/>
      <c r="N478" s="3"/>
    </row>
    <row r="479" spans="13:14" ht="14.25" customHeight="1">
      <c r="M479" s="3"/>
      <c r="N479" s="3"/>
    </row>
    <row r="480" spans="13:14" ht="14.25" customHeight="1">
      <c r="M480" s="3"/>
      <c r="N480" s="3"/>
    </row>
    <row r="481" spans="13:14" ht="14.25" customHeight="1">
      <c r="M481" s="3"/>
      <c r="N481" s="3"/>
    </row>
    <row r="482" spans="13:14" ht="14.25" customHeight="1">
      <c r="M482" s="3"/>
      <c r="N482" s="3"/>
    </row>
    <row r="483" spans="13:14" ht="14.25" customHeight="1">
      <c r="M483" s="3"/>
      <c r="N483" s="3"/>
    </row>
    <row r="484" spans="13:14" ht="14.25" customHeight="1">
      <c r="M484" s="3"/>
      <c r="N484" s="3"/>
    </row>
    <row r="485" spans="13:14" ht="14.25" customHeight="1">
      <c r="M485" s="3"/>
      <c r="N485" s="3"/>
    </row>
    <row r="486" spans="13:14" ht="14.25" customHeight="1">
      <c r="M486" s="3"/>
      <c r="N486" s="3"/>
    </row>
    <row r="487" spans="13:14" ht="14.25" customHeight="1">
      <c r="M487" s="3"/>
      <c r="N487" s="3"/>
    </row>
    <row r="488" spans="13:14" ht="14.25" customHeight="1">
      <c r="M488" s="3"/>
      <c r="N488" s="3"/>
    </row>
    <row r="489" spans="13:14" ht="14.25" customHeight="1">
      <c r="M489" s="3"/>
      <c r="N489" s="3"/>
    </row>
    <row r="490" spans="13:14" ht="14.25" customHeight="1">
      <c r="M490" s="3"/>
      <c r="N490" s="3"/>
    </row>
    <row r="491" spans="13:14" ht="14.25" customHeight="1">
      <c r="M491" s="3"/>
      <c r="N491" s="3"/>
    </row>
    <row r="492" spans="13:14" ht="14.25" customHeight="1">
      <c r="M492" s="3"/>
      <c r="N492" s="3"/>
    </row>
    <row r="493" spans="13:14" ht="14.25" customHeight="1">
      <c r="M493" s="3"/>
      <c r="N493" s="3"/>
    </row>
    <row r="494" spans="13:14" ht="14.25" customHeight="1">
      <c r="M494" s="3"/>
      <c r="N494" s="3"/>
    </row>
    <row r="495" spans="13:14" ht="14.25" customHeight="1">
      <c r="M495" s="3"/>
      <c r="N495" s="3"/>
    </row>
    <row r="496" spans="13:14" ht="14.25" customHeight="1">
      <c r="M496" s="3"/>
      <c r="N496" s="3"/>
    </row>
    <row r="497" spans="13:14" ht="14.25" customHeight="1">
      <c r="M497" s="3"/>
      <c r="N497" s="3"/>
    </row>
    <row r="498" spans="13:14" ht="14.25" customHeight="1">
      <c r="M498" s="3"/>
      <c r="N498" s="3"/>
    </row>
    <row r="499" spans="13:14" ht="14.25" customHeight="1">
      <c r="M499" s="3"/>
      <c r="N499" s="3"/>
    </row>
    <row r="500" spans="13:14" ht="14.25" customHeight="1">
      <c r="M500" s="3"/>
      <c r="N500" s="3"/>
    </row>
    <row r="501" spans="13:14" ht="14.25" customHeight="1">
      <c r="M501" s="3"/>
      <c r="N501" s="3"/>
    </row>
    <row r="502" spans="13:14" ht="14.25" customHeight="1">
      <c r="M502" s="3"/>
      <c r="N502" s="3"/>
    </row>
    <row r="503" spans="13:14" ht="14.25" customHeight="1">
      <c r="M503" s="3"/>
      <c r="N503" s="3"/>
    </row>
    <row r="504" spans="13:14" ht="14.25" customHeight="1">
      <c r="M504" s="3"/>
      <c r="N504" s="3"/>
    </row>
    <row r="505" spans="13:14" ht="14.25" customHeight="1">
      <c r="M505" s="3"/>
      <c r="N505" s="3"/>
    </row>
    <row r="506" spans="13:14" ht="14.25" customHeight="1">
      <c r="M506" s="3"/>
      <c r="N506" s="3"/>
    </row>
    <row r="507" spans="13:14" ht="14.25" customHeight="1">
      <c r="M507" s="3"/>
      <c r="N507" s="3"/>
    </row>
    <row r="508" spans="13:14" ht="14.25" customHeight="1">
      <c r="M508" s="3"/>
      <c r="N508" s="3"/>
    </row>
    <row r="509" spans="13:14" ht="14.25" customHeight="1">
      <c r="M509" s="3"/>
      <c r="N509" s="3"/>
    </row>
    <row r="510" spans="13:14" ht="14.25" customHeight="1">
      <c r="M510" s="3"/>
      <c r="N510" s="3"/>
    </row>
    <row r="511" spans="13:14" ht="14.25" customHeight="1">
      <c r="M511" s="3"/>
      <c r="N511" s="3"/>
    </row>
    <row r="512" spans="13:14" ht="14.25" customHeight="1">
      <c r="M512" s="3"/>
      <c r="N512" s="3"/>
    </row>
    <row r="513" spans="13:14" ht="14.25" customHeight="1">
      <c r="M513" s="3"/>
      <c r="N513" s="3"/>
    </row>
    <row r="514" spans="13:14" ht="14.25" customHeight="1">
      <c r="M514" s="3"/>
      <c r="N514" s="3"/>
    </row>
    <row r="515" spans="13:14" ht="14.25" customHeight="1">
      <c r="M515" s="3"/>
      <c r="N515" s="3"/>
    </row>
    <row r="516" spans="13:14" ht="14.25" customHeight="1">
      <c r="M516" s="3"/>
      <c r="N516" s="3"/>
    </row>
    <row r="517" spans="13:14" ht="14.25" customHeight="1">
      <c r="M517" s="3"/>
      <c r="N517" s="3"/>
    </row>
    <row r="518" spans="13:14" ht="14.25" customHeight="1">
      <c r="M518" s="3"/>
      <c r="N518" s="3"/>
    </row>
    <row r="519" spans="13:14" ht="14.25" customHeight="1">
      <c r="M519" s="3"/>
      <c r="N519" s="3"/>
    </row>
    <row r="520" spans="13:14" ht="14.25" customHeight="1">
      <c r="M520" s="3"/>
      <c r="N520" s="3"/>
    </row>
    <row r="521" spans="13:14" ht="14.25" customHeight="1">
      <c r="M521" s="3"/>
      <c r="N521" s="3"/>
    </row>
    <row r="522" spans="13:14" ht="14.25" customHeight="1">
      <c r="M522" s="3"/>
      <c r="N522" s="3"/>
    </row>
    <row r="523" spans="13:14" ht="14.25" customHeight="1">
      <c r="M523" s="3"/>
      <c r="N523" s="3"/>
    </row>
    <row r="524" spans="13:14" ht="14.25" customHeight="1">
      <c r="M524" s="3"/>
      <c r="N524" s="3"/>
    </row>
    <row r="525" spans="13:14" ht="14.25" customHeight="1">
      <c r="M525" s="3"/>
      <c r="N525" s="3"/>
    </row>
    <row r="526" spans="13:14" ht="14.25" customHeight="1">
      <c r="M526" s="3"/>
      <c r="N526" s="3"/>
    </row>
    <row r="527" spans="13:14" ht="14.25" customHeight="1">
      <c r="M527" s="3"/>
      <c r="N527" s="3"/>
    </row>
    <row r="528" spans="13:14" ht="14.25" customHeight="1">
      <c r="M528" s="3"/>
      <c r="N528" s="3"/>
    </row>
    <row r="529" spans="13:14" ht="14.25" customHeight="1">
      <c r="M529" s="3"/>
      <c r="N529" s="3"/>
    </row>
    <row r="530" spans="13:14" ht="14.25" customHeight="1">
      <c r="M530" s="3"/>
      <c r="N530" s="3"/>
    </row>
    <row r="531" spans="13:14" ht="14.25" customHeight="1">
      <c r="M531" s="3"/>
      <c r="N531" s="3"/>
    </row>
    <row r="532" spans="13:14" ht="14.25" customHeight="1">
      <c r="M532" s="3"/>
      <c r="N532" s="3"/>
    </row>
    <row r="533" spans="13:14" ht="14.25" customHeight="1">
      <c r="M533" s="3"/>
      <c r="N533" s="3"/>
    </row>
    <row r="534" spans="13:14" ht="14.25" customHeight="1">
      <c r="M534" s="3"/>
      <c r="N534" s="3"/>
    </row>
    <row r="535" spans="13:14" ht="14.25" customHeight="1">
      <c r="M535" s="3"/>
      <c r="N535" s="3"/>
    </row>
    <row r="536" spans="13:14" ht="14.25" customHeight="1">
      <c r="M536" s="3"/>
      <c r="N536" s="3"/>
    </row>
    <row r="537" spans="13:14" ht="14.25" customHeight="1">
      <c r="M537" s="3"/>
      <c r="N537" s="3"/>
    </row>
    <row r="538" spans="13:14" ht="14.25" customHeight="1">
      <c r="M538" s="3"/>
      <c r="N538" s="3"/>
    </row>
    <row r="539" spans="13:14" ht="14.25" customHeight="1">
      <c r="M539" s="3"/>
      <c r="N539" s="3"/>
    </row>
    <row r="540" spans="13:14" ht="14.25" customHeight="1">
      <c r="M540" s="3"/>
      <c r="N540" s="3"/>
    </row>
    <row r="541" spans="13:14" ht="14.25" customHeight="1">
      <c r="M541" s="3"/>
      <c r="N541" s="3"/>
    </row>
    <row r="542" spans="13:14" ht="14.25" customHeight="1">
      <c r="M542" s="3"/>
      <c r="N542" s="3"/>
    </row>
    <row r="543" spans="13:14" ht="14.25" customHeight="1">
      <c r="M543" s="3"/>
      <c r="N543" s="3"/>
    </row>
    <row r="544" spans="13:14" ht="14.25" customHeight="1">
      <c r="M544" s="3"/>
      <c r="N544" s="3"/>
    </row>
    <row r="545" spans="13:14" ht="14.25" customHeight="1">
      <c r="M545" s="3"/>
      <c r="N545" s="3"/>
    </row>
    <row r="546" spans="13:14" ht="14.25" customHeight="1">
      <c r="M546" s="3"/>
      <c r="N546" s="3"/>
    </row>
    <row r="547" spans="13:14" ht="14.25" customHeight="1">
      <c r="M547" s="3"/>
      <c r="N547" s="3"/>
    </row>
    <row r="548" spans="13:14" ht="14.25" customHeight="1">
      <c r="M548" s="3"/>
      <c r="N548" s="3"/>
    </row>
    <row r="549" spans="13:14" ht="14.25" customHeight="1">
      <c r="M549" s="3"/>
      <c r="N549" s="3"/>
    </row>
    <row r="550" spans="13:14" ht="14.25" customHeight="1">
      <c r="M550" s="3"/>
      <c r="N550" s="3"/>
    </row>
    <row r="551" spans="13:14" ht="14.25" customHeight="1">
      <c r="M551" s="3"/>
      <c r="N551" s="3"/>
    </row>
    <row r="552" spans="13:14" ht="14.25" customHeight="1">
      <c r="M552" s="3"/>
      <c r="N552" s="3"/>
    </row>
    <row r="553" spans="13:14" ht="14.25" customHeight="1">
      <c r="M553" s="3"/>
      <c r="N553" s="3"/>
    </row>
    <row r="554" spans="13:14" ht="14.25" customHeight="1">
      <c r="M554" s="3"/>
      <c r="N554" s="3"/>
    </row>
    <row r="555" spans="13:14" ht="14.25" customHeight="1">
      <c r="M555" s="3"/>
      <c r="N555" s="3"/>
    </row>
    <row r="556" spans="13:14" ht="14.25" customHeight="1">
      <c r="M556" s="3"/>
      <c r="N556" s="3"/>
    </row>
    <row r="557" spans="13:14" ht="14.25" customHeight="1">
      <c r="M557" s="3"/>
      <c r="N557" s="3"/>
    </row>
    <row r="558" spans="13:14" ht="14.25" customHeight="1">
      <c r="M558" s="3"/>
      <c r="N558" s="3"/>
    </row>
    <row r="559" spans="13:14" ht="14.25" customHeight="1">
      <c r="M559" s="3"/>
      <c r="N559" s="3"/>
    </row>
    <row r="560" spans="13:14" ht="14.25" customHeight="1">
      <c r="M560" s="3"/>
      <c r="N560" s="3"/>
    </row>
    <row r="561" spans="13:14" ht="14.25" customHeight="1">
      <c r="M561" s="3"/>
      <c r="N561" s="3"/>
    </row>
    <row r="562" spans="13:14" ht="14.25" customHeight="1">
      <c r="M562" s="3"/>
      <c r="N562" s="3"/>
    </row>
    <row r="563" spans="13:14" ht="14.25" customHeight="1">
      <c r="M563" s="3"/>
      <c r="N563" s="3"/>
    </row>
    <row r="564" spans="13:14" ht="14.25" customHeight="1">
      <c r="M564" s="3"/>
      <c r="N564" s="3"/>
    </row>
    <row r="565" spans="13:14" ht="14.25" customHeight="1">
      <c r="M565" s="3"/>
      <c r="N565" s="3"/>
    </row>
    <row r="566" spans="13:14" ht="14.25" customHeight="1">
      <c r="M566" s="3"/>
      <c r="N566" s="3"/>
    </row>
    <row r="567" spans="13:14" ht="14.25" customHeight="1">
      <c r="M567" s="3"/>
      <c r="N567" s="3"/>
    </row>
    <row r="568" spans="13:14" ht="14.25" customHeight="1">
      <c r="M568" s="3"/>
      <c r="N568" s="3"/>
    </row>
    <row r="569" spans="13:14" ht="14.25" customHeight="1">
      <c r="M569" s="3"/>
      <c r="N569" s="3"/>
    </row>
    <row r="570" spans="13:14" ht="14.25" customHeight="1">
      <c r="M570" s="3"/>
      <c r="N570" s="3"/>
    </row>
    <row r="571" spans="13:14" ht="14.25" customHeight="1">
      <c r="M571" s="3"/>
      <c r="N571" s="3"/>
    </row>
    <row r="572" spans="13:14" ht="14.25" customHeight="1">
      <c r="M572" s="3"/>
      <c r="N572" s="3"/>
    </row>
    <row r="573" spans="13:14" ht="14.25" customHeight="1">
      <c r="M573" s="3"/>
      <c r="N573" s="3"/>
    </row>
    <row r="574" spans="13:14" ht="14.25" customHeight="1">
      <c r="M574" s="3"/>
      <c r="N574" s="3"/>
    </row>
    <row r="575" spans="13:14" ht="14.25" customHeight="1">
      <c r="M575" s="3"/>
      <c r="N575" s="3"/>
    </row>
    <row r="576" spans="13:14" ht="14.25" customHeight="1">
      <c r="M576" s="3"/>
      <c r="N576" s="3"/>
    </row>
    <row r="577" spans="13:14" ht="14.25" customHeight="1">
      <c r="M577" s="3"/>
      <c r="N577" s="3"/>
    </row>
    <row r="578" spans="13:14" ht="14.25" customHeight="1">
      <c r="M578" s="3"/>
      <c r="N578" s="3"/>
    </row>
    <row r="579" spans="13:14" ht="14.25" customHeight="1">
      <c r="M579" s="3"/>
      <c r="N579" s="3"/>
    </row>
    <row r="580" spans="13:14" ht="14.25" customHeight="1">
      <c r="M580" s="3"/>
      <c r="N580" s="3"/>
    </row>
    <row r="581" spans="13:14" ht="14.25" customHeight="1">
      <c r="M581" s="3"/>
      <c r="N581" s="3"/>
    </row>
    <row r="582" spans="13:14" ht="14.25" customHeight="1">
      <c r="M582" s="3"/>
      <c r="N582" s="3"/>
    </row>
    <row r="583" spans="13:14" ht="14.25" customHeight="1">
      <c r="M583" s="3"/>
      <c r="N583" s="3"/>
    </row>
    <row r="584" spans="13:14" ht="14.25" customHeight="1">
      <c r="M584" s="3"/>
      <c r="N584" s="3"/>
    </row>
    <row r="585" spans="13:14" ht="14.25" customHeight="1">
      <c r="M585" s="3"/>
      <c r="N585" s="3"/>
    </row>
    <row r="586" spans="13:14" ht="14.25" customHeight="1">
      <c r="M586" s="3"/>
      <c r="N586" s="3"/>
    </row>
    <row r="587" spans="13:14" ht="14.25" customHeight="1">
      <c r="M587" s="3"/>
      <c r="N587" s="3"/>
    </row>
    <row r="588" spans="13:14" ht="14.25" customHeight="1">
      <c r="M588" s="3"/>
      <c r="N588" s="3"/>
    </row>
    <row r="589" spans="13:14" ht="14.25" customHeight="1">
      <c r="M589" s="3"/>
      <c r="N589" s="3"/>
    </row>
    <row r="590" spans="13:14" ht="14.25" customHeight="1">
      <c r="M590" s="3"/>
      <c r="N590" s="3"/>
    </row>
    <row r="591" spans="13:14" ht="14.25" customHeight="1">
      <c r="M591" s="3"/>
      <c r="N591" s="3"/>
    </row>
    <row r="592" spans="13:14" ht="14.25" customHeight="1">
      <c r="M592" s="3"/>
      <c r="N592" s="3"/>
    </row>
    <row r="593" spans="13:14" ht="14.25" customHeight="1">
      <c r="M593" s="3"/>
      <c r="N593" s="3"/>
    </row>
    <row r="594" spans="13:14" ht="14.25" customHeight="1">
      <c r="M594" s="3"/>
      <c r="N594" s="3"/>
    </row>
    <row r="595" spans="13:14" ht="14.25" customHeight="1">
      <c r="M595" s="3"/>
      <c r="N595" s="3"/>
    </row>
    <row r="596" spans="13:14" ht="14.25" customHeight="1">
      <c r="M596" s="3"/>
      <c r="N596" s="3"/>
    </row>
    <row r="597" spans="13:14" ht="14.25" customHeight="1">
      <c r="M597" s="3"/>
      <c r="N597" s="3"/>
    </row>
    <row r="598" spans="13:14" ht="14.25" customHeight="1">
      <c r="M598" s="3"/>
      <c r="N598" s="3"/>
    </row>
    <row r="599" spans="13:14" ht="14.25" customHeight="1">
      <c r="M599" s="3"/>
      <c r="N599" s="3"/>
    </row>
    <row r="600" spans="13:14" ht="14.25" customHeight="1">
      <c r="M600" s="3"/>
      <c r="N600" s="3"/>
    </row>
    <row r="601" spans="13:14" ht="14.25" customHeight="1">
      <c r="M601" s="3"/>
      <c r="N601" s="3"/>
    </row>
    <row r="602" spans="13:14" ht="14.25" customHeight="1">
      <c r="M602" s="3"/>
      <c r="N602" s="3"/>
    </row>
    <row r="603" spans="13:14" ht="14.25" customHeight="1">
      <c r="M603" s="3"/>
      <c r="N603" s="3"/>
    </row>
    <row r="604" spans="13:14" ht="14.25" customHeight="1">
      <c r="M604" s="3"/>
      <c r="N604" s="3"/>
    </row>
    <row r="605" spans="13:14" ht="14.25" customHeight="1">
      <c r="M605" s="3"/>
      <c r="N605" s="3"/>
    </row>
    <row r="606" spans="13:14" ht="14.25" customHeight="1">
      <c r="M606" s="3"/>
      <c r="N606" s="3"/>
    </row>
    <row r="607" spans="13:14" ht="14.25" customHeight="1">
      <c r="M607" s="3"/>
      <c r="N607" s="3"/>
    </row>
    <row r="608" spans="13:14" ht="14.25" customHeight="1">
      <c r="M608" s="3"/>
      <c r="N608" s="3"/>
    </row>
    <row r="609" spans="13:14" ht="14.25" customHeight="1">
      <c r="M609" s="3"/>
      <c r="N609" s="3"/>
    </row>
    <row r="610" spans="13:14" ht="14.25" customHeight="1">
      <c r="M610" s="3"/>
      <c r="N610" s="3"/>
    </row>
    <row r="611" spans="13:14" ht="14.25" customHeight="1">
      <c r="M611" s="3"/>
      <c r="N611" s="3"/>
    </row>
    <row r="612" spans="13:14" ht="14.25" customHeight="1">
      <c r="M612" s="3"/>
      <c r="N612" s="3"/>
    </row>
    <row r="613" spans="13:14" ht="14.25" customHeight="1">
      <c r="M613" s="3"/>
      <c r="N613" s="3"/>
    </row>
    <row r="614" spans="13:14" ht="14.25" customHeight="1">
      <c r="M614" s="3"/>
      <c r="N614" s="3"/>
    </row>
    <row r="615" spans="13:14" ht="14.25" customHeight="1">
      <c r="M615" s="3"/>
      <c r="N615" s="3"/>
    </row>
    <row r="616" spans="13:14" ht="14.25" customHeight="1">
      <c r="M616" s="3"/>
      <c r="N616" s="3"/>
    </row>
    <row r="617" spans="13:14" ht="14.25" customHeight="1">
      <c r="M617" s="3"/>
      <c r="N617" s="3"/>
    </row>
    <row r="618" spans="13:14" ht="14.25" customHeight="1">
      <c r="M618" s="3"/>
      <c r="N618" s="3"/>
    </row>
    <row r="619" spans="13:14" ht="14.25" customHeight="1">
      <c r="M619" s="3"/>
      <c r="N619" s="3"/>
    </row>
    <row r="620" spans="13:14" ht="14.25" customHeight="1">
      <c r="M620" s="3"/>
      <c r="N620" s="3"/>
    </row>
    <row r="621" spans="13:14" ht="14.25" customHeight="1">
      <c r="M621" s="3"/>
      <c r="N621" s="3"/>
    </row>
    <row r="622" spans="13:14" ht="14.25" customHeight="1">
      <c r="M622" s="3"/>
      <c r="N622" s="3"/>
    </row>
    <row r="623" spans="13:14" ht="14.25" customHeight="1">
      <c r="M623" s="3"/>
      <c r="N623" s="3"/>
    </row>
    <row r="624" spans="13:14" ht="14.25" customHeight="1">
      <c r="M624" s="3"/>
      <c r="N624" s="3"/>
    </row>
    <row r="625" spans="13:14" ht="14.25" customHeight="1">
      <c r="M625" s="3"/>
      <c r="N625" s="3"/>
    </row>
    <row r="626" spans="13:14" ht="14.25" customHeight="1">
      <c r="M626" s="3"/>
      <c r="N626" s="3"/>
    </row>
    <row r="627" spans="13:14" ht="14.25" customHeight="1">
      <c r="M627" s="3"/>
      <c r="N627" s="3"/>
    </row>
    <row r="628" spans="13:14" ht="14.25" customHeight="1">
      <c r="M628" s="3"/>
      <c r="N628" s="3"/>
    </row>
    <row r="629" spans="13:14" ht="14.25" customHeight="1">
      <c r="M629" s="3"/>
      <c r="N629" s="3"/>
    </row>
    <row r="630" spans="13:14" ht="14.25" customHeight="1">
      <c r="M630" s="3"/>
      <c r="N630" s="3"/>
    </row>
    <row r="631" spans="13:14" ht="14.25" customHeight="1">
      <c r="M631" s="3"/>
      <c r="N631" s="3"/>
    </row>
    <row r="632" spans="13:14" ht="14.25" customHeight="1">
      <c r="M632" s="3"/>
      <c r="N632" s="3"/>
    </row>
    <row r="633" spans="13:14" ht="14.25" customHeight="1">
      <c r="M633" s="3"/>
      <c r="N633" s="3"/>
    </row>
    <row r="634" spans="13:14" ht="14.25" customHeight="1">
      <c r="M634" s="3"/>
      <c r="N634" s="3"/>
    </row>
    <row r="635" spans="13:14" ht="14.25" customHeight="1">
      <c r="M635" s="3"/>
      <c r="N635" s="3"/>
    </row>
    <row r="636" spans="13:14" ht="14.25" customHeight="1">
      <c r="M636" s="3"/>
      <c r="N636" s="3"/>
    </row>
    <row r="637" spans="13:14" ht="14.25" customHeight="1">
      <c r="M637" s="3"/>
      <c r="N637" s="3"/>
    </row>
    <row r="638" spans="13:14" ht="14.25" customHeight="1">
      <c r="M638" s="3"/>
      <c r="N638" s="3"/>
    </row>
    <row r="639" spans="13:14" ht="14.25" customHeight="1">
      <c r="M639" s="3"/>
      <c r="N639" s="3"/>
    </row>
    <row r="640" spans="13:14" ht="14.25" customHeight="1">
      <c r="M640" s="3"/>
      <c r="N640" s="3"/>
    </row>
    <row r="641" spans="13:14" ht="14.25" customHeight="1">
      <c r="M641" s="3"/>
      <c r="N641" s="3"/>
    </row>
    <row r="642" spans="13:14" ht="14.25" customHeight="1">
      <c r="M642" s="3"/>
      <c r="N642" s="3"/>
    </row>
    <row r="643" spans="13:14" ht="14.25" customHeight="1">
      <c r="M643" s="3"/>
      <c r="N643" s="3"/>
    </row>
    <row r="644" spans="13:14" ht="14.25" customHeight="1">
      <c r="M644" s="3"/>
      <c r="N644" s="3"/>
    </row>
    <row r="645" spans="13:14" ht="14.25" customHeight="1">
      <c r="M645" s="3"/>
      <c r="N645" s="3"/>
    </row>
    <row r="646" spans="13:14" ht="14.25" customHeight="1">
      <c r="M646" s="3"/>
      <c r="N646" s="3"/>
    </row>
    <row r="647" spans="13:14" ht="14.25" customHeight="1">
      <c r="M647" s="3"/>
      <c r="N647" s="3"/>
    </row>
    <row r="648" spans="13:14" ht="14.25" customHeight="1">
      <c r="M648" s="3"/>
      <c r="N648" s="3"/>
    </row>
    <row r="649" spans="13:14" ht="14.25" customHeight="1">
      <c r="M649" s="3"/>
      <c r="N649" s="3"/>
    </row>
    <row r="650" spans="13:14" ht="14.25" customHeight="1">
      <c r="M650" s="3"/>
      <c r="N650" s="3"/>
    </row>
    <row r="651" spans="13:14" ht="14.25" customHeight="1">
      <c r="M651" s="3"/>
      <c r="N651" s="3"/>
    </row>
    <row r="652" spans="13:14" ht="14.25" customHeight="1">
      <c r="M652" s="3"/>
      <c r="N652" s="3"/>
    </row>
    <row r="653" spans="13:14" ht="14.25" customHeight="1">
      <c r="M653" s="3"/>
      <c r="N653" s="3"/>
    </row>
    <row r="654" spans="13:14" ht="14.25" customHeight="1">
      <c r="M654" s="3"/>
      <c r="N654" s="3"/>
    </row>
    <row r="655" spans="13:14" ht="14.25" customHeight="1">
      <c r="M655" s="3"/>
      <c r="N655" s="3"/>
    </row>
    <row r="656" spans="13:14" ht="14.25" customHeight="1">
      <c r="M656" s="3"/>
      <c r="N656" s="3"/>
    </row>
    <row r="657" spans="13:14" ht="14.25" customHeight="1">
      <c r="M657" s="3"/>
      <c r="N657" s="3"/>
    </row>
    <row r="658" spans="13:14" ht="14.25" customHeight="1">
      <c r="M658" s="3"/>
      <c r="N658" s="3"/>
    </row>
    <row r="659" spans="13:14" ht="14.25" customHeight="1">
      <c r="M659" s="3"/>
      <c r="N659" s="3"/>
    </row>
    <row r="660" spans="13:14" ht="14.25" customHeight="1">
      <c r="M660" s="3"/>
      <c r="N660" s="3"/>
    </row>
    <row r="661" spans="13:14" ht="14.25" customHeight="1">
      <c r="M661" s="3"/>
      <c r="N661" s="3"/>
    </row>
    <row r="662" spans="13:14" ht="14.25" customHeight="1">
      <c r="M662" s="3"/>
      <c r="N662" s="3"/>
    </row>
    <row r="663" spans="13:14" ht="14.25" customHeight="1">
      <c r="M663" s="3"/>
      <c r="N663" s="3"/>
    </row>
    <row r="664" spans="13:14" ht="14.25" customHeight="1">
      <c r="M664" s="3"/>
      <c r="N664" s="3"/>
    </row>
    <row r="665" spans="13:14" ht="14.25" customHeight="1">
      <c r="M665" s="3"/>
      <c r="N665" s="3"/>
    </row>
    <row r="666" spans="13:14" ht="14.25" customHeight="1">
      <c r="M666" s="3"/>
      <c r="N666" s="3"/>
    </row>
    <row r="667" spans="13:14" ht="14.25" customHeight="1">
      <c r="M667" s="3"/>
      <c r="N667" s="3"/>
    </row>
    <row r="668" spans="13:14" ht="14.25" customHeight="1">
      <c r="M668" s="3"/>
      <c r="N668" s="3"/>
    </row>
    <row r="669" spans="13:14" ht="14.25" customHeight="1">
      <c r="M669" s="3"/>
      <c r="N669" s="3"/>
    </row>
    <row r="670" spans="13:14" ht="14.25" customHeight="1">
      <c r="M670" s="3"/>
      <c r="N670" s="3"/>
    </row>
    <row r="671" spans="13:14" ht="14.25" customHeight="1">
      <c r="M671" s="3"/>
      <c r="N671" s="3"/>
    </row>
    <row r="672" spans="13:14" ht="14.25" customHeight="1">
      <c r="M672" s="3"/>
      <c r="N672" s="3"/>
    </row>
    <row r="673" spans="13:14" ht="14.25" customHeight="1">
      <c r="M673" s="3"/>
      <c r="N673" s="3"/>
    </row>
    <row r="674" spans="13:14" ht="14.25" customHeight="1">
      <c r="M674" s="3"/>
      <c r="N674" s="3"/>
    </row>
    <row r="675" spans="13:14" ht="14.25" customHeight="1">
      <c r="M675" s="3"/>
      <c r="N675" s="3"/>
    </row>
    <row r="676" spans="13:14" ht="14.25" customHeight="1">
      <c r="M676" s="3"/>
      <c r="N676" s="3"/>
    </row>
    <row r="677" spans="13:14" ht="14.25" customHeight="1">
      <c r="M677" s="3"/>
      <c r="N677" s="3"/>
    </row>
    <row r="678" spans="13:14" ht="14.25" customHeight="1">
      <c r="M678" s="3"/>
      <c r="N678" s="3"/>
    </row>
    <row r="679" spans="13:14" ht="14.25" customHeight="1">
      <c r="M679" s="3"/>
      <c r="N679" s="3"/>
    </row>
    <row r="680" spans="13:14" ht="14.25" customHeight="1">
      <c r="M680" s="3"/>
      <c r="N680" s="3"/>
    </row>
    <row r="681" spans="13:14" ht="14.25" customHeight="1">
      <c r="M681" s="3"/>
      <c r="N681" s="3"/>
    </row>
    <row r="682" spans="13:14" ht="14.25" customHeight="1">
      <c r="M682" s="3"/>
      <c r="N682" s="3"/>
    </row>
    <row r="683" spans="13:14" ht="14.25" customHeight="1">
      <c r="M683" s="3"/>
      <c r="N683" s="3"/>
    </row>
    <row r="684" spans="13:14" ht="14.25" customHeight="1">
      <c r="M684" s="3"/>
      <c r="N684" s="3"/>
    </row>
    <row r="685" spans="13:14" ht="14.25" customHeight="1">
      <c r="M685" s="3"/>
      <c r="N685" s="3"/>
    </row>
    <row r="686" spans="13:14" ht="14.25" customHeight="1">
      <c r="M686" s="3"/>
      <c r="N686" s="3"/>
    </row>
    <row r="687" spans="13:14" ht="14.25" customHeight="1">
      <c r="M687" s="3"/>
      <c r="N687" s="3"/>
    </row>
    <row r="688" spans="13:14" ht="14.25" customHeight="1">
      <c r="M688" s="3"/>
      <c r="N688" s="3"/>
    </row>
    <row r="689" spans="13:14" ht="14.25" customHeight="1">
      <c r="M689" s="3"/>
      <c r="N689" s="3"/>
    </row>
    <row r="690" spans="13:14" ht="14.25" customHeight="1">
      <c r="M690" s="3"/>
      <c r="N690" s="3"/>
    </row>
    <row r="691" spans="13:14" ht="14.25" customHeight="1">
      <c r="M691" s="3"/>
      <c r="N691" s="3"/>
    </row>
    <row r="692" spans="13:14" ht="14.25" customHeight="1">
      <c r="M692" s="3"/>
      <c r="N692" s="3"/>
    </row>
    <row r="693" spans="13:14" ht="14.25" customHeight="1">
      <c r="M693" s="3"/>
      <c r="N693" s="3"/>
    </row>
    <row r="694" spans="13:14" ht="14.25" customHeight="1">
      <c r="M694" s="3"/>
      <c r="N694" s="3"/>
    </row>
    <row r="695" spans="13:14" ht="14.25" customHeight="1">
      <c r="M695" s="3"/>
      <c r="N695" s="3"/>
    </row>
    <row r="696" spans="13:14" ht="14.25" customHeight="1">
      <c r="M696" s="3"/>
      <c r="N696" s="3"/>
    </row>
    <row r="697" spans="13:14" ht="14.25" customHeight="1">
      <c r="M697" s="3"/>
      <c r="N697" s="3"/>
    </row>
    <row r="698" spans="13:14" ht="14.25" customHeight="1">
      <c r="M698" s="3"/>
      <c r="N698" s="3"/>
    </row>
    <row r="699" spans="13:14" ht="14.25" customHeight="1">
      <c r="M699" s="3"/>
      <c r="N699" s="3"/>
    </row>
    <row r="700" spans="13:14" ht="14.25" customHeight="1">
      <c r="M700" s="3"/>
      <c r="N700" s="3"/>
    </row>
    <row r="701" spans="13:14" ht="14.25" customHeight="1">
      <c r="M701" s="3"/>
      <c r="N701" s="3"/>
    </row>
    <row r="702" spans="13:14" ht="14.25" customHeight="1">
      <c r="M702" s="3"/>
      <c r="N702" s="3"/>
    </row>
    <row r="703" spans="13:14" ht="14.25" customHeight="1">
      <c r="M703" s="3"/>
      <c r="N703" s="3"/>
    </row>
    <row r="704" spans="13:14" ht="14.25" customHeight="1">
      <c r="M704" s="3"/>
      <c r="N704" s="3"/>
    </row>
    <row r="705" spans="13:14" ht="14.25" customHeight="1">
      <c r="M705" s="3"/>
      <c r="N705" s="3"/>
    </row>
    <row r="706" spans="13:14" ht="14.25" customHeight="1">
      <c r="M706" s="3"/>
      <c r="N706" s="3"/>
    </row>
    <row r="707" spans="13:14" ht="14.25" customHeight="1">
      <c r="M707" s="3"/>
      <c r="N707" s="3"/>
    </row>
    <row r="708" spans="13:14" ht="14.25" customHeight="1">
      <c r="M708" s="3"/>
      <c r="N708" s="3"/>
    </row>
    <row r="709" spans="13:14" ht="14.25" customHeight="1">
      <c r="M709" s="3"/>
      <c r="N709" s="3"/>
    </row>
    <row r="710" spans="13:14" ht="14.25" customHeight="1">
      <c r="M710" s="3"/>
      <c r="N710" s="3"/>
    </row>
    <row r="711" spans="13:14" ht="14.25" customHeight="1">
      <c r="M711" s="3"/>
      <c r="N711" s="3"/>
    </row>
    <row r="712" spans="13:14" ht="14.25" customHeight="1">
      <c r="M712" s="3"/>
      <c r="N712" s="3"/>
    </row>
    <row r="713" spans="13:14" ht="14.25" customHeight="1">
      <c r="M713" s="3"/>
      <c r="N713" s="3"/>
    </row>
    <row r="714" spans="13:14" ht="14.25" customHeight="1">
      <c r="M714" s="3"/>
      <c r="N714" s="3"/>
    </row>
    <row r="715" spans="13:14" ht="14.25" customHeight="1">
      <c r="M715" s="3"/>
      <c r="N715" s="3"/>
    </row>
    <row r="716" spans="13:14" ht="14.25" customHeight="1">
      <c r="M716" s="3"/>
      <c r="N716" s="3"/>
    </row>
    <row r="717" spans="13:14" ht="14.25" customHeight="1">
      <c r="M717" s="3"/>
      <c r="N717" s="3"/>
    </row>
    <row r="718" spans="13:14" ht="14.25" customHeight="1">
      <c r="M718" s="3"/>
      <c r="N718" s="3"/>
    </row>
    <row r="719" spans="13:14" ht="14.25" customHeight="1">
      <c r="M719" s="3"/>
      <c r="N719" s="3"/>
    </row>
    <row r="720" spans="13:14" ht="14.25" customHeight="1">
      <c r="M720" s="3"/>
      <c r="N720" s="3"/>
    </row>
    <row r="721" spans="13:14" ht="14.25" customHeight="1">
      <c r="M721" s="3"/>
      <c r="N721" s="3"/>
    </row>
    <row r="722" spans="13:14" ht="14.25" customHeight="1">
      <c r="M722" s="3"/>
      <c r="N722" s="3"/>
    </row>
    <row r="723" spans="13:14" ht="14.25" customHeight="1">
      <c r="M723" s="3"/>
      <c r="N723" s="3"/>
    </row>
    <row r="724" spans="13:14" ht="14.25" customHeight="1">
      <c r="M724" s="3"/>
      <c r="N724" s="3"/>
    </row>
    <row r="725" spans="13:14" ht="14.25" customHeight="1">
      <c r="M725" s="3"/>
      <c r="N725" s="3"/>
    </row>
    <row r="726" spans="13:14" ht="14.25" customHeight="1">
      <c r="M726" s="3"/>
      <c r="N726" s="3"/>
    </row>
    <row r="727" spans="13:14" ht="14.25" customHeight="1">
      <c r="M727" s="3"/>
      <c r="N727" s="3"/>
    </row>
    <row r="728" spans="13:14" ht="14.25" customHeight="1">
      <c r="M728" s="3"/>
      <c r="N728" s="3"/>
    </row>
    <row r="729" spans="13:14" ht="14.25" customHeight="1">
      <c r="M729" s="3"/>
      <c r="N729" s="3"/>
    </row>
    <row r="730" spans="13:14" ht="14.25" customHeight="1">
      <c r="M730" s="3"/>
      <c r="N730" s="3"/>
    </row>
    <row r="731" spans="13:14" ht="14.25" customHeight="1">
      <c r="M731" s="3"/>
      <c r="N731" s="3"/>
    </row>
    <row r="732" spans="13:14" ht="14.25" customHeight="1">
      <c r="M732" s="3"/>
      <c r="N732" s="3"/>
    </row>
    <row r="733" spans="13:14" ht="14.25" customHeight="1">
      <c r="M733" s="3"/>
      <c r="N733" s="3"/>
    </row>
    <row r="734" spans="13:14" ht="14.25" customHeight="1">
      <c r="M734" s="3"/>
      <c r="N734" s="3"/>
    </row>
    <row r="735" spans="13:14" ht="14.25" customHeight="1">
      <c r="M735" s="3"/>
      <c r="N735" s="3"/>
    </row>
    <row r="736" spans="13:14" ht="14.25" customHeight="1">
      <c r="M736" s="3"/>
      <c r="N736" s="3"/>
    </row>
    <row r="737" spans="13:14" ht="14.25" customHeight="1">
      <c r="M737" s="3"/>
      <c r="N737" s="3"/>
    </row>
    <row r="738" spans="13:14" ht="14.25" customHeight="1">
      <c r="M738" s="3"/>
      <c r="N738" s="3"/>
    </row>
    <row r="739" spans="13:14" ht="14.25" customHeight="1">
      <c r="M739" s="3"/>
      <c r="N739" s="3"/>
    </row>
    <row r="740" spans="13:14" ht="14.25" customHeight="1">
      <c r="M740" s="3"/>
      <c r="N740" s="3"/>
    </row>
    <row r="741" spans="13:14" ht="14.25" customHeight="1">
      <c r="M741" s="3"/>
      <c r="N741" s="3"/>
    </row>
    <row r="742" spans="13:14" ht="14.25" customHeight="1">
      <c r="M742" s="3"/>
      <c r="N742" s="3"/>
    </row>
    <row r="743" spans="13:14" ht="14.25" customHeight="1">
      <c r="M743" s="3"/>
      <c r="N743" s="3"/>
    </row>
    <row r="744" spans="13:14" ht="14.25" customHeight="1">
      <c r="M744" s="3"/>
      <c r="N744" s="3"/>
    </row>
    <row r="745" spans="13:14" ht="14.25" customHeight="1">
      <c r="M745" s="3"/>
      <c r="N745" s="3"/>
    </row>
    <row r="746" spans="13:14" ht="14.25" customHeight="1">
      <c r="M746" s="3"/>
      <c r="N746" s="3"/>
    </row>
    <row r="747" spans="13:14" ht="14.25" customHeight="1">
      <c r="M747" s="3"/>
      <c r="N747" s="3"/>
    </row>
    <row r="748" spans="13:14" ht="14.25" customHeight="1">
      <c r="M748" s="3"/>
      <c r="N748" s="3"/>
    </row>
    <row r="749" spans="13:14" ht="14.25" customHeight="1">
      <c r="M749" s="3"/>
      <c r="N749" s="3"/>
    </row>
    <row r="750" spans="13:14" ht="14.25" customHeight="1">
      <c r="M750" s="3"/>
      <c r="N750" s="3"/>
    </row>
    <row r="751" spans="13:14" ht="14.25" customHeight="1">
      <c r="M751" s="3"/>
      <c r="N751" s="3"/>
    </row>
    <row r="752" spans="13:14" ht="14.25" customHeight="1">
      <c r="M752" s="3"/>
      <c r="N752" s="3"/>
    </row>
    <row r="753" spans="13:14" ht="14.25" customHeight="1">
      <c r="M753" s="3"/>
      <c r="N753" s="3"/>
    </row>
    <row r="754" spans="13:14" ht="14.25" customHeight="1">
      <c r="M754" s="3"/>
      <c r="N754" s="3"/>
    </row>
    <row r="755" spans="13:14" ht="14.25" customHeight="1">
      <c r="M755" s="3"/>
      <c r="N755" s="3"/>
    </row>
    <row r="756" spans="13:14" ht="14.25" customHeight="1">
      <c r="M756" s="3"/>
      <c r="N756" s="3"/>
    </row>
    <row r="757" spans="13:14" ht="14.25" customHeight="1">
      <c r="M757" s="3"/>
      <c r="N757" s="3"/>
    </row>
    <row r="758" spans="13:14" ht="14.25" customHeight="1">
      <c r="M758" s="3"/>
      <c r="N758" s="3"/>
    </row>
    <row r="759" spans="13:14" ht="14.25" customHeight="1">
      <c r="M759" s="3"/>
      <c r="N759" s="3"/>
    </row>
    <row r="760" spans="13:14" ht="14.25" customHeight="1">
      <c r="M760" s="3"/>
      <c r="N760" s="3"/>
    </row>
    <row r="761" spans="13:14" ht="14.25" customHeight="1">
      <c r="M761" s="3"/>
      <c r="N761" s="3"/>
    </row>
    <row r="762" spans="13:14" ht="14.25" customHeight="1">
      <c r="M762" s="3"/>
      <c r="N762" s="3"/>
    </row>
    <row r="763" spans="13:14" ht="14.25" customHeight="1">
      <c r="M763" s="3"/>
      <c r="N763" s="3"/>
    </row>
    <row r="764" spans="13:14" ht="14.25" customHeight="1">
      <c r="M764" s="3"/>
      <c r="N764" s="3"/>
    </row>
    <row r="765" spans="13:14" ht="14.25" customHeight="1">
      <c r="M765" s="3"/>
      <c r="N765" s="3"/>
    </row>
    <row r="766" spans="13:14" ht="14.25" customHeight="1">
      <c r="M766" s="3"/>
      <c r="N766" s="3"/>
    </row>
    <row r="767" spans="13:14" ht="14.25" customHeight="1">
      <c r="M767" s="3"/>
      <c r="N767" s="3"/>
    </row>
    <row r="768" spans="13:14" ht="14.25" customHeight="1">
      <c r="M768" s="3"/>
      <c r="N768" s="3"/>
    </row>
    <row r="769" spans="13:14" ht="14.25" customHeight="1">
      <c r="M769" s="3"/>
      <c r="N769" s="3"/>
    </row>
    <row r="770" spans="13:14" ht="14.25" customHeight="1">
      <c r="M770" s="3"/>
      <c r="N770" s="3"/>
    </row>
    <row r="771" spans="13:14" ht="14.25" customHeight="1">
      <c r="M771" s="3"/>
      <c r="N771" s="3"/>
    </row>
    <row r="772" spans="13:14" ht="14.25" customHeight="1">
      <c r="M772" s="3"/>
      <c r="N772" s="3"/>
    </row>
    <row r="773" spans="13:14" ht="14.25" customHeight="1">
      <c r="M773" s="3"/>
      <c r="N773" s="3"/>
    </row>
    <row r="774" spans="13:14" ht="14.25" customHeight="1">
      <c r="M774" s="3"/>
      <c r="N774" s="3"/>
    </row>
    <row r="775" spans="13:14" ht="14.25" customHeight="1">
      <c r="M775" s="3"/>
      <c r="N775" s="3"/>
    </row>
    <row r="776" spans="13:14" ht="14.25" customHeight="1">
      <c r="M776" s="3"/>
      <c r="N776" s="3"/>
    </row>
    <row r="777" spans="13:14" ht="14.25" customHeight="1">
      <c r="M777" s="3"/>
      <c r="N777" s="3"/>
    </row>
    <row r="778" spans="13:14" ht="14.25" customHeight="1">
      <c r="M778" s="3"/>
      <c r="N778" s="3"/>
    </row>
    <row r="779" spans="13:14" ht="14.25" customHeight="1">
      <c r="M779" s="3"/>
      <c r="N779" s="3"/>
    </row>
    <row r="780" spans="13:14" ht="14.25" customHeight="1">
      <c r="M780" s="3"/>
      <c r="N780" s="3"/>
    </row>
    <row r="781" spans="13:14" ht="14.25" customHeight="1">
      <c r="M781" s="3"/>
      <c r="N781" s="3"/>
    </row>
    <row r="782" spans="13:14" ht="14.25" customHeight="1">
      <c r="M782" s="3"/>
      <c r="N782" s="3"/>
    </row>
    <row r="783" spans="13:14" ht="14.25" customHeight="1">
      <c r="M783" s="3"/>
      <c r="N783" s="3"/>
    </row>
    <row r="784" spans="13:14" ht="14.25" customHeight="1">
      <c r="M784" s="3"/>
      <c r="N784" s="3"/>
    </row>
    <row r="785" spans="13:14" ht="14.25" customHeight="1">
      <c r="M785" s="3"/>
      <c r="N785" s="3"/>
    </row>
    <row r="786" spans="13:14" ht="14.25" customHeight="1">
      <c r="M786" s="3"/>
      <c r="N786" s="3"/>
    </row>
    <row r="787" spans="13:14" ht="14.25" customHeight="1">
      <c r="M787" s="3"/>
      <c r="N787" s="3"/>
    </row>
    <row r="788" spans="13:14" ht="14.25" customHeight="1">
      <c r="M788" s="3"/>
      <c r="N788" s="3"/>
    </row>
    <row r="789" spans="13:14" ht="14.25" customHeight="1">
      <c r="M789" s="3"/>
      <c r="N789" s="3"/>
    </row>
    <row r="790" spans="13:14" ht="14.25" customHeight="1">
      <c r="M790" s="3"/>
      <c r="N790" s="3"/>
    </row>
    <row r="791" spans="13:14" ht="14.25" customHeight="1">
      <c r="M791" s="3"/>
      <c r="N791" s="3"/>
    </row>
    <row r="792" spans="13:14" ht="14.25" customHeight="1">
      <c r="M792" s="3"/>
      <c r="N792" s="3"/>
    </row>
    <row r="793" spans="13:14" ht="14.25" customHeight="1">
      <c r="M793" s="3"/>
      <c r="N793" s="3"/>
    </row>
    <row r="794" spans="13:14" ht="14.25" customHeight="1">
      <c r="M794" s="3"/>
      <c r="N794" s="3"/>
    </row>
    <row r="795" spans="13:14" ht="14.25" customHeight="1">
      <c r="M795" s="3"/>
      <c r="N795" s="3"/>
    </row>
    <row r="796" spans="13:14" ht="14.25" customHeight="1">
      <c r="M796" s="3"/>
      <c r="N796" s="3"/>
    </row>
    <row r="797" spans="13:14" ht="14.25" customHeight="1">
      <c r="M797" s="3"/>
      <c r="N797" s="3"/>
    </row>
    <row r="798" spans="13:14" ht="14.25" customHeight="1">
      <c r="M798" s="3"/>
      <c r="N798" s="3"/>
    </row>
    <row r="799" spans="13:14" ht="14.25" customHeight="1">
      <c r="M799" s="3"/>
      <c r="N799" s="3"/>
    </row>
    <row r="800" spans="13:14" ht="14.25" customHeight="1">
      <c r="M800" s="3"/>
      <c r="N800" s="3"/>
    </row>
    <row r="801" spans="13:14" ht="14.25" customHeight="1">
      <c r="M801" s="3"/>
      <c r="N801" s="3"/>
    </row>
    <row r="802" spans="13:14" ht="14.25" customHeight="1">
      <c r="M802" s="3"/>
      <c r="N802" s="3"/>
    </row>
    <row r="803" spans="13:14" ht="14.25" customHeight="1">
      <c r="M803" s="3"/>
      <c r="N803" s="3"/>
    </row>
    <row r="804" spans="13:14" ht="14.25" customHeight="1">
      <c r="M804" s="3"/>
      <c r="N804" s="3"/>
    </row>
    <row r="805" spans="13:14" ht="14.25" customHeight="1">
      <c r="M805" s="3"/>
      <c r="N805" s="3"/>
    </row>
    <row r="806" spans="13:14" ht="14.25" customHeight="1">
      <c r="M806" s="3"/>
      <c r="N806" s="3"/>
    </row>
    <row r="807" spans="13:14" ht="14.25" customHeight="1">
      <c r="M807" s="3"/>
      <c r="N807" s="3"/>
    </row>
    <row r="808" spans="13:14" ht="14.25" customHeight="1">
      <c r="M808" s="3"/>
      <c r="N808" s="3"/>
    </row>
    <row r="809" spans="13:14" ht="14.25" customHeight="1">
      <c r="M809" s="3"/>
      <c r="N809" s="3"/>
    </row>
    <row r="810" spans="13:14" ht="14.25" customHeight="1">
      <c r="M810" s="3"/>
      <c r="N810" s="3"/>
    </row>
    <row r="811" spans="13:14" ht="14.25" customHeight="1">
      <c r="M811" s="3"/>
      <c r="N811" s="3"/>
    </row>
    <row r="812" spans="13:14" ht="14.25" customHeight="1">
      <c r="M812" s="3"/>
      <c r="N812" s="3"/>
    </row>
    <row r="813" spans="13:14" ht="14.25" customHeight="1">
      <c r="M813" s="3"/>
      <c r="N813" s="3"/>
    </row>
    <row r="814" spans="13:14" ht="14.25" customHeight="1">
      <c r="M814" s="3"/>
      <c r="N814" s="3"/>
    </row>
    <row r="815" spans="13:14" ht="14.25" customHeight="1">
      <c r="M815" s="3"/>
      <c r="N815" s="3"/>
    </row>
    <row r="816" spans="13:14" ht="14.25" customHeight="1">
      <c r="M816" s="3"/>
      <c r="N816" s="3"/>
    </row>
    <row r="817" spans="13:14" ht="14.25" customHeight="1">
      <c r="M817" s="3"/>
      <c r="N817" s="3"/>
    </row>
    <row r="818" spans="13:14" ht="14.25" customHeight="1">
      <c r="M818" s="3"/>
      <c r="N818" s="3"/>
    </row>
    <row r="819" spans="13:14" ht="14.25" customHeight="1">
      <c r="M819" s="3"/>
      <c r="N819" s="3"/>
    </row>
    <row r="820" spans="13:14" ht="14.25" customHeight="1">
      <c r="M820" s="3"/>
      <c r="N820" s="3"/>
    </row>
    <row r="821" spans="13:14" ht="14.25" customHeight="1">
      <c r="M821" s="3"/>
      <c r="N821" s="3"/>
    </row>
    <row r="822" spans="13:14" ht="14.25" customHeight="1">
      <c r="M822" s="3"/>
      <c r="N822" s="3"/>
    </row>
    <row r="823" spans="13:14" ht="14.25" customHeight="1">
      <c r="M823" s="3"/>
      <c r="N823" s="3"/>
    </row>
    <row r="824" spans="13:14" ht="14.25" customHeight="1">
      <c r="M824" s="3"/>
      <c r="N824" s="3"/>
    </row>
    <row r="825" spans="13:14" ht="14.25" customHeight="1">
      <c r="M825" s="3"/>
      <c r="N825" s="3"/>
    </row>
    <row r="826" spans="13:14" ht="14.25" customHeight="1">
      <c r="M826" s="3"/>
      <c r="N826" s="3"/>
    </row>
    <row r="827" spans="13:14" ht="14.25" customHeight="1">
      <c r="M827" s="3"/>
      <c r="N827" s="3"/>
    </row>
    <row r="828" spans="13:14" ht="14.25" customHeight="1">
      <c r="M828" s="3"/>
      <c r="N828" s="3"/>
    </row>
    <row r="829" spans="13:14" ht="14.25" customHeight="1">
      <c r="M829" s="3"/>
      <c r="N829" s="3"/>
    </row>
    <row r="830" spans="13:14" ht="14.25" customHeight="1">
      <c r="M830" s="3"/>
      <c r="N830" s="3"/>
    </row>
    <row r="831" spans="13:14" ht="14.25" customHeight="1">
      <c r="M831" s="3"/>
      <c r="N831" s="3"/>
    </row>
    <row r="832" spans="13:14" ht="14.25" customHeight="1">
      <c r="M832" s="3"/>
      <c r="N832" s="3"/>
    </row>
    <row r="833" spans="13:14" ht="14.25" customHeight="1">
      <c r="M833" s="3"/>
      <c r="N833" s="3"/>
    </row>
    <row r="834" spans="13:14" ht="14.25" customHeight="1">
      <c r="M834" s="3"/>
      <c r="N834" s="3"/>
    </row>
    <row r="835" spans="13:14" ht="14.25" customHeight="1">
      <c r="M835" s="3"/>
      <c r="N835" s="3"/>
    </row>
    <row r="836" spans="13:14" ht="14.25" customHeight="1">
      <c r="M836" s="3"/>
      <c r="N836" s="3"/>
    </row>
    <row r="837" spans="13:14" ht="14.25" customHeight="1">
      <c r="M837" s="3"/>
      <c r="N837" s="3"/>
    </row>
    <row r="838" spans="13:14" ht="14.25" customHeight="1">
      <c r="M838" s="3"/>
      <c r="N838" s="3"/>
    </row>
    <row r="839" spans="13:14" ht="14.25" customHeight="1">
      <c r="M839" s="3"/>
      <c r="N839" s="3"/>
    </row>
    <row r="840" spans="13:14" ht="14.25" customHeight="1">
      <c r="M840" s="3"/>
      <c r="N840" s="3"/>
    </row>
    <row r="841" spans="13:14" ht="14.25" customHeight="1">
      <c r="M841" s="3"/>
      <c r="N841" s="3"/>
    </row>
    <row r="842" spans="13:14" ht="14.25" customHeight="1">
      <c r="M842" s="3"/>
      <c r="N842" s="3"/>
    </row>
    <row r="843" spans="13:14" ht="14.25" customHeight="1">
      <c r="M843" s="3"/>
      <c r="N843" s="3"/>
    </row>
    <row r="844" spans="13:14" ht="14.25" customHeight="1">
      <c r="M844" s="3"/>
      <c r="N844" s="3"/>
    </row>
    <row r="845" spans="13:14" ht="14.25" customHeight="1">
      <c r="M845" s="3"/>
      <c r="N845" s="3"/>
    </row>
    <row r="846" spans="13:14" ht="14.25" customHeight="1">
      <c r="M846" s="3"/>
      <c r="N846" s="3"/>
    </row>
    <row r="847" spans="13:14" ht="14.25" customHeight="1">
      <c r="M847" s="3"/>
      <c r="N847" s="3"/>
    </row>
    <row r="848" spans="13:14" ht="14.25" customHeight="1">
      <c r="M848" s="3"/>
      <c r="N848" s="3"/>
    </row>
    <row r="849" spans="13:14" ht="14.25" customHeight="1">
      <c r="M849" s="3"/>
      <c r="N849" s="3"/>
    </row>
    <row r="850" spans="13:14" ht="14.25" customHeight="1">
      <c r="M850" s="3"/>
      <c r="N850" s="3"/>
    </row>
    <row r="851" spans="13:14" ht="14.25" customHeight="1">
      <c r="M851" s="3"/>
      <c r="N851" s="3"/>
    </row>
    <row r="852" spans="13:14" ht="14.25" customHeight="1">
      <c r="M852" s="3"/>
      <c r="N852" s="3"/>
    </row>
    <row r="853" spans="13:14" ht="14.25" customHeight="1">
      <c r="M853" s="3"/>
      <c r="N853" s="3"/>
    </row>
    <row r="854" spans="13:14" ht="14.25" customHeight="1">
      <c r="M854" s="3"/>
      <c r="N854" s="3"/>
    </row>
    <row r="855" spans="13:14" ht="14.25" customHeight="1">
      <c r="M855" s="3"/>
      <c r="N855" s="3"/>
    </row>
    <row r="856" spans="13:14" ht="14.25" customHeight="1">
      <c r="M856" s="3"/>
      <c r="N856" s="3"/>
    </row>
    <row r="857" spans="13:14" ht="14.25" customHeight="1">
      <c r="M857" s="3"/>
      <c r="N857" s="3"/>
    </row>
    <row r="858" spans="13:14" ht="14.25" customHeight="1">
      <c r="M858" s="3"/>
      <c r="N858" s="3"/>
    </row>
    <row r="859" spans="13:14" ht="14.25" customHeight="1">
      <c r="M859" s="3"/>
      <c r="N859" s="3"/>
    </row>
    <row r="860" spans="13:14" ht="14.25" customHeight="1">
      <c r="M860" s="3"/>
      <c r="N860" s="3"/>
    </row>
    <row r="861" spans="13:14" ht="14.25" customHeight="1">
      <c r="M861" s="3"/>
      <c r="N861" s="3"/>
    </row>
    <row r="862" spans="13:14" ht="14.25" customHeight="1">
      <c r="M862" s="3"/>
      <c r="N862" s="3"/>
    </row>
    <row r="863" spans="13:14" ht="14.25" customHeight="1">
      <c r="M863" s="3"/>
      <c r="N863" s="3"/>
    </row>
    <row r="864" spans="13:14" ht="14.25" customHeight="1">
      <c r="M864" s="3"/>
      <c r="N864" s="3"/>
    </row>
    <row r="865" spans="13:14" ht="14.25" customHeight="1">
      <c r="M865" s="3"/>
      <c r="N865" s="3"/>
    </row>
    <row r="866" spans="13:14" ht="14.25" customHeight="1">
      <c r="M866" s="3"/>
      <c r="N866" s="3"/>
    </row>
    <row r="867" spans="13:14" ht="14.25" customHeight="1">
      <c r="M867" s="3"/>
      <c r="N867" s="3"/>
    </row>
    <row r="868" spans="13:14" ht="14.25" customHeight="1">
      <c r="M868" s="3"/>
      <c r="N868" s="3"/>
    </row>
    <row r="869" spans="13:14" ht="14.25" customHeight="1">
      <c r="M869" s="3"/>
      <c r="N869" s="3"/>
    </row>
    <row r="870" spans="13:14" ht="14.25" customHeight="1">
      <c r="M870" s="3"/>
      <c r="N870" s="3"/>
    </row>
    <row r="871" spans="13:14" ht="14.25" customHeight="1">
      <c r="M871" s="3"/>
      <c r="N871" s="3"/>
    </row>
    <row r="872" spans="13:14" ht="14.25" customHeight="1">
      <c r="M872" s="3"/>
      <c r="N872" s="3"/>
    </row>
    <row r="873" spans="13:14" ht="14.25" customHeight="1">
      <c r="M873" s="3"/>
      <c r="N873" s="3"/>
    </row>
    <row r="874" spans="13:14" ht="14.25" customHeight="1">
      <c r="M874" s="3"/>
      <c r="N874" s="3"/>
    </row>
    <row r="875" spans="13:14" ht="14.25" customHeight="1">
      <c r="M875" s="3"/>
      <c r="N875" s="3"/>
    </row>
    <row r="876" spans="13:14" ht="14.25" customHeight="1">
      <c r="M876" s="3"/>
      <c r="N876" s="3"/>
    </row>
    <row r="877" spans="13:14" ht="14.25" customHeight="1">
      <c r="M877" s="3"/>
      <c r="N877" s="3"/>
    </row>
    <row r="878" spans="13:14" ht="14.25" customHeight="1">
      <c r="M878" s="3"/>
      <c r="N878" s="3"/>
    </row>
    <row r="879" spans="13:14" ht="14.25" customHeight="1">
      <c r="M879" s="3"/>
      <c r="N879" s="3"/>
    </row>
    <row r="880" spans="13:14" ht="14.25" customHeight="1">
      <c r="M880" s="3"/>
      <c r="N880" s="3"/>
    </row>
    <row r="881" spans="13:14" ht="14.25" customHeight="1">
      <c r="M881" s="3"/>
      <c r="N881" s="3"/>
    </row>
    <row r="882" spans="13:14" ht="14.25" customHeight="1">
      <c r="M882" s="3"/>
      <c r="N882" s="3"/>
    </row>
    <row r="883" spans="13:14" ht="14.25" customHeight="1">
      <c r="M883" s="3"/>
      <c r="N883" s="3"/>
    </row>
    <row r="884" spans="13:14" ht="14.25" customHeight="1">
      <c r="M884" s="3"/>
      <c r="N884" s="3"/>
    </row>
    <row r="885" spans="13:14" ht="14.25" customHeight="1">
      <c r="M885" s="3"/>
      <c r="N885" s="3"/>
    </row>
    <row r="886" spans="13:14" ht="14.25" customHeight="1">
      <c r="M886" s="3"/>
      <c r="N886" s="3"/>
    </row>
    <row r="887" spans="13:14" ht="14.25" customHeight="1">
      <c r="M887" s="3"/>
      <c r="N887" s="3"/>
    </row>
    <row r="888" spans="13:14" ht="14.25" customHeight="1">
      <c r="M888" s="3"/>
      <c r="N888" s="3"/>
    </row>
    <row r="889" spans="13:14" ht="14.25" customHeight="1">
      <c r="M889" s="3"/>
      <c r="N889" s="3"/>
    </row>
    <row r="890" spans="13:14" ht="14.25" customHeight="1">
      <c r="M890" s="3"/>
      <c r="N890" s="3"/>
    </row>
    <row r="891" spans="13:14" ht="14.25" customHeight="1">
      <c r="M891" s="3"/>
      <c r="N891" s="3"/>
    </row>
    <row r="892" spans="13:14" ht="14.25" customHeight="1">
      <c r="M892" s="3"/>
      <c r="N892" s="3"/>
    </row>
    <row r="893" spans="13:14" ht="14.25" customHeight="1">
      <c r="M893" s="3"/>
      <c r="N893" s="3"/>
    </row>
    <row r="894" spans="13:14" ht="14.25" customHeight="1">
      <c r="M894" s="3"/>
      <c r="N894" s="3"/>
    </row>
    <row r="895" spans="13:14" ht="14.25" customHeight="1">
      <c r="M895" s="3"/>
      <c r="N895" s="3"/>
    </row>
    <row r="896" spans="13:14" ht="14.25" customHeight="1">
      <c r="M896" s="3"/>
      <c r="N896" s="3"/>
    </row>
    <row r="897" spans="13:14" ht="14.25" customHeight="1">
      <c r="M897" s="3"/>
      <c r="N897" s="3"/>
    </row>
    <row r="898" spans="13:14" ht="14.25" customHeight="1">
      <c r="M898" s="3"/>
      <c r="N898" s="3"/>
    </row>
    <row r="899" spans="13:14" ht="14.25" customHeight="1">
      <c r="M899" s="3"/>
      <c r="N899" s="3"/>
    </row>
    <row r="900" spans="13:14" ht="14.25" customHeight="1">
      <c r="M900" s="3"/>
      <c r="N900" s="3"/>
    </row>
    <row r="901" spans="13:14" ht="14.25" customHeight="1">
      <c r="M901" s="3"/>
      <c r="N901" s="3"/>
    </row>
    <row r="902" spans="13:14" ht="14.25" customHeight="1">
      <c r="M902" s="3"/>
      <c r="N902" s="3"/>
    </row>
    <row r="903" spans="13:14" ht="14.25" customHeight="1">
      <c r="M903" s="3"/>
      <c r="N903" s="3"/>
    </row>
    <row r="904" spans="13:14" ht="14.25" customHeight="1">
      <c r="M904" s="3"/>
      <c r="N904" s="3"/>
    </row>
    <row r="905" spans="13:14" ht="14.25" customHeight="1">
      <c r="M905" s="3"/>
      <c r="N905" s="3"/>
    </row>
    <row r="906" spans="13:14" ht="14.25" customHeight="1">
      <c r="M906" s="3"/>
      <c r="N906" s="3"/>
    </row>
    <row r="907" spans="13:14" ht="14.25" customHeight="1">
      <c r="M907" s="3"/>
      <c r="N907" s="3"/>
    </row>
    <row r="908" spans="13:14" ht="14.25" customHeight="1">
      <c r="M908" s="3"/>
      <c r="N908" s="3"/>
    </row>
    <row r="909" spans="13:14" ht="14.25" customHeight="1">
      <c r="M909" s="3"/>
      <c r="N909" s="3"/>
    </row>
    <row r="910" spans="13:14" ht="14.25" customHeight="1">
      <c r="M910" s="3"/>
      <c r="N910" s="3"/>
    </row>
    <row r="911" spans="13:14" ht="14.25" customHeight="1">
      <c r="M911" s="3"/>
      <c r="N911" s="3"/>
    </row>
    <row r="912" spans="13:14" ht="14.25" customHeight="1">
      <c r="M912" s="3"/>
      <c r="N912" s="3"/>
    </row>
    <row r="913" spans="13:14" ht="14.25" customHeight="1">
      <c r="M913" s="3"/>
      <c r="N913" s="3"/>
    </row>
    <row r="914" spans="13:14" ht="14.25" customHeight="1">
      <c r="M914" s="3"/>
      <c r="N914" s="3"/>
    </row>
    <row r="915" spans="13:14" ht="14.25" customHeight="1">
      <c r="M915" s="3"/>
      <c r="N915" s="3"/>
    </row>
    <row r="916" spans="13:14" ht="14.25" customHeight="1">
      <c r="M916" s="3"/>
      <c r="N916" s="3"/>
    </row>
    <row r="917" spans="13:14" ht="14.25" customHeight="1">
      <c r="M917" s="3"/>
      <c r="N917" s="3"/>
    </row>
    <row r="918" spans="13:14" ht="14.25" customHeight="1">
      <c r="M918" s="3"/>
      <c r="N918" s="3"/>
    </row>
    <row r="919" spans="13:14" ht="14.25" customHeight="1">
      <c r="M919" s="3"/>
      <c r="N919" s="3"/>
    </row>
    <row r="920" spans="13:14" ht="14.25" customHeight="1">
      <c r="M920" s="3"/>
      <c r="N920" s="3"/>
    </row>
    <row r="921" spans="13:14" ht="14.25" customHeight="1">
      <c r="M921" s="3"/>
      <c r="N921" s="3"/>
    </row>
    <row r="922" spans="13:14" ht="14.25" customHeight="1">
      <c r="M922" s="3"/>
      <c r="N922" s="3"/>
    </row>
    <row r="923" spans="13:14" ht="14.25" customHeight="1">
      <c r="M923" s="3"/>
      <c r="N923" s="3"/>
    </row>
    <row r="924" spans="13:14" ht="14.25" customHeight="1">
      <c r="M924" s="3"/>
      <c r="N924" s="3"/>
    </row>
    <row r="925" spans="13:14" ht="14.25" customHeight="1">
      <c r="M925" s="3"/>
      <c r="N925" s="3"/>
    </row>
    <row r="926" spans="13:14" ht="14.25" customHeight="1">
      <c r="M926" s="3"/>
      <c r="N926" s="3"/>
    </row>
    <row r="927" spans="13:14" ht="14.25" customHeight="1">
      <c r="M927" s="3"/>
      <c r="N927" s="3"/>
    </row>
    <row r="928" spans="13:14" ht="14.25" customHeight="1">
      <c r="M928" s="3"/>
      <c r="N928" s="3"/>
    </row>
    <row r="929" spans="13:14" ht="14.25" customHeight="1">
      <c r="M929" s="3"/>
      <c r="N929" s="3"/>
    </row>
    <row r="930" spans="13:14" ht="14.25" customHeight="1">
      <c r="M930" s="3"/>
      <c r="N930" s="3"/>
    </row>
    <row r="931" spans="13:14" ht="14.25" customHeight="1">
      <c r="M931" s="3"/>
      <c r="N931" s="3"/>
    </row>
    <row r="932" spans="13:14" ht="14.25" customHeight="1">
      <c r="M932" s="3"/>
      <c r="N932" s="3"/>
    </row>
    <row r="933" spans="13:14" ht="14.25" customHeight="1">
      <c r="M933" s="3"/>
      <c r="N933" s="3"/>
    </row>
    <row r="934" spans="13:14" ht="14.25" customHeight="1">
      <c r="M934" s="3"/>
      <c r="N934" s="3"/>
    </row>
    <row r="935" spans="13:14" ht="14.25" customHeight="1">
      <c r="M935" s="3"/>
      <c r="N935" s="3"/>
    </row>
    <row r="936" spans="13:14" ht="14.25" customHeight="1">
      <c r="M936" s="3"/>
      <c r="N936" s="3"/>
    </row>
    <row r="937" spans="13:14" ht="14.25" customHeight="1">
      <c r="M937" s="3"/>
      <c r="N937" s="3"/>
    </row>
    <row r="938" spans="13:14" ht="14.25" customHeight="1">
      <c r="M938" s="3"/>
      <c r="N938" s="3"/>
    </row>
    <row r="939" spans="13:14" ht="14.25" customHeight="1">
      <c r="M939" s="3"/>
      <c r="N939" s="3"/>
    </row>
    <row r="940" spans="13:14" ht="14.25" customHeight="1">
      <c r="M940" s="3"/>
      <c r="N940" s="3"/>
    </row>
    <row r="941" spans="13:14" ht="14.25" customHeight="1">
      <c r="M941" s="3"/>
      <c r="N941" s="3"/>
    </row>
    <row r="942" spans="13:14" ht="14.25" customHeight="1">
      <c r="M942" s="3"/>
      <c r="N942" s="3"/>
    </row>
    <row r="943" spans="13:14" ht="14.25" customHeight="1">
      <c r="M943" s="3"/>
      <c r="N943" s="3"/>
    </row>
    <row r="944" spans="13:14" ht="14.25" customHeight="1">
      <c r="M944" s="3"/>
      <c r="N944" s="3"/>
    </row>
    <row r="945" spans="13:14" ht="14.25" customHeight="1">
      <c r="M945" s="3"/>
      <c r="N945" s="3"/>
    </row>
    <row r="946" spans="13:14" ht="14.25" customHeight="1">
      <c r="M946" s="3"/>
      <c r="N946" s="3"/>
    </row>
    <row r="947" spans="13:14" ht="14.25" customHeight="1">
      <c r="M947" s="3"/>
      <c r="N947" s="3"/>
    </row>
    <row r="948" spans="13:14" ht="14.25" customHeight="1">
      <c r="M948" s="3"/>
      <c r="N948" s="3"/>
    </row>
    <row r="949" spans="13:14" ht="14.25" customHeight="1">
      <c r="M949" s="3"/>
      <c r="N949" s="3"/>
    </row>
    <row r="950" spans="13:14" ht="14.25" customHeight="1">
      <c r="M950" s="3"/>
      <c r="N950" s="3"/>
    </row>
    <row r="951" spans="13:14" ht="14.25" customHeight="1">
      <c r="M951" s="3"/>
      <c r="N951" s="3"/>
    </row>
    <row r="952" spans="13:14" ht="14.25" customHeight="1">
      <c r="M952" s="3"/>
      <c r="N952" s="3"/>
    </row>
    <row r="953" spans="13:14" ht="14.25" customHeight="1">
      <c r="M953" s="3"/>
      <c r="N953" s="3"/>
    </row>
    <row r="954" spans="13:14" ht="14.25" customHeight="1">
      <c r="M954" s="3"/>
      <c r="N954" s="3"/>
    </row>
    <row r="955" spans="13:14" ht="14.25" customHeight="1">
      <c r="M955" s="3"/>
      <c r="N955" s="3"/>
    </row>
    <row r="956" spans="13:14" ht="14.25" customHeight="1">
      <c r="M956" s="3"/>
      <c r="N956" s="3"/>
    </row>
    <row r="957" spans="13:14" ht="14.25" customHeight="1">
      <c r="M957" s="3"/>
      <c r="N957" s="3"/>
    </row>
    <row r="958" spans="13:14" ht="14.25" customHeight="1">
      <c r="M958" s="3"/>
      <c r="N958" s="3"/>
    </row>
    <row r="959" spans="13:14" ht="14.25" customHeight="1">
      <c r="M959" s="3"/>
      <c r="N959" s="3"/>
    </row>
    <row r="960" spans="13:14" ht="14.25" customHeight="1">
      <c r="M960" s="3"/>
      <c r="N960" s="3"/>
    </row>
    <row r="961" spans="13:14" ht="14.25" customHeight="1">
      <c r="M961" s="3"/>
      <c r="N961" s="3"/>
    </row>
    <row r="962" spans="13:14" ht="14.25" customHeight="1">
      <c r="M962" s="3"/>
      <c r="N962" s="3"/>
    </row>
    <row r="963" spans="13:14" ht="14.25" customHeight="1">
      <c r="M963" s="3"/>
      <c r="N963" s="3"/>
    </row>
    <row r="964" spans="13:14" ht="14.25" customHeight="1">
      <c r="M964" s="3"/>
      <c r="N964" s="3"/>
    </row>
    <row r="965" spans="13:14" ht="14.25" customHeight="1">
      <c r="M965" s="3"/>
      <c r="N965" s="3"/>
    </row>
    <row r="966" spans="13:14" ht="14.25" customHeight="1">
      <c r="M966" s="3"/>
      <c r="N966" s="3"/>
    </row>
    <row r="967" spans="13:14" ht="14.25" customHeight="1">
      <c r="M967" s="3"/>
      <c r="N967" s="3"/>
    </row>
    <row r="968" spans="13:14" ht="14.25" customHeight="1">
      <c r="M968" s="3"/>
      <c r="N968" s="3"/>
    </row>
    <row r="969" spans="13:14" ht="14.25" customHeight="1">
      <c r="M969" s="3"/>
      <c r="N969" s="3"/>
    </row>
    <row r="970" spans="13:14" ht="14.25" customHeight="1">
      <c r="M970" s="3"/>
      <c r="N970" s="3"/>
    </row>
    <row r="971" spans="13:14" ht="14.25" customHeight="1">
      <c r="M971" s="3"/>
      <c r="N971" s="3"/>
    </row>
    <row r="972" spans="13:14" ht="14.25" customHeight="1">
      <c r="M972" s="3"/>
      <c r="N972" s="3"/>
    </row>
    <row r="973" spans="13:14" ht="14.25" customHeight="1">
      <c r="M973" s="3"/>
      <c r="N973" s="3"/>
    </row>
    <row r="974" spans="13:14" ht="14.25" customHeight="1">
      <c r="M974" s="3"/>
      <c r="N974" s="3"/>
    </row>
    <row r="975" spans="13:14" ht="14.25" customHeight="1">
      <c r="M975" s="3"/>
      <c r="N975" s="3"/>
    </row>
    <row r="976" spans="13:14" ht="14.25" customHeight="1">
      <c r="M976" s="3"/>
      <c r="N976" s="3"/>
    </row>
    <row r="977" spans="13:14" ht="14.25" customHeight="1">
      <c r="M977" s="3"/>
      <c r="N977" s="3"/>
    </row>
    <row r="978" spans="13:14" ht="14.25" customHeight="1">
      <c r="M978" s="3"/>
      <c r="N978" s="3"/>
    </row>
    <row r="979" spans="13:14" ht="14.25" customHeight="1">
      <c r="M979" s="3"/>
      <c r="N979" s="3"/>
    </row>
    <row r="980" spans="13:14" ht="14.25" customHeight="1">
      <c r="M980" s="3"/>
      <c r="N980" s="3"/>
    </row>
    <row r="981" spans="13:14" ht="14.25" customHeight="1">
      <c r="M981" s="3"/>
      <c r="N981" s="3"/>
    </row>
    <row r="982" spans="13:14" ht="14.25" customHeight="1">
      <c r="M982" s="3"/>
      <c r="N982" s="3"/>
    </row>
    <row r="983" spans="13:14" ht="14.25" customHeight="1">
      <c r="M983" s="3"/>
      <c r="N983" s="3"/>
    </row>
    <row r="984" spans="13:14" ht="14.25" customHeight="1">
      <c r="M984" s="3"/>
      <c r="N984" s="3"/>
    </row>
    <row r="985" spans="13:14" ht="14.25" customHeight="1">
      <c r="M985" s="3"/>
      <c r="N985" s="3"/>
    </row>
    <row r="986" spans="13:14" ht="14.25" customHeight="1">
      <c r="M986" s="3"/>
      <c r="N986" s="3"/>
    </row>
    <row r="987" spans="13:14" ht="14.25" customHeight="1">
      <c r="M987" s="3"/>
      <c r="N987" s="3"/>
    </row>
    <row r="988" spans="13:14" ht="14.25" customHeight="1">
      <c r="M988" s="3"/>
      <c r="N988" s="3"/>
    </row>
    <row r="989" spans="13:14" ht="14.25" customHeight="1">
      <c r="M989" s="3"/>
      <c r="N989" s="3"/>
    </row>
    <row r="990" spans="13:14" ht="14.25" customHeight="1">
      <c r="M990" s="3"/>
      <c r="N990" s="3"/>
    </row>
    <row r="991" spans="13:14" ht="14.25" customHeight="1">
      <c r="M991" s="3"/>
      <c r="N991" s="3"/>
    </row>
    <row r="992" spans="13:14" ht="14.25" customHeight="1">
      <c r="M992" s="3"/>
      <c r="N992" s="3"/>
    </row>
    <row r="993" spans="13:14" ht="14.25" customHeight="1">
      <c r="M993" s="3"/>
      <c r="N993" s="3"/>
    </row>
    <row r="994" spans="13:14" ht="14.25" customHeight="1">
      <c r="M994" s="3"/>
      <c r="N994" s="3"/>
    </row>
    <row r="995" spans="13:14" ht="14.25" customHeight="1">
      <c r="M995" s="3"/>
      <c r="N995" s="3"/>
    </row>
    <row r="996" spans="13:14" ht="14.25" customHeight="1">
      <c r="M996" s="3"/>
      <c r="N996" s="3"/>
    </row>
    <row r="997" spans="13:14" ht="14.25" customHeight="1">
      <c r="M997" s="3"/>
      <c r="N997" s="3"/>
    </row>
    <row r="998" spans="13:14" ht="14.25" customHeight="1">
      <c r="M998" s="3"/>
      <c r="N998" s="3"/>
    </row>
    <row r="999" spans="13:14" ht="14.25" customHeight="1">
      <c r="M999" s="3"/>
      <c r="N999" s="3"/>
    </row>
    <row r="1000" spans="13:14" ht="14.25" customHeight="1">
      <c r="M1000" s="3"/>
      <c r="N1000" s="3"/>
    </row>
  </sheetData>
  <conditionalFormatting sqref="M3:M13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D3:D13">
    <cfRule type="top10" dxfId="8" priority="1" percent="1" rank="10"/>
  </conditionalFormatting>
  <dataValidations count="1">
    <dataValidation type="list" allowBlank="1" showErrorMessage="1" sqref="A37:A56" xr:uid="{00000000-0002-0000-0100-000000000000}">
      <formula1>"AFC Bournemouth,Arsenal,Aston Vila,Brentford,Brighton And Hove Albion,Chelsea,Crystal Palace,Everton,Fulham,Ipswich Town,Leicester City,Liverpool,Manchester,Manchester United,Newcastle United,Nottingham Forest,Southampton,Tootenham Hotspur,West Ham United"&amp;",Wolverhampton Wanderers"</formula1>
    </dataValidation>
  </dataValidations>
  <pageMargins left="0.7" right="0.7" top="0.75" bottom="0.75" header="0" footer="0"/>
  <pageSetup orientation="landscape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N1000"/>
  <sheetViews>
    <sheetView topLeftCell="A8" zoomScale="114" zoomScaleNormal="59" workbookViewId="0">
      <selection activeCell="H28" sqref="H28"/>
    </sheetView>
  </sheetViews>
  <sheetFormatPr defaultColWidth="12.54296875" defaultRowHeight="15" customHeight="1"/>
  <cols>
    <col min="1" max="1" width="8.54296875" customWidth="1"/>
    <col min="2" max="2" width="21.08984375" customWidth="1"/>
    <col min="3" max="3" width="18" customWidth="1"/>
    <col min="4" max="4" width="17.1796875" customWidth="1"/>
    <col min="5" max="5" width="14.81640625" customWidth="1"/>
    <col min="6" max="6" width="16.453125" customWidth="1"/>
    <col min="7" max="7" width="8.453125" customWidth="1"/>
    <col min="8" max="8" width="18.453125" customWidth="1"/>
    <col min="9" max="9" width="10.453125" customWidth="1"/>
    <col min="10" max="10" width="14.81640625" customWidth="1"/>
    <col min="11" max="12" width="16.81640625" customWidth="1"/>
    <col min="13" max="13" width="19.54296875" customWidth="1"/>
    <col min="14" max="14" width="22.1796875" customWidth="1"/>
    <col min="15" max="15" width="25" customWidth="1"/>
    <col min="16" max="16" width="11.54296875" customWidth="1"/>
    <col min="17" max="17" width="13.1796875" customWidth="1"/>
    <col min="18" max="18" width="17.453125" customWidth="1"/>
    <col min="19" max="19" width="12" customWidth="1"/>
    <col min="20" max="20" width="11.7265625" customWidth="1"/>
    <col min="21" max="21" width="12.54296875" customWidth="1"/>
    <col min="22" max="22" width="13.7265625" customWidth="1"/>
    <col min="23" max="23" width="20" customWidth="1"/>
    <col min="24" max="24" width="13.453125" customWidth="1"/>
    <col min="25" max="25" width="9.81640625" customWidth="1"/>
    <col min="26" max="44" width="8.54296875" customWidth="1"/>
  </cols>
  <sheetData>
    <row r="1" spans="1:40" ht="14.25" customHeight="1"/>
    <row r="2" spans="1:40" ht="14.25" customHeight="1">
      <c r="A2" s="6" t="s">
        <v>81</v>
      </c>
      <c r="B2" s="6" t="s">
        <v>36</v>
      </c>
      <c r="C2" s="6" t="s">
        <v>37</v>
      </c>
      <c r="D2" s="6" t="s">
        <v>82</v>
      </c>
      <c r="E2" s="6" t="s">
        <v>74</v>
      </c>
      <c r="F2" s="6" t="s">
        <v>83</v>
      </c>
      <c r="H2" s="96" t="s">
        <v>81</v>
      </c>
      <c r="I2" s="96" t="s">
        <v>84</v>
      </c>
      <c r="J2" s="96" t="s">
        <v>85</v>
      </c>
      <c r="K2" s="96" t="s">
        <v>38</v>
      </c>
      <c r="L2" s="96" t="s">
        <v>86</v>
      </c>
      <c r="M2" s="96" t="s">
        <v>49</v>
      </c>
    </row>
    <row r="3" spans="1:40" ht="14.25" customHeight="1">
      <c r="A3" s="112" t="s">
        <v>87</v>
      </c>
      <c r="B3" s="113">
        <f>'HOME  (3)'!D26</f>
        <v>0.69090909090909092</v>
      </c>
      <c r="C3" s="113">
        <f>'AWAY (2)'!D26</f>
        <v>0.23636363636363636</v>
      </c>
      <c r="D3" s="113"/>
      <c r="E3" s="114" t="str">
        <f t="shared" ref="E3:E8" si="0">IF(B3&gt;C3,"Home win","homeloss")</f>
        <v>Home win</v>
      </c>
      <c r="F3" s="114" t="str">
        <f t="shared" ref="F3:F8" si="1">IF(C3&gt;B3,"Away win","away loss")</f>
        <v>away loss</v>
      </c>
      <c r="H3" s="97" t="s">
        <v>87</v>
      </c>
      <c r="I3" s="98">
        <f>'HOME  (3)'!F26</f>
        <v>0.76666666666666661</v>
      </c>
      <c r="J3" s="99">
        <f>'AWAY (2)'!F26</f>
        <v>0.15833333333333333</v>
      </c>
      <c r="K3" s="100"/>
      <c r="L3" s="101" t="str">
        <f t="shared" ref="L3:L8" si="2">IF(I3&gt;J3,"Home Win","home loss")</f>
        <v>Home Win</v>
      </c>
      <c r="M3" s="101" t="str">
        <f t="shared" ref="M3:M8" si="3">IF(J3&gt;I3,"Away win","away loss")</f>
        <v>away loss</v>
      </c>
    </row>
    <row r="4" spans="1:40" ht="14.25" customHeight="1">
      <c r="A4" s="112" t="s">
        <v>88</v>
      </c>
      <c r="B4" s="115">
        <f>AVERAGE('HOME  (3)'!$B$3:$B$13)</f>
        <v>2.3636363636363638</v>
      </c>
      <c r="C4" s="115">
        <f>IFERROR('AWAY (2)'!D22,0)</f>
        <v>2</v>
      </c>
      <c r="D4" s="114"/>
      <c r="E4" s="114" t="str">
        <f t="shared" si="0"/>
        <v>Home win</v>
      </c>
      <c r="F4" s="114" t="str">
        <f t="shared" si="1"/>
        <v>away loss</v>
      </c>
      <c r="H4" s="97" t="s">
        <v>88</v>
      </c>
      <c r="I4" s="101">
        <f>AVERAGE('HOME  (3)'!B3:B7)</f>
        <v>2.8</v>
      </c>
      <c r="J4" s="101">
        <f>AVERAGE('AWAY (2)'!B3:B7)</f>
        <v>0.6</v>
      </c>
      <c r="K4" s="101"/>
      <c r="L4" s="101" t="str">
        <f t="shared" si="2"/>
        <v>Home Win</v>
      </c>
      <c r="M4" s="101" t="str">
        <f t="shared" si="3"/>
        <v>away loss</v>
      </c>
    </row>
    <row r="5" spans="1:40" ht="14.25" customHeight="1">
      <c r="A5" s="112" t="s">
        <v>89</v>
      </c>
      <c r="B5" s="116">
        <f>AVERAGE('HOME  (3)'!$C$3:$C$13)</f>
        <v>1.0909090909090908</v>
      </c>
      <c r="C5" s="115">
        <f>'AWAY (2)'!$C$14</f>
        <v>1.1818181818181819</v>
      </c>
      <c r="D5" s="114"/>
      <c r="E5" s="114" t="str">
        <f t="shared" si="0"/>
        <v>homeloss</v>
      </c>
      <c r="F5" s="114" t="str">
        <f t="shared" si="1"/>
        <v>Away win</v>
      </c>
      <c r="H5" s="97" t="s">
        <v>89</v>
      </c>
      <c r="I5" s="101">
        <f>AVERAGE('HOME  (3)'!C3:C7)</f>
        <v>0.6</v>
      </c>
      <c r="J5" s="101">
        <f>AVERAGE('AWAY (2)'!C3:C7)</f>
        <v>1.8</v>
      </c>
      <c r="K5" s="101"/>
      <c r="L5" s="101" t="str">
        <f t="shared" si="2"/>
        <v>home loss</v>
      </c>
      <c r="M5" s="101" t="str">
        <f t="shared" si="3"/>
        <v>Away win</v>
      </c>
    </row>
    <row r="6" spans="1:40" ht="14.25" customHeight="1">
      <c r="A6" s="112" t="s">
        <v>90</v>
      </c>
      <c r="B6" s="117">
        <f>'HOME  (3)'!D28</f>
        <v>6</v>
      </c>
      <c r="C6" s="114">
        <f>'AWAY (2)'!D28</f>
        <v>3</v>
      </c>
      <c r="D6" s="114"/>
      <c r="E6" s="114" t="str">
        <f t="shared" si="0"/>
        <v>Home win</v>
      </c>
      <c r="F6" s="114" t="str">
        <f t="shared" si="1"/>
        <v>away loss</v>
      </c>
      <c r="H6" s="97" t="s">
        <v>90</v>
      </c>
      <c r="I6" s="101">
        <f>COUNTIF('HOME  (3)'!F3:F7,"W")</f>
        <v>3</v>
      </c>
      <c r="J6" s="101">
        <f>COUNTIF('AWAY (2)'!F3:F7,"W")</f>
        <v>0</v>
      </c>
      <c r="K6" s="101"/>
      <c r="L6" s="101" t="str">
        <f t="shared" si="2"/>
        <v>Home Win</v>
      </c>
      <c r="M6" s="101" t="str">
        <f t="shared" si="3"/>
        <v>away loss</v>
      </c>
    </row>
    <row r="7" spans="1:40" ht="14.25" customHeight="1">
      <c r="A7" s="112" t="s">
        <v>91</v>
      </c>
      <c r="B7" s="118">
        <f>'HOME  (3)'!B29</f>
        <v>2</v>
      </c>
      <c r="C7" s="114">
        <f>'AWAY (2)'!D29</f>
        <v>4</v>
      </c>
      <c r="D7" s="114"/>
      <c r="E7" s="114" t="str">
        <f t="shared" si="0"/>
        <v>homeloss</v>
      </c>
      <c r="F7" s="114" t="str">
        <f t="shared" si="1"/>
        <v>Away win</v>
      </c>
      <c r="H7" s="97" t="s">
        <v>91</v>
      </c>
      <c r="I7" s="101">
        <f>COUNTIF('HOME  (3)'!F3:F7,"L")</f>
        <v>0</v>
      </c>
      <c r="J7" s="101">
        <f>COUNTIF('AWAY (2)'!F3:F7,"L")</f>
        <v>3</v>
      </c>
      <c r="K7" s="101"/>
      <c r="L7" s="101" t="str">
        <f t="shared" si="2"/>
        <v>home loss</v>
      </c>
      <c r="M7" s="101" t="str">
        <f t="shared" si="3"/>
        <v>Away win</v>
      </c>
    </row>
    <row r="8" spans="1:40" ht="14.25" customHeight="1">
      <c r="A8" s="112" t="s">
        <v>92</v>
      </c>
      <c r="B8" s="112">
        <f>'HOME  (3)'!D30</f>
        <v>3</v>
      </c>
      <c r="C8" s="114">
        <f>'AWAY (2)'!D30</f>
        <v>4</v>
      </c>
      <c r="D8" s="114"/>
      <c r="E8" s="114" t="str">
        <f t="shared" si="0"/>
        <v>homeloss</v>
      </c>
      <c r="F8" s="114" t="str">
        <f t="shared" si="1"/>
        <v>Away win</v>
      </c>
      <c r="H8" s="97" t="s">
        <v>92</v>
      </c>
      <c r="I8" s="101">
        <f>COUNTIF('HOME  (3)'!F3:F7,"D")</f>
        <v>2</v>
      </c>
      <c r="J8" s="101">
        <f>COUNTIF('AWAY (2)'!F3:F7,"D")</f>
        <v>2</v>
      </c>
      <c r="K8" s="101"/>
      <c r="L8" s="101" t="str">
        <f t="shared" si="2"/>
        <v>home loss</v>
      </c>
      <c r="M8" s="101" t="str">
        <f t="shared" si="3"/>
        <v>away loss</v>
      </c>
    </row>
    <row r="9" spans="1:40" ht="14.25" customHeight="1">
      <c r="A9" s="112" t="s">
        <v>93</v>
      </c>
      <c r="B9" s="114">
        <f>'HOME  (3)'!$D$14</f>
        <v>38</v>
      </c>
      <c r="C9" s="114">
        <f>'AWAY (2)'!$D$14</f>
        <v>24</v>
      </c>
      <c r="D9" s="114"/>
      <c r="E9" s="114" t="str">
        <f t="shared" ref="E9:E21" si="4">IF(B9&gt;C9,"Home win","homeloss")</f>
        <v>Home win</v>
      </c>
      <c r="F9" s="114" t="str">
        <f t="shared" ref="F9:F21" si="5">IF(C9&gt;B9,"Away win","away loss")</f>
        <v>away loss</v>
      </c>
      <c r="H9" s="97" t="s">
        <v>93</v>
      </c>
      <c r="I9" s="101">
        <f>SUM('HOME  (3)'!D3:D7)</f>
        <v>17</v>
      </c>
      <c r="J9" s="101">
        <f>SUM('AWAY (2)'!D3:D7)</f>
        <v>12</v>
      </c>
      <c r="K9" s="101"/>
      <c r="L9" s="101" t="str">
        <f t="shared" ref="L9:L21" si="6">IF(I9&gt;J9,"Home Win","home loss")</f>
        <v>Home Win</v>
      </c>
      <c r="M9" s="101" t="str">
        <f t="shared" ref="M9:M21" si="7">IF(J9&gt;I9,"Away win","away loss")</f>
        <v>away loss</v>
      </c>
    </row>
    <row r="10" spans="1:40" ht="14.25" customHeight="1">
      <c r="A10" s="112" t="s">
        <v>94</v>
      </c>
      <c r="B10" s="114">
        <f>SUM('HOME  (3)'!$C$3:$C$13)</f>
        <v>12</v>
      </c>
      <c r="C10" s="114">
        <f>SUM('AWAY (2)'!$C$3:$C$13)</f>
        <v>13</v>
      </c>
      <c r="D10" s="114"/>
      <c r="E10" s="114" t="str">
        <f t="shared" si="4"/>
        <v>homeloss</v>
      </c>
      <c r="F10" s="114" t="str">
        <f t="shared" si="5"/>
        <v>Away win</v>
      </c>
      <c r="H10" s="97" t="s">
        <v>94</v>
      </c>
      <c r="I10" s="101">
        <f>SUM('HOME  (3)'!C3:C7)</f>
        <v>3</v>
      </c>
      <c r="J10" s="101">
        <f>SUM('AWAY (2)'!C3:C7)</f>
        <v>9</v>
      </c>
      <c r="K10" s="101"/>
      <c r="L10" s="101" t="str">
        <f>IF(I10&gt;J10,"Home Win","home loss")</f>
        <v>home loss</v>
      </c>
      <c r="M10" s="101" t="str">
        <f t="shared" si="7"/>
        <v>Away win</v>
      </c>
    </row>
    <row r="11" spans="1:40" ht="14.25" customHeight="1">
      <c r="A11" s="112" t="s">
        <v>95</v>
      </c>
      <c r="B11" s="116">
        <f>IFERROR(B15/B10,0)</f>
        <v>2.1666666666666665</v>
      </c>
      <c r="C11" s="116">
        <f>IFERROR(C15/C10,0)</f>
        <v>0.84615384615384615</v>
      </c>
      <c r="D11" s="114"/>
      <c r="E11" s="114" t="str">
        <f t="shared" si="4"/>
        <v>Home win</v>
      </c>
      <c r="F11" s="114" t="str">
        <f t="shared" si="5"/>
        <v>away loss</v>
      </c>
      <c r="H11" s="97" t="s">
        <v>95</v>
      </c>
      <c r="I11" s="101">
        <f>IFERROR(I15/I10,0)</f>
        <v>4.666666666666667</v>
      </c>
      <c r="J11" s="141">
        <f>IFERROR(J15/J10,0)</f>
        <v>0.33333333333333331</v>
      </c>
      <c r="K11" s="101"/>
      <c r="L11" s="101" t="str">
        <f t="shared" si="6"/>
        <v>Home Win</v>
      </c>
      <c r="M11" s="101" t="str">
        <f t="shared" si="7"/>
        <v>away loss</v>
      </c>
    </row>
    <row r="12" spans="1:40" ht="14.25" customHeight="1">
      <c r="A12" s="112" t="s">
        <v>96</v>
      </c>
      <c r="B12" s="112">
        <f>B15-B10</f>
        <v>14</v>
      </c>
      <c r="C12" s="114">
        <f>C9-C10</f>
        <v>11</v>
      </c>
      <c r="D12" s="114"/>
      <c r="E12" s="114" t="str">
        <f t="shared" si="4"/>
        <v>Home win</v>
      </c>
      <c r="F12" s="114" t="str">
        <f t="shared" si="5"/>
        <v>away loss</v>
      </c>
      <c r="H12" s="97" t="s">
        <v>96</v>
      </c>
      <c r="I12" s="101">
        <f>I15-I10</f>
        <v>11</v>
      </c>
      <c r="J12" s="101">
        <f>J15-J10</f>
        <v>-6</v>
      </c>
      <c r="K12" s="101"/>
      <c r="L12" s="101" t="str">
        <f t="shared" si="6"/>
        <v>Home Win</v>
      </c>
      <c r="M12" s="101" t="str">
        <f t="shared" si="7"/>
        <v>away loss</v>
      </c>
    </row>
    <row r="13" spans="1:40" ht="14.25" customHeight="1">
      <c r="A13" s="112" t="s">
        <v>97</v>
      </c>
      <c r="B13" s="112">
        <f>'HOME  (3)'!P38</f>
        <v>1</v>
      </c>
      <c r="C13" s="114">
        <f>'HOME  (3)'!P39</f>
        <v>2</v>
      </c>
      <c r="D13" s="114"/>
      <c r="E13" s="114" t="str">
        <f t="shared" si="4"/>
        <v>homeloss</v>
      </c>
      <c r="F13" s="114" t="str">
        <f t="shared" si="5"/>
        <v>Away win</v>
      </c>
      <c r="H13" s="97" t="s">
        <v>97</v>
      </c>
      <c r="I13" s="101">
        <f>'HOME  (3)'!P38</f>
        <v>1</v>
      </c>
      <c r="J13" s="101">
        <f>'HOME  (3)'!P39</f>
        <v>2</v>
      </c>
      <c r="K13" s="101"/>
      <c r="L13" s="101" t="str">
        <f t="shared" si="6"/>
        <v>home loss</v>
      </c>
      <c r="M13" s="101" t="str">
        <f t="shared" si="7"/>
        <v>Away win</v>
      </c>
      <c r="AK13" s="105"/>
      <c r="AL13" s="105"/>
      <c r="AM13" s="105"/>
      <c r="AN13" s="105"/>
    </row>
    <row r="14" spans="1:40" ht="14.25" customHeight="1">
      <c r="A14" s="112" t="s">
        <v>98</v>
      </c>
      <c r="B14" s="112">
        <f>'HOME  (3)'!O38</f>
        <v>2</v>
      </c>
      <c r="C14" s="114">
        <f>'AWAY (2)'!D39</f>
        <v>0</v>
      </c>
      <c r="D14" s="114"/>
      <c r="E14" s="114" t="str">
        <f t="shared" si="4"/>
        <v>Home win</v>
      </c>
      <c r="F14" s="114" t="str">
        <f t="shared" si="5"/>
        <v>away loss</v>
      </c>
      <c r="H14" s="97" t="s">
        <v>98</v>
      </c>
      <c r="I14" s="101">
        <f>'HOME  (3)'!O38</f>
        <v>2</v>
      </c>
      <c r="J14" s="101">
        <f>'HOME  (3)'!O38</f>
        <v>2</v>
      </c>
      <c r="K14" s="101"/>
      <c r="L14" s="101" t="str">
        <f t="shared" si="6"/>
        <v>home loss</v>
      </c>
      <c r="M14" s="101" t="str">
        <f t="shared" si="7"/>
        <v>away loss</v>
      </c>
      <c r="P14" t="s">
        <v>258</v>
      </c>
      <c r="AM14" s="105"/>
      <c r="AN14" s="105"/>
    </row>
    <row r="15" spans="1:40" ht="14.25" customHeight="1">
      <c r="A15" s="112" t="s">
        <v>99</v>
      </c>
      <c r="B15" s="114">
        <f>'HOME  (3)'!D20</f>
        <v>26</v>
      </c>
      <c r="C15" s="114">
        <f>'AWAY (2)'!$B$14</f>
        <v>11</v>
      </c>
      <c r="D15" s="114"/>
      <c r="E15" s="114" t="str">
        <f t="shared" si="4"/>
        <v>Home win</v>
      </c>
      <c r="F15" s="114" t="str">
        <f t="shared" si="5"/>
        <v>away loss</v>
      </c>
      <c r="H15" s="97" t="s">
        <v>99</v>
      </c>
      <c r="I15" s="101">
        <f>SUM('HOME  (3)'!B3:B7)</f>
        <v>14</v>
      </c>
      <c r="J15" s="101">
        <f>SUM('AWAY (2)'!B3:B7)</f>
        <v>3</v>
      </c>
      <c r="K15" s="101"/>
      <c r="L15" s="101" t="str">
        <f t="shared" si="6"/>
        <v>Home Win</v>
      </c>
      <c r="M15" s="101" t="str">
        <f t="shared" si="7"/>
        <v>away loss</v>
      </c>
      <c r="P15" t="s">
        <v>318</v>
      </c>
      <c r="AM15" s="109"/>
      <c r="AN15" s="109"/>
    </row>
    <row r="16" spans="1:40" ht="14.25" customHeight="1">
      <c r="A16" s="112" t="s">
        <v>12</v>
      </c>
      <c r="B16" s="114">
        <f>'HOME  (3)'!$L$14</f>
        <v>8</v>
      </c>
      <c r="C16" s="114">
        <f>'AWAY (2)'!$L$14</f>
        <v>5</v>
      </c>
      <c r="D16" s="114"/>
      <c r="E16" s="114" t="str">
        <f t="shared" si="4"/>
        <v>Home win</v>
      </c>
      <c r="F16" s="114" t="str">
        <f t="shared" si="5"/>
        <v>away loss</v>
      </c>
      <c r="H16" s="97" t="s">
        <v>12</v>
      </c>
      <c r="I16" s="101">
        <f>SUM('HOME  (3)'!L3:L7)</f>
        <v>3</v>
      </c>
      <c r="J16" s="101">
        <f>SUM('AWAY (2)'!L3:L7)</f>
        <v>2</v>
      </c>
      <c r="K16" s="101"/>
      <c r="L16" s="101" t="str">
        <f t="shared" si="6"/>
        <v>Home Win</v>
      </c>
      <c r="M16" s="101" t="str">
        <f t="shared" si="7"/>
        <v>away loss</v>
      </c>
      <c r="P16" t="s">
        <v>319</v>
      </c>
      <c r="AM16" s="109"/>
      <c r="AN16" s="110"/>
    </row>
    <row r="17" spans="1:40" ht="14.25" customHeight="1">
      <c r="A17" s="112" t="s">
        <v>100</v>
      </c>
      <c r="B17" s="113">
        <f>B16/11</f>
        <v>0.72727272727272729</v>
      </c>
      <c r="C17" s="113">
        <f>C16/11</f>
        <v>0.45454545454545453</v>
      </c>
      <c r="D17" s="113">
        <f>PREDICTION!$B17*PREDICTION!$C17</f>
        <v>0.33057851239669422</v>
      </c>
      <c r="E17" s="114" t="str">
        <f>IF(B17&gt;C17,"Home win","homeloss")</f>
        <v>Home win</v>
      </c>
      <c r="F17" s="114" t="str">
        <f t="shared" si="5"/>
        <v>away loss</v>
      </c>
      <c r="H17" s="97" t="s">
        <v>100</v>
      </c>
      <c r="I17" s="102">
        <f>I16/5</f>
        <v>0.6</v>
      </c>
      <c r="J17" s="102">
        <f>J16/5</f>
        <v>0.4</v>
      </c>
      <c r="K17" s="102">
        <f>AVERAGE(I17:J17)</f>
        <v>0.5</v>
      </c>
      <c r="L17" s="101" t="str">
        <f t="shared" si="6"/>
        <v>Home Win</v>
      </c>
      <c r="M17" s="101" t="str">
        <f t="shared" si="7"/>
        <v>away loss</v>
      </c>
      <c r="AM17" s="109"/>
      <c r="AN17" s="110"/>
    </row>
    <row r="18" spans="1:40" ht="14.25" customHeight="1">
      <c r="A18" s="112" t="s">
        <v>33</v>
      </c>
      <c r="B18" s="113">
        <f>'HOME  (3)'!X10</f>
        <v>1.1000000000000001</v>
      </c>
      <c r="C18" s="113">
        <f>'AWAY (2)'!R21</f>
        <v>0.81818181818181823</v>
      </c>
      <c r="D18" s="113">
        <f>PREDICTION!$B18*PREDICTION!$C18</f>
        <v>0.90000000000000013</v>
      </c>
      <c r="E18" s="114" t="str">
        <f t="shared" si="4"/>
        <v>Home win</v>
      </c>
      <c r="F18" s="114" t="str">
        <f t="shared" si="5"/>
        <v>away loss</v>
      </c>
      <c r="H18" s="97" t="s">
        <v>33</v>
      </c>
      <c r="I18" s="138">
        <f>'HOME  (3)'!X23</f>
        <v>1</v>
      </c>
      <c r="J18" s="138">
        <f>'AWAY (2)'!U21</f>
        <v>0.8</v>
      </c>
      <c r="K18" s="102">
        <f>AVERAGE(I18:J18)</f>
        <v>0.9</v>
      </c>
      <c r="L18" s="101" t="str">
        <f t="shared" si="6"/>
        <v>Home Win</v>
      </c>
      <c r="M18" s="101" t="str">
        <f t="shared" si="7"/>
        <v>away loss</v>
      </c>
      <c r="AM18" s="109"/>
      <c r="AN18" s="110"/>
    </row>
    <row r="19" spans="1:40" ht="14.25" customHeight="1">
      <c r="A19" s="112" t="s">
        <v>101</v>
      </c>
      <c r="B19" s="113">
        <f>'HOME  (3)'!X11</f>
        <v>1.1000000000000001</v>
      </c>
      <c r="C19" s="113">
        <f>'AWAY (2)'!R22</f>
        <v>0.63636363636363635</v>
      </c>
      <c r="D19" s="113">
        <f>PREDICTION!$B19*PREDICTION!$C19</f>
        <v>0.70000000000000007</v>
      </c>
      <c r="E19" s="114" t="str">
        <f t="shared" si="4"/>
        <v>Home win</v>
      </c>
      <c r="F19" s="114" t="str">
        <f t="shared" si="5"/>
        <v>away loss</v>
      </c>
      <c r="H19" s="97" t="s">
        <v>101</v>
      </c>
      <c r="I19" s="102">
        <f>'HOME  (3)'!X24</f>
        <v>1</v>
      </c>
      <c r="J19" s="102">
        <f>'AWAY (2)'!U22</f>
        <v>0.60000000000000009</v>
      </c>
      <c r="K19" s="102">
        <f>AVERAGE(I19:J19)</f>
        <v>0.8</v>
      </c>
      <c r="L19" s="101" t="str">
        <f t="shared" si="6"/>
        <v>Home Win</v>
      </c>
      <c r="M19" s="101" t="str">
        <f t="shared" si="7"/>
        <v>away loss</v>
      </c>
      <c r="AM19" s="109"/>
      <c r="AN19" s="110"/>
    </row>
    <row r="20" spans="1:40" ht="14.25" customHeight="1">
      <c r="A20" s="112" t="s">
        <v>34</v>
      </c>
      <c r="B20" s="113">
        <f>'HOME  (3)'!X12</f>
        <v>0.6</v>
      </c>
      <c r="C20" s="113">
        <f>'AWAY (2)'!R23</f>
        <v>0.36363636363636365</v>
      </c>
      <c r="D20" s="113">
        <f>PREDICTION!$B20*PREDICTION!$C20</f>
        <v>0.21818181818181817</v>
      </c>
      <c r="E20" s="114" t="str">
        <f t="shared" si="4"/>
        <v>Home win</v>
      </c>
      <c r="F20" s="114" t="str">
        <f t="shared" si="5"/>
        <v>away loss</v>
      </c>
      <c r="H20" s="97" t="s">
        <v>102</v>
      </c>
      <c r="I20" s="102">
        <f>'HOME  (3)'!X25</f>
        <v>0.4</v>
      </c>
      <c r="J20" s="102">
        <f>'AWAY (2)'!U23</f>
        <v>0.4</v>
      </c>
      <c r="K20" s="102">
        <f>AVERAGE(I20:J20)</f>
        <v>0.4</v>
      </c>
      <c r="L20" s="101" t="str">
        <f t="shared" si="6"/>
        <v>home loss</v>
      </c>
      <c r="M20" s="101" t="str">
        <f t="shared" si="7"/>
        <v>away loss</v>
      </c>
      <c r="AM20" s="109"/>
      <c r="AN20" s="110"/>
    </row>
    <row r="21" spans="1:40" ht="14.25" customHeight="1">
      <c r="A21" s="112" t="s">
        <v>103</v>
      </c>
      <c r="B21" s="119">
        <f>'HOME  (3)'!X13</f>
        <v>0.3</v>
      </c>
      <c r="C21" s="113">
        <f>'AWAY (2)'!R24</f>
        <v>0.27272727272727271</v>
      </c>
      <c r="D21" s="113">
        <f>PREDICTION!$B21*PREDICTION!$C21</f>
        <v>8.1818181818181804E-2</v>
      </c>
      <c r="E21" s="114" t="str">
        <f t="shared" si="4"/>
        <v>Home win</v>
      </c>
      <c r="F21" s="114" t="str">
        <f t="shared" si="5"/>
        <v>away loss</v>
      </c>
      <c r="H21" s="97" t="s">
        <v>35</v>
      </c>
      <c r="I21" s="102">
        <f>'HOME  (3)'!X26</f>
        <v>0.2</v>
      </c>
      <c r="J21" s="102">
        <f>'AWAY (2)'!U24</f>
        <v>0.4</v>
      </c>
      <c r="K21" s="102">
        <f>AVERAGE(I21:J21)</f>
        <v>0.30000000000000004</v>
      </c>
      <c r="L21" s="101" t="str">
        <f t="shared" si="6"/>
        <v>home loss</v>
      </c>
      <c r="M21" s="101" t="str">
        <f t="shared" si="7"/>
        <v>Away win</v>
      </c>
      <c r="AM21" s="111"/>
      <c r="AN21" s="109"/>
    </row>
    <row r="22" spans="1:40" ht="14.25" customHeight="1">
      <c r="A22" s="112" t="s">
        <v>104</v>
      </c>
      <c r="B22" s="112" t="str">
        <f>IF('Data entry'!K18&gt;55%,"low",IF('Data entry'!K18&lt;40%,"high","mild"))</f>
        <v>low</v>
      </c>
      <c r="C22" s="112" t="str">
        <f>IF('Data entry'!L18&gt;55%,"low",IF('Data entry'!L18&lt;40%,"high","mild"))</f>
        <v>mild</v>
      </c>
      <c r="D22" s="114"/>
      <c r="E22" s="114"/>
      <c r="F22" s="114"/>
      <c r="H22" s="97" t="s">
        <v>104</v>
      </c>
      <c r="I22" s="101" t="str">
        <f>PREDICTION!$B22</f>
        <v>low</v>
      </c>
      <c r="J22" s="101" t="str">
        <f>PREDICTION!$C22</f>
        <v>mild</v>
      </c>
      <c r="K22" s="101"/>
      <c r="L22" s="101"/>
      <c r="M22" s="101"/>
      <c r="AM22" s="109"/>
      <c r="AN22" s="110"/>
    </row>
    <row r="23" spans="1:40" ht="14.25" customHeight="1">
      <c r="A23" s="112" t="s">
        <v>105</v>
      </c>
      <c r="B23" s="112">
        <f>'Data entry'!K16</f>
        <v>22</v>
      </c>
      <c r="C23" s="112">
        <f>'Data entry'!L16</f>
        <v>19</v>
      </c>
      <c r="D23" s="114"/>
      <c r="E23" s="114"/>
      <c r="F23" s="114"/>
      <c r="H23" s="97" t="s">
        <v>105</v>
      </c>
      <c r="I23" s="101">
        <f>PREDICTION!$B23</f>
        <v>22</v>
      </c>
      <c r="J23" s="101">
        <f>PREDICTION!$C23</f>
        <v>19</v>
      </c>
      <c r="K23" s="101"/>
      <c r="L23" s="101"/>
      <c r="M23" s="101"/>
      <c r="AM23" s="109"/>
      <c r="AN23" s="110"/>
    </row>
    <row r="24" spans="1:40" ht="14.25" customHeight="1">
      <c r="A24" s="112" t="s">
        <v>106</v>
      </c>
      <c r="B24" s="112">
        <f>COUNTIF(E3:E21,"Home win")</f>
        <v>14</v>
      </c>
      <c r="C24" s="112">
        <f>COUNTIF(F3:F21,"Away win")</f>
        <v>5</v>
      </c>
      <c r="D24" s="114"/>
      <c r="E24" s="114"/>
      <c r="F24" s="114"/>
      <c r="H24" s="97" t="s">
        <v>106</v>
      </c>
      <c r="I24" s="101">
        <f>COUNTIF(L3:L21,"Home Win")</f>
        <v>11</v>
      </c>
      <c r="J24" s="101">
        <f>COUNTIF(M3:M21,"Away win")</f>
        <v>5</v>
      </c>
      <c r="K24" s="101"/>
      <c r="L24" s="101"/>
      <c r="M24" s="101"/>
      <c r="AM24" s="109"/>
      <c r="AN24" s="110"/>
    </row>
    <row r="25" spans="1:40" ht="14.25" customHeight="1">
      <c r="A25" s="112" t="s">
        <v>107</v>
      </c>
      <c r="B25" s="112">
        <f>'HOME  (3)'!$G$44</f>
        <v>2</v>
      </c>
      <c r="C25" s="112">
        <f>'HOME  (3)'!$G$44</f>
        <v>2</v>
      </c>
      <c r="D25" s="113">
        <f>PREDICTION!$B25/5</f>
        <v>0.4</v>
      </c>
      <c r="E25" s="114"/>
      <c r="F25" s="114"/>
      <c r="H25" s="97" t="s">
        <v>107</v>
      </c>
      <c r="I25" s="101">
        <f>'HOME  (3)'!$G$44</f>
        <v>2</v>
      </c>
      <c r="J25" s="101"/>
      <c r="K25" s="102">
        <f>I25/5</f>
        <v>0.4</v>
      </c>
      <c r="L25" s="101"/>
      <c r="M25" s="101"/>
      <c r="AM25" s="105"/>
      <c r="AN25" s="105"/>
    </row>
    <row r="26" spans="1:40" ht="14.25" customHeight="1">
      <c r="A26" s="120" t="s">
        <v>108</v>
      </c>
      <c r="B26" s="121">
        <f>(COUNTIF('HOME  (3)'!$C$3:$C$13,0))/C27</f>
        <v>0.18181818181818182</v>
      </c>
      <c r="C26" s="121">
        <f>(COUNTIF('AWAY (2)'!C3:C13,0))/C27</f>
        <v>0.36363636363636365</v>
      </c>
      <c r="D26" s="105"/>
      <c r="E26" s="105"/>
      <c r="F26" s="105"/>
      <c r="H26" s="103" t="s">
        <v>108</v>
      </c>
      <c r="I26" s="104">
        <f>(COUNTIF('HOME  (3)'!C3:C7,0))/5</f>
        <v>0.4</v>
      </c>
      <c r="J26" s="104">
        <f>(COUNTIF('AWAY (2)'!C3:C7,0))/5</f>
        <v>0.2</v>
      </c>
      <c r="K26" s="101"/>
      <c r="L26" s="101"/>
      <c r="M26" s="101"/>
      <c r="AM26" s="105" t="s">
        <v>274</v>
      </c>
      <c r="AN26" s="105"/>
    </row>
    <row r="27" spans="1:40" ht="14.25" customHeight="1">
      <c r="A27" s="105" t="s">
        <v>270</v>
      </c>
      <c r="B27" s="105">
        <f>COUNTA('HOME  (3)'!B3:B13)</f>
        <v>11</v>
      </c>
      <c r="C27" s="114">
        <f>COUNTA('AWAY (2)'!B3:B13)</f>
        <v>11</v>
      </c>
      <c r="D27" s="114"/>
      <c r="E27" s="114"/>
      <c r="F27" s="114"/>
      <c r="H27" s="97"/>
      <c r="I27" s="101"/>
      <c r="J27" s="101"/>
      <c r="K27" s="101"/>
      <c r="L27" s="101"/>
      <c r="M27" s="101"/>
    </row>
    <row r="28" spans="1:40" ht="14.25" customHeight="1">
      <c r="A28" s="112"/>
      <c r="B28" s="114"/>
      <c r="C28" s="114"/>
      <c r="D28" s="114"/>
      <c r="E28" s="114"/>
      <c r="F28" s="114"/>
      <c r="H28" s="97"/>
      <c r="I28" s="101"/>
      <c r="J28" s="101"/>
      <c r="K28" s="101"/>
      <c r="L28" s="101"/>
      <c r="M28" s="101"/>
    </row>
    <row r="29" spans="1:40" ht="14.25" customHeight="1">
      <c r="A29" s="112"/>
      <c r="B29" s="119"/>
      <c r="C29" s="122"/>
      <c r="D29" s="114"/>
      <c r="E29" s="114"/>
      <c r="F29" s="114"/>
      <c r="H29" s="97"/>
      <c r="I29" s="102"/>
      <c r="J29" s="102"/>
      <c r="K29" s="101"/>
      <c r="L29" s="101"/>
      <c r="M29" s="101"/>
    </row>
    <row r="30" spans="1:40" ht="14.25" customHeight="1">
      <c r="A30" s="112"/>
      <c r="B30" s="123"/>
      <c r="C30" s="124"/>
      <c r="D30" s="114"/>
      <c r="E30" s="114"/>
      <c r="F30" s="114"/>
      <c r="H30" s="97"/>
      <c r="I30" s="101"/>
      <c r="J30" s="101"/>
      <c r="K30" s="101"/>
      <c r="L30" s="101"/>
      <c r="M30" s="101"/>
    </row>
    <row r="31" spans="1:40" ht="14.25" customHeight="1"/>
    <row r="32" spans="1:40" ht="14.25" customHeight="1"/>
    <row r="33" spans="1:13" ht="14.25" customHeight="1"/>
    <row r="34" spans="1:13" ht="14.25" customHeight="1">
      <c r="B34" s="125" t="s">
        <v>316</v>
      </c>
      <c r="C34" s="126"/>
      <c r="D34" s="127" t="s">
        <v>271</v>
      </c>
      <c r="E34" s="126" t="s">
        <v>120</v>
      </c>
      <c r="F34" s="128" t="s">
        <v>273</v>
      </c>
      <c r="G34" s="129" t="s">
        <v>21</v>
      </c>
    </row>
    <row r="35" spans="1:13" ht="14.25" customHeight="1">
      <c r="B35" s="130" t="s">
        <v>121</v>
      </c>
      <c r="C35" s="131" t="str">
        <f>IFERROR(IF(L41-L40&gt;=4,"Away or draw",IF(L40-L41&gt;=4,"Home or draw","NA")),0)</f>
        <v>NA</v>
      </c>
      <c r="D35" s="132" t="str">
        <f>IFERROR(IF(AND(L40-L41&gt;=0,L40-L41&lt;=3),"Home or away",IF(AND(L41-L40&gt;=0,L41-L40&lt;=3),"Away or Home","NA")),0)</f>
        <v>Home or away</v>
      </c>
      <c r="E35" s="131" t="str">
        <f>IFERROR(IF(AND(L40&gt;=7,L41&gt;=7),"YES","NO"),0)</f>
        <v>NO</v>
      </c>
      <c r="F35" s="133" t="str">
        <f>IFERROR(IF(AND(OR(B5&gt;1,C5&gt;1),OR(B3&gt;=0.55,C3&gt;=0.55),AND(B18&gt;=0.8,C18&gt;=0.8),OR(B4&gt;=1.2,C4&gt;=1.2)),"Yes","No"),)</f>
        <v>Yes</v>
      </c>
      <c r="G35" s="134" t="str">
        <f>IFERROR(IF(AND(AND(B3&gt;=0.55,C3&gt;=0.55),AND(B4&gt;1.2,C4&gt;1.2),OR(B5&gt;=1,C5&gt;=1),OR(B17&gt;=0.55,C17&gt;=0.55),AND(B19&gt;=0.75,C19&gt;=0.75)),"Yes","No"),0)</f>
        <v>No</v>
      </c>
    </row>
    <row r="36" spans="1:13" ht="14.25" customHeight="1">
      <c r="B36" s="135" t="s">
        <v>122</v>
      </c>
      <c r="C36" s="136" t="str">
        <f>IF(L42-L43&gt;=4,"Home or draw",IF(L43-L42&gt;=4,"Away or draw","NA"))</f>
        <v>Home or draw</v>
      </c>
      <c r="D36" s="94" t="str">
        <f>IF(AND(L42-L43&gt;=0,L42-L43&lt;=3),"Home or away",IF(AND(L43-L42&gt;=0,L43-L42&lt;=3),"Away or Home","NA"))</f>
        <v>NA</v>
      </c>
      <c r="E36" s="136" t="str">
        <f>IF(AND(L42&gt;=7,L43&gt;=7),"YES","NO")</f>
        <v>NO</v>
      </c>
      <c r="F36" s="137" t="str">
        <f>IF(AND(OR(I5&gt;=1,J5&gt;=1), OR(I3&gt;0.55,J3&gt;0.55), OR(I4&gt;=1.2, J4&gt;=1.2),OR(I18&gt;=0.8,J18&gt;=0.8)), "Yes", "No")</f>
        <v>Yes</v>
      </c>
      <c r="G36" s="95" t="str">
        <f>IF(AND(AND(I3&gt;0.5,J3&gt;0.5),AND(I4&gt;=1.5,J4&gt;=1.5),OR(I5&gt;=1,J5&gt;=1),AND(I19&gt;0.79,J19&gt;0.79),OR(I17&gt;0.55,J17&gt;0.55)),"Yes","No")</f>
        <v>No</v>
      </c>
    </row>
    <row r="37" spans="1:13" ht="14.25" customHeight="1"/>
    <row r="38" spans="1:13" ht="14.25" customHeight="1"/>
    <row r="39" spans="1:13" ht="14.25" customHeight="1">
      <c r="A39" s="6" t="s">
        <v>317</v>
      </c>
      <c r="B39" s="106" t="s">
        <v>87</v>
      </c>
      <c r="C39" s="106" t="s">
        <v>109</v>
      </c>
      <c r="D39" s="106" t="s">
        <v>110</v>
      </c>
      <c r="E39" s="106" t="s">
        <v>111</v>
      </c>
      <c r="F39" s="106" t="s">
        <v>112</v>
      </c>
      <c r="G39" s="106" t="s">
        <v>113</v>
      </c>
      <c r="H39" s="106" t="s">
        <v>95</v>
      </c>
      <c r="I39" s="106" t="s">
        <v>114</v>
      </c>
      <c r="J39" s="106" t="s">
        <v>115</v>
      </c>
      <c r="K39" s="106" t="s">
        <v>12</v>
      </c>
      <c r="L39" s="6" t="s">
        <v>38</v>
      </c>
    </row>
    <row r="40" spans="1:13" ht="14.25" customHeight="1">
      <c r="A40" s="107" t="s">
        <v>116</v>
      </c>
      <c r="B40" s="107">
        <f>IF(B3&gt;=0.55,1,0)</f>
        <v>1</v>
      </c>
      <c r="C40" s="107">
        <f>IF(B4&gt;=1.5,1,0)</f>
        <v>1</v>
      </c>
      <c r="D40" s="107">
        <f>IF(B5&lt;=1.5,1,0)</f>
        <v>1</v>
      </c>
      <c r="E40" s="107">
        <f>IF(B6&gt;=7,1,0)</f>
        <v>0</v>
      </c>
      <c r="F40" s="107">
        <f>IF(A7&lt;=4,1,0)</f>
        <v>0</v>
      </c>
      <c r="G40" s="107">
        <f>IF(B8&gt;=3,1,0)</f>
        <v>1</v>
      </c>
      <c r="H40" s="107">
        <f>IF(B11&gt;=1,1,0)</f>
        <v>1</v>
      </c>
      <c r="I40" s="107">
        <f>IF(B12&gt;=15,1,0)</f>
        <v>0</v>
      </c>
      <c r="J40" s="107">
        <f>IF(B13&gt;=2,1,0)</f>
        <v>0</v>
      </c>
      <c r="K40" s="107">
        <f>IF(B17&gt;=0.6,1,0)</f>
        <v>1</v>
      </c>
      <c r="L40" s="41">
        <f>SUM(B40:K40)</f>
        <v>6</v>
      </c>
      <c r="M40" s="108" t="s">
        <v>315</v>
      </c>
    </row>
    <row r="41" spans="1:13" ht="14.25" customHeight="1">
      <c r="A41" s="107" t="s">
        <v>117</v>
      </c>
      <c r="B41" s="107">
        <f>IF(C3&gt;=0.55,1,0)</f>
        <v>0</v>
      </c>
      <c r="C41" s="107">
        <f>IFERROR(IF(C4&gt;=1.5,1,0),"No Data")</f>
        <v>1</v>
      </c>
      <c r="D41" s="107">
        <f>IF(C5&lt;=1.5,1,0)</f>
        <v>1</v>
      </c>
      <c r="E41" s="107">
        <f>IF(C6&gt;=7,1,0)</f>
        <v>0</v>
      </c>
      <c r="F41" s="107">
        <f>IF(B7&lt;=4,1,0)</f>
        <v>1</v>
      </c>
      <c r="G41" s="107">
        <f>IF(C8&gt;=3,1,0)</f>
        <v>1</v>
      </c>
      <c r="H41" s="107">
        <f>IF(C11&gt;=1,1,0)</f>
        <v>0</v>
      </c>
      <c r="I41" s="107">
        <f>IF(C12&gt;=15,1,0)</f>
        <v>0</v>
      </c>
      <c r="J41" s="107">
        <f>IF(C13&gt;=2,1,0)</f>
        <v>1</v>
      </c>
      <c r="K41" s="107">
        <f>IF(C17&gt;=0.6,1,0)</f>
        <v>0</v>
      </c>
      <c r="L41" s="41">
        <f>SUM(B41:K41)</f>
        <v>5</v>
      </c>
      <c r="M41" s="108" t="s">
        <v>315</v>
      </c>
    </row>
    <row r="42" spans="1:13" ht="14.25" customHeight="1">
      <c r="A42" s="107" t="s">
        <v>118</v>
      </c>
      <c r="B42" s="107">
        <f>IF(I3&gt;=0.55,1,0)</f>
        <v>1</v>
      </c>
      <c r="C42" s="107">
        <f>IF(I4&gt;=1.5,1,0)</f>
        <v>1</v>
      </c>
      <c r="D42" s="107">
        <f>IF(I5&lt;=1.5,1,0)</f>
        <v>1</v>
      </c>
      <c r="E42" s="107">
        <f>IF(I6&gt;=3,1,0)</f>
        <v>1</v>
      </c>
      <c r="F42" s="107">
        <f>IF(I7&lt;=2,1,0)</f>
        <v>1</v>
      </c>
      <c r="G42" s="107">
        <f>IF(I8&gt;=1,1,0)</f>
        <v>1</v>
      </c>
      <c r="H42" s="107">
        <f>IF(I11&gt;=1,1,0)</f>
        <v>1</v>
      </c>
      <c r="I42" s="107">
        <f>IF(I12&gt;=5,1,0)</f>
        <v>1</v>
      </c>
      <c r="J42" s="107">
        <f>IF(I13&gt;=2,1,0)</f>
        <v>0</v>
      </c>
      <c r="K42" s="107">
        <f>IF(I17&gt;=0.6,1,0)</f>
        <v>1</v>
      </c>
      <c r="L42" s="41">
        <f>SUM(B42:K42)</f>
        <v>9</v>
      </c>
      <c r="M42" s="108" t="s">
        <v>315</v>
      </c>
    </row>
    <row r="43" spans="1:13" ht="14.25" customHeight="1">
      <c r="A43" s="107" t="s">
        <v>119</v>
      </c>
      <c r="B43" s="107">
        <f>IF(J3&gt;=0.55,1,0)</f>
        <v>0</v>
      </c>
      <c r="C43" s="107">
        <f>IF(J4&gt;=1.5,1,0)</f>
        <v>0</v>
      </c>
      <c r="D43" s="107">
        <f>IF(J5&lt;=1.5,1,0)</f>
        <v>0</v>
      </c>
      <c r="E43" s="107">
        <f>IF(J6&gt;=3,1,0)</f>
        <v>0</v>
      </c>
      <c r="F43" s="107">
        <f>IF(J7&lt;=2,1,0)</f>
        <v>0</v>
      </c>
      <c r="G43" s="107">
        <f>IF(J8&gt;=1,1,0)</f>
        <v>1</v>
      </c>
      <c r="H43" s="107">
        <f>IF(J11&gt;=1,1,0)</f>
        <v>0</v>
      </c>
      <c r="I43" s="107">
        <f>IF(J12&gt;=5,1,0)</f>
        <v>0</v>
      </c>
      <c r="J43" s="107">
        <f>IF(J13&gt;=2,1,0)</f>
        <v>1</v>
      </c>
      <c r="K43" s="107">
        <f>IF(J17&gt;=0.6,1,0)</f>
        <v>0</v>
      </c>
      <c r="L43" s="41">
        <f>SUM(B43:K43)</f>
        <v>2</v>
      </c>
      <c r="M43" s="108" t="s">
        <v>315</v>
      </c>
    </row>
    <row r="44" spans="1:13" ht="14.25" customHeight="1"/>
    <row r="45" spans="1:13" ht="14.25" customHeight="1"/>
    <row r="46" spans="1:13" ht="14.25" customHeight="1"/>
    <row r="47" spans="1:13" ht="14.25" customHeight="1"/>
    <row r="48" spans="1:13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honeticPr fontId="22" type="noConversion"/>
  <pageMargins left="0.7" right="0.7" top="0.75" bottom="0.75" header="0" footer="0"/>
  <pageSetup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D1000"/>
  <sheetViews>
    <sheetView topLeftCell="E1" zoomScale="118" zoomScaleNormal="79" workbookViewId="0">
      <selection activeCell="L18" sqref="L18"/>
    </sheetView>
  </sheetViews>
  <sheetFormatPr defaultColWidth="12.54296875" defaultRowHeight="15" customHeight="1"/>
  <cols>
    <col min="1" max="3" width="11" customWidth="1"/>
    <col min="4" max="4" width="11.7265625" customWidth="1"/>
    <col min="5" max="5" width="17.453125" customWidth="1"/>
    <col min="6" max="6" width="10.453125" customWidth="1"/>
    <col min="7" max="7" width="8.54296875" customWidth="1"/>
    <col min="8" max="8" width="8.54296875" style="42" customWidth="1"/>
    <col min="9" max="9" width="9.453125" customWidth="1"/>
    <col min="10" max="10" width="16.81640625" customWidth="1"/>
    <col min="11" max="11" width="12.1796875" customWidth="1"/>
    <col min="12" max="12" width="11.7265625" customWidth="1"/>
    <col min="13" max="13" width="20.81640625" customWidth="1"/>
    <col min="14" max="14" width="10.453125" style="42" customWidth="1"/>
    <col min="15" max="15" width="8.54296875" customWidth="1"/>
    <col min="16" max="17" width="13.453125" customWidth="1"/>
    <col min="18" max="18" width="17.453125" customWidth="1"/>
    <col min="19" max="19" width="14.7265625" customWidth="1"/>
    <col min="20" max="20" width="12" customWidth="1"/>
    <col min="21" max="21" width="12.1796875" customWidth="1"/>
    <col min="22" max="24" width="8.54296875" customWidth="1"/>
    <col min="25" max="25" width="16.7265625" customWidth="1"/>
    <col min="26" max="26" width="9.26953125" customWidth="1"/>
    <col min="27" max="30" width="8.54296875" customWidth="1"/>
  </cols>
  <sheetData>
    <row r="1" spans="2:30" ht="14.25" customHeight="1"/>
    <row r="2" spans="2:30" ht="14.25" customHeight="1">
      <c r="B2" s="41" t="s">
        <v>0</v>
      </c>
    </row>
    <row r="3" spans="2:30" ht="14.25" customHeight="1">
      <c r="B3" s="9" t="s">
        <v>127</v>
      </c>
      <c r="C3" s="9" t="s">
        <v>128</v>
      </c>
      <c r="D3" s="9" t="s">
        <v>506</v>
      </c>
      <c r="E3" s="87" t="s">
        <v>2</v>
      </c>
      <c r="P3" s="41" t="s">
        <v>26</v>
      </c>
    </row>
    <row r="4" spans="2:30" ht="14.25" customHeight="1">
      <c r="B4" s="168">
        <v>2</v>
      </c>
      <c r="C4" s="168">
        <v>0</v>
      </c>
      <c r="D4" s="168" t="s">
        <v>126</v>
      </c>
      <c r="I4" s="44" t="s">
        <v>129</v>
      </c>
      <c r="J4" s="43"/>
      <c r="K4" s="43"/>
      <c r="L4" s="43"/>
      <c r="M4" s="43"/>
      <c r="P4" s="9" t="s">
        <v>130</v>
      </c>
      <c r="Q4" s="9" t="s">
        <v>128</v>
      </c>
      <c r="R4" s="9" t="s">
        <v>240</v>
      </c>
    </row>
    <row r="5" spans="2:30" ht="14.25" customHeight="1">
      <c r="B5" s="169">
        <v>2</v>
      </c>
      <c r="C5" s="169">
        <v>1</v>
      </c>
      <c r="D5" s="169" t="s">
        <v>126</v>
      </c>
      <c r="I5" s="44" t="s">
        <v>0</v>
      </c>
      <c r="J5" s="44" t="s">
        <v>26</v>
      </c>
      <c r="K5" s="65" t="s">
        <v>36</v>
      </c>
      <c r="L5" s="65" t="s">
        <v>37</v>
      </c>
      <c r="M5" s="65" t="s">
        <v>131</v>
      </c>
      <c r="P5" s="168">
        <v>0</v>
      </c>
      <c r="Q5" s="168">
        <v>0</v>
      </c>
      <c r="R5" s="168" t="s">
        <v>125</v>
      </c>
      <c r="S5" s="167">
        <v>1</v>
      </c>
    </row>
    <row r="6" spans="2:30" ht="14.25" customHeight="1">
      <c r="B6" s="168">
        <v>1</v>
      </c>
      <c r="C6" s="168">
        <v>1</v>
      </c>
      <c r="D6" s="168" t="s">
        <v>125</v>
      </c>
      <c r="I6" s="45" t="s">
        <v>26</v>
      </c>
      <c r="J6" s="45" t="s">
        <v>0</v>
      </c>
      <c r="K6" s="46">
        <v>2</v>
      </c>
      <c r="L6" s="46">
        <v>2</v>
      </c>
      <c r="M6" s="65">
        <f>SUM(K6:L6)</f>
        <v>4</v>
      </c>
      <c r="P6" s="169">
        <v>2</v>
      </c>
      <c r="Q6" s="169">
        <v>2</v>
      </c>
      <c r="R6" s="169" t="s">
        <v>125</v>
      </c>
      <c r="S6" s="95">
        <v>2</v>
      </c>
      <c r="Y6" s="41"/>
    </row>
    <row r="7" spans="2:30" ht="14.25" customHeight="1">
      <c r="B7" s="169">
        <v>8</v>
      </c>
      <c r="C7" s="169">
        <v>0</v>
      </c>
      <c r="D7" s="169" t="s">
        <v>125</v>
      </c>
      <c r="I7" s="45" t="s">
        <v>26</v>
      </c>
      <c r="J7" s="45" t="s">
        <v>0</v>
      </c>
      <c r="K7" s="46">
        <v>1</v>
      </c>
      <c r="L7" s="46">
        <v>3</v>
      </c>
      <c r="M7" s="65">
        <f t="shared" ref="M7:M10" si="0">SUM(K7:L7)</f>
        <v>4</v>
      </c>
      <c r="P7" s="168">
        <v>0</v>
      </c>
      <c r="Q7" s="168">
        <v>2</v>
      </c>
      <c r="R7" s="168" t="s">
        <v>126</v>
      </c>
      <c r="S7" s="167">
        <v>3</v>
      </c>
    </row>
    <row r="8" spans="2:30" ht="14.25" customHeight="1">
      <c r="B8" s="168">
        <v>1</v>
      </c>
      <c r="C8" s="168">
        <v>1</v>
      </c>
      <c r="D8" s="168" t="s">
        <v>126</v>
      </c>
      <c r="I8" s="45" t="s">
        <v>0</v>
      </c>
      <c r="J8" s="45" t="s">
        <v>26</v>
      </c>
      <c r="K8" s="46">
        <v>0</v>
      </c>
      <c r="L8" s="46">
        <v>0</v>
      </c>
      <c r="M8" s="65">
        <f t="shared" si="0"/>
        <v>0</v>
      </c>
      <c r="P8" s="169">
        <v>0</v>
      </c>
      <c r="Q8" s="169">
        <v>1</v>
      </c>
      <c r="R8" s="169" t="s">
        <v>126</v>
      </c>
      <c r="S8" s="95">
        <v>4</v>
      </c>
    </row>
    <row r="9" spans="2:30" ht="14.25" customHeight="1">
      <c r="B9" s="169">
        <v>0</v>
      </c>
      <c r="C9" s="169">
        <v>2</v>
      </c>
      <c r="D9" s="169" t="s">
        <v>126</v>
      </c>
      <c r="I9" s="45" t="s">
        <v>0</v>
      </c>
      <c r="J9" s="45" t="s">
        <v>26</v>
      </c>
      <c r="K9" s="46">
        <v>0</v>
      </c>
      <c r="L9" s="46">
        <v>1</v>
      </c>
      <c r="M9" s="65">
        <f t="shared" si="0"/>
        <v>1</v>
      </c>
      <c r="P9" s="168">
        <v>1</v>
      </c>
      <c r="Q9" s="168">
        <v>4</v>
      </c>
      <c r="R9" s="168" t="s">
        <v>126</v>
      </c>
      <c r="S9" s="167">
        <v>5</v>
      </c>
      <c r="X9" s="6"/>
      <c r="Y9" s="41"/>
      <c r="Z9" s="31"/>
    </row>
    <row r="10" spans="2:30" ht="14.25" customHeight="1">
      <c r="B10" s="168">
        <v>2</v>
      </c>
      <c r="C10" s="168">
        <v>1</v>
      </c>
      <c r="D10" s="168" t="s">
        <v>125</v>
      </c>
      <c r="I10" s="45" t="s">
        <v>0</v>
      </c>
      <c r="J10" s="45" t="s">
        <v>26</v>
      </c>
      <c r="K10" s="46">
        <v>0</v>
      </c>
      <c r="L10" s="46">
        <v>2</v>
      </c>
      <c r="M10" s="65">
        <f t="shared" si="0"/>
        <v>2</v>
      </c>
      <c r="P10" s="169">
        <v>1</v>
      </c>
      <c r="Q10" s="169">
        <v>2</v>
      </c>
      <c r="R10" s="169" t="s">
        <v>125</v>
      </c>
      <c r="S10" s="95">
        <v>6</v>
      </c>
      <c r="X10" s="6"/>
      <c r="Y10" s="41"/>
      <c r="Z10" s="31"/>
    </row>
    <row r="11" spans="2:30" ht="14.25" customHeight="1">
      <c r="B11" s="169">
        <v>4</v>
      </c>
      <c r="C11" s="169">
        <v>1</v>
      </c>
      <c r="D11" s="169" t="s">
        <v>126</v>
      </c>
      <c r="P11" s="168">
        <v>1</v>
      </c>
      <c r="Q11" s="168">
        <v>1</v>
      </c>
      <c r="R11" s="168" t="s">
        <v>125</v>
      </c>
      <c r="S11" s="167">
        <v>7</v>
      </c>
      <c r="X11" s="6"/>
      <c r="Y11" s="41"/>
      <c r="Z11" s="31"/>
    </row>
    <row r="12" spans="2:30" ht="14.25" customHeight="1">
      <c r="B12" s="168">
        <v>1</v>
      </c>
      <c r="C12" s="168">
        <v>2</v>
      </c>
      <c r="D12" s="168" t="s">
        <v>126</v>
      </c>
      <c r="P12" s="169">
        <v>2</v>
      </c>
      <c r="Q12" s="169">
        <v>0</v>
      </c>
      <c r="R12" s="169" t="s">
        <v>125</v>
      </c>
      <c r="S12" s="95">
        <v>8</v>
      </c>
      <c r="X12" s="6"/>
      <c r="Y12" s="41"/>
      <c r="Z12" s="31"/>
      <c r="AA12" s="41"/>
      <c r="AB12" s="41"/>
      <c r="AC12" s="41"/>
      <c r="AD12" s="41"/>
    </row>
    <row r="13" spans="2:30" ht="14.25" customHeight="1">
      <c r="B13" s="169">
        <v>1</v>
      </c>
      <c r="C13" s="169">
        <v>1</v>
      </c>
      <c r="D13" s="169" t="s">
        <v>125</v>
      </c>
      <c r="P13" s="168">
        <v>3</v>
      </c>
      <c r="Q13" s="168">
        <v>1</v>
      </c>
      <c r="R13" s="168" t="s">
        <v>126</v>
      </c>
      <c r="S13" s="167">
        <v>9</v>
      </c>
      <c r="X13" s="6"/>
      <c r="Y13" s="41"/>
      <c r="Z13" s="31"/>
    </row>
    <row r="14" spans="2:30" ht="14.25" customHeight="1" thickBot="1">
      <c r="B14" s="168">
        <v>4</v>
      </c>
      <c r="C14" s="168">
        <v>2</v>
      </c>
      <c r="D14" s="168" t="s">
        <v>125</v>
      </c>
      <c r="J14" s="41" t="s">
        <v>132</v>
      </c>
      <c r="P14" s="169">
        <v>0</v>
      </c>
      <c r="Q14" s="169">
        <v>0</v>
      </c>
      <c r="R14" s="169" t="s">
        <v>125</v>
      </c>
      <c r="S14" s="95">
        <v>10</v>
      </c>
      <c r="X14" s="6"/>
      <c r="Y14" s="41"/>
      <c r="Z14" s="31"/>
    </row>
    <row r="15" spans="2:30" ht="14.25" customHeight="1" thickBot="1">
      <c r="B15" s="88">
        <f>COUNTIF(B4:B14, "&gt;0")</f>
        <v>10</v>
      </c>
      <c r="C15" s="89">
        <f>COUNTIF(C4:C14, "&gt;0")</f>
        <v>9</v>
      </c>
      <c r="D15" s="90"/>
      <c r="J15" s="9"/>
      <c r="K15" s="9" t="s">
        <v>0</v>
      </c>
      <c r="L15" s="9" t="s">
        <v>26</v>
      </c>
      <c r="P15" s="168">
        <v>1</v>
      </c>
      <c r="Q15" s="168">
        <v>0</v>
      </c>
      <c r="R15" s="168" t="s">
        <v>125</v>
      </c>
      <c r="S15" s="167">
        <v>11</v>
      </c>
      <c r="X15" s="6"/>
      <c r="Y15" s="41"/>
      <c r="Z15" s="31"/>
    </row>
    <row r="16" spans="2:30" ht="14.25" customHeight="1" thickBot="1">
      <c r="J16" s="9" t="s">
        <v>105</v>
      </c>
      <c r="K16" s="29">
        <v>22</v>
      </c>
      <c r="L16" s="27">
        <v>19</v>
      </c>
      <c r="P16" s="91">
        <f>COUNTIF(P5:P15, "&gt;0")</f>
        <v>7</v>
      </c>
      <c r="Q16" s="92">
        <f>COUNTIF(Q5:Q15, "&gt;0")</f>
        <v>7</v>
      </c>
      <c r="R16" s="93"/>
      <c r="S16" s="26"/>
      <c r="Z16" s="31"/>
    </row>
    <row r="17" spans="1:25" ht="14.25" customHeight="1">
      <c r="J17" s="9" t="s">
        <v>134</v>
      </c>
      <c r="K17" s="30">
        <v>5</v>
      </c>
      <c r="L17" s="28">
        <v>9</v>
      </c>
      <c r="P17" s="41" t="s">
        <v>133</v>
      </c>
    </row>
    <row r="18" spans="1:25" ht="14.25" customHeight="1">
      <c r="D18" s="41" t="s">
        <v>133</v>
      </c>
      <c r="J18" s="9" t="s">
        <v>135</v>
      </c>
      <c r="K18" s="32">
        <f>1-(K17/20)</f>
        <v>0.75</v>
      </c>
      <c r="L18" s="32">
        <f>1-(L17/20)</f>
        <v>0.55000000000000004</v>
      </c>
      <c r="Y18" s="41"/>
    </row>
    <row r="19" spans="1:25" ht="14.25" customHeight="1"/>
    <row r="20" spans="1:25" ht="14.25" customHeight="1"/>
    <row r="21" spans="1:25" ht="14.25" customHeight="1">
      <c r="V21" s="6"/>
      <c r="W21" s="41"/>
    </row>
    <row r="22" spans="1:25" ht="14.25" customHeight="1">
      <c r="V22" s="6"/>
      <c r="W22" s="41"/>
    </row>
    <row r="23" spans="1:25" ht="14.25" customHeight="1">
      <c r="A23" s="41"/>
      <c r="B23" s="41"/>
      <c r="O23" s="41"/>
      <c r="V23" s="6"/>
      <c r="W23" s="41"/>
    </row>
    <row r="24" spans="1:25" ht="14.25" customHeight="1">
      <c r="O24" s="41"/>
      <c r="V24" s="6"/>
      <c r="W24" s="41"/>
    </row>
    <row r="25" spans="1:25" ht="14.25" customHeight="1">
      <c r="O25" s="41"/>
      <c r="V25" s="6"/>
      <c r="W25" s="41"/>
    </row>
    <row r="26" spans="1:25" ht="14.25" customHeight="1">
      <c r="I26" s="65" t="s">
        <v>136</v>
      </c>
      <c r="J26" s="43"/>
      <c r="K26" s="43"/>
      <c r="L26" s="43"/>
      <c r="M26" s="43"/>
      <c r="O26" s="41"/>
      <c r="V26" s="6"/>
      <c r="W26" s="41"/>
    </row>
    <row r="27" spans="1:25" ht="14.25" customHeight="1">
      <c r="I27" s="65" t="s">
        <v>137</v>
      </c>
      <c r="J27" s="43"/>
      <c r="K27" s="65" t="s">
        <v>138</v>
      </c>
      <c r="L27" s="65" t="s">
        <v>139</v>
      </c>
      <c r="M27" s="43"/>
      <c r="O27" s="41"/>
      <c r="V27" s="6"/>
      <c r="W27" s="41"/>
    </row>
    <row r="28" spans="1:25" ht="14.25" customHeight="1">
      <c r="G28" s="41"/>
      <c r="I28" s="65" t="s">
        <v>140</v>
      </c>
      <c r="J28" s="43"/>
      <c r="K28" s="65">
        <v>1</v>
      </c>
      <c r="L28" s="65">
        <v>10</v>
      </c>
      <c r="M28" s="43"/>
      <c r="O28" s="41"/>
      <c r="W28" s="41"/>
    </row>
    <row r="29" spans="1:25" ht="14.25" customHeight="1">
      <c r="I29" s="65" t="s">
        <v>141</v>
      </c>
      <c r="J29" s="43"/>
      <c r="K29" s="65">
        <v>2</v>
      </c>
      <c r="L29" s="65">
        <v>9</v>
      </c>
      <c r="M29" s="43"/>
      <c r="O29" s="41"/>
    </row>
    <row r="30" spans="1:25" ht="14.25" customHeight="1">
      <c r="I30" s="65" t="s">
        <v>142</v>
      </c>
      <c r="J30" s="43"/>
      <c r="K30" s="65">
        <v>3</v>
      </c>
      <c r="L30" s="65">
        <v>8</v>
      </c>
      <c r="M30" s="43"/>
      <c r="O30" s="41"/>
    </row>
    <row r="31" spans="1:25" ht="14.25" customHeight="1">
      <c r="I31" s="65" t="s">
        <v>143</v>
      </c>
      <c r="J31" s="43"/>
      <c r="K31" s="65">
        <v>4</v>
      </c>
      <c r="L31" s="65">
        <v>7</v>
      </c>
      <c r="M31" s="43"/>
      <c r="O31" s="41"/>
    </row>
    <row r="32" spans="1:25" ht="14.25" customHeight="1">
      <c r="I32" s="65" t="s">
        <v>144</v>
      </c>
      <c r="J32" s="43"/>
      <c r="K32" s="65">
        <v>5</v>
      </c>
      <c r="L32" s="65">
        <v>6</v>
      </c>
      <c r="M32" s="43"/>
      <c r="O32" s="41"/>
    </row>
    <row r="33" spans="1:15" ht="14.25" customHeight="1">
      <c r="I33" s="65" t="s">
        <v>145</v>
      </c>
      <c r="J33" s="43"/>
      <c r="K33" s="65">
        <v>6</v>
      </c>
      <c r="L33" s="65">
        <v>5</v>
      </c>
      <c r="M33" s="43"/>
      <c r="O33" s="41"/>
    </row>
    <row r="34" spans="1:15" ht="14.25" customHeight="1">
      <c r="A34" s="41"/>
      <c r="B34" s="41"/>
      <c r="I34" s="65" t="s">
        <v>146</v>
      </c>
      <c r="J34" s="43"/>
      <c r="K34" s="65">
        <v>7</v>
      </c>
      <c r="L34" s="65">
        <v>4</v>
      </c>
      <c r="M34" s="43"/>
    </row>
    <row r="35" spans="1:15" ht="14.25" customHeight="1">
      <c r="I35" s="65" t="s">
        <v>147</v>
      </c>
      <c r="J35" s="43"/>
      <c r="K35" s="65">
        <v>8</v>
      </c>
      <c r="L35" s="65">
        <v>3</v>
      </c>
      <c r="M35" s="43"/>
    </row>
    <row r="36" spans="1:15" ht="14.25" customHeight="1">
      <c r="I36" s="65" t="s">
        <v>148</v>
      </c>
      <c r="J36" s="43"/>
      <c r="K36" s="65">
        <v>9</v>
      </c>
      <c r="L36" s="65">
        <v>2</v>
      </c>
      <c r="M36" s="43"/>
    </row>
    <row r="37" spans="1:15" ht="14.25" customHeight="1">
      <c r="B37">
        <v>1</v>
      </c>
      <c r="C37">
        <v>2</v>
      </c>
      <c r="D37">
        <v>23</v>
      </c>
      <c r="I37" s="65" t="s">
        <v>149</v>
      </c>
      <c r="J37" s="43"/>
      <c r="K37" s="65">
        <v>10</v>
      </c>
      <c r="L37" s="65">
        <v>1</v>
      </c>
      <c r="M37" s="43"/>
    </row>
    <row r="38" spans="1:15" ht="14.25" customHeight="1">
      <c r="I38" s="43"/>
      <c r="J38" s="43"/>
      <c r="K38" s="65">
        <v>11</v>
      </c>
      <c r="L38" s="65">
        <v>0</v>
      </c>
      <c r="M38" s="43"/>
    </row>
    <row r="39" spans="1:15" ht="14.25" customHeight="1">
      <c r="I39" s="43"/>
      <c r="J39" s="43"/>
      <c r="K39" s="43"/>
      <c r="L39" s="43"/>
      <c r="M39" s="43"/>
    </row>
    <row r="40" spans="1:15" ht="14.25" customHeight="1">
      <c r="I40" s="43"/>
      <c r="J40" s="43"/>
      <c r="K40" s="43"/>
      <c r="L40" s="43"/>
      <c r="M40" s="43"/>
    </row>
    <row r="41" spans="1:15" ht="14.25" customHeight="1"/>
    <row r="42" spans="1:15" ht="14.25" customHeight="1"/>
    <row r="43" spans="1:15" ht="14.25" customHeight="1"/>
    <row r="44" spans="1:15" ht="14.25" customHeight="1"/>
    <row r="45" spans="1:15" ht="14.25" customHeight="1"/>
    <row r="46" spans="1:15" ht="14.25" customHeight="1"/>
    <row r="47" spans="1:15" ht="14.25" customHeight="1"/>
    <row r="48" spans="1:15" ht="14.25" customHeight="1"/>
    <row r="49" spans="4:4" ht="14.25" customHeight="1"/>
    <row r="50" spans="4:4" ht="14.25" customHeight="1"/>
    <row r="51" spans="4:4" ht="14.25" customHeight="1"/>
    <row r="52" spans="4:4" ht="14.25" customHeight="1"/>
    <row r="53" spans="4:4" ht="14.25" customHeight="1"/>
    <row r="54" spans="4:4" ht="14.25" customHeight="1"/>
    <row r="55" spans="4:4" ht="14.25" customHeight="1"/>
    <row r="56" spans="4:4" ht="14.25" customHeight="1"/>
    <row r="57" spans="4:4" ht="14.25" customHeight="1"/>
    <row r="58" spans="4:4" ht="14.25" customHeight="1"/>
    <row r="59" spans="4:4" ht="14.25" customHeight="1"/>
    <row r="60" spans="4:4" ht="14.25" customHeight="1"/>
    <row r="61" spans="4:4" ht="14.25" customHeight="1"/>
    <row r="62" spans="4:4" ht="14.25" customHeight="1"/>
    <row r="63" spans="4:4" ht="14.25" customHeight="1"/>
    <row r="64" spans="4:4" ht="14.25" customHeight="1">
      <c r="D64" s="41" t="s">
        <v>150</v>
      </c>
    </row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onditionalFormatting sqref="P5:P15">
    <cfRule type="cellIs" dxfId="7" priority="1" operator="greaterThan">
      <formula>0</formula>
    </cfRule>
  </conditionalFormatting>
  <conditionalFormatting sqref="B4:B14">
    <cfRule type="cellIs" dxfId="6" priority="2" operator="greaterThan">
      <formula>0</formula>
    </cfRule>
  </conditionalFormatting>
  <conditionalFormatting sqref="Q5:Q15">
    <cfRule type="cellIs" dxfId="5" priority="3" operator="greaterThan">
      <formula>0</formula>
    </cfRule>
  </conditionalFormatting>
  <conditionalFormatting sqref="C4:C14">
    <cfRule type="cellIs" dxfId="4" priority="4" operator="greaterThan">
      <formula>0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3166-E771-43F0-ABB6-1DF04AF18BB2}">
  <dimension ref="A1:I19"/>
  <sheetViews>
    <sheetView topLeftCell="C1" workbookViewId="0">
      <selection activeCell="F2" sqref="F2:H12"/>
    </sheetView>
  </sheetViews>
  <sheetFormatPr defaultRowHeight="14.5"/>
  <cols>
    <col min="1" max="1" width="11.26953125" bestFit="1" customWidth="1"/>
    <col min="2" max="2" width="17.36328125" bestFit="1" customWidth="1"/>
    <col min="3" max="3" width="24.4531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453125" bestFit="1" customWidth="1"/>
    <col min="9" max="9" width="7.7265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379</v>
      </c>
      <c r="I1" t="s">
        <v>320</v>
      </c>
    </row>
    <row r="2" spans="1:9">
      <c r="A2" t="s">
        <v>544</v>
      </c>
      <c r="B2" t="s">
        <v>59</v>
      </c>
      <c r="C2" t="s">
        <v>60</v>
      </c>
      <c r="D2">
        <v>3</v>
      </c>
      <c r="E2">
        <v>2</v>
      </c>
      <c r="F2">
        <v>3</v>
      </c>
      <c r="G2">
        <v>2</v>
      </c>
      <c r="H2" t="s">
        <v>125</v>
      </c>
      <c r="I2">
        <v>1</v>
      </c>
    </row>
    <row r="3" spans="1:9">
      <c r="A3" t="s">
        <v>494</v>
      </c>
      <c r="B3" t="s">
        <v>56</v>
      </c>
      <c r="C3" t="s">
        <v>59</v>
      </c>
      <c r="D3">
        <v>2</v>
      </c>
      <c r="E3">
        <v>1</v>
      </c>
      <c r="F3">
        <v>1</v>
      </c>
      <c r="G3">
        <v>2</v>
      </c>
      <c r="H3" t="s">
        <v>126</v>
      </c>
      <c r="I3">
        <v>2</v>
      </c>
    </row>
    <row r="4" spans="1:9">
      <c r="A4" t="s">
        <v>434</v>
      </c>
      <c r="B4" t="s">
        <v>59</v>
      </c>
      <c r="C4" t="s">
        <v>495</v>
      </c>
      <c r="D4">
        <v>1</v>
      </c>
      <c r="E4">
        <v>1</v>
      </c>
      <c r="F4">
        <v>1</v>
      </c>
      <c r="G4">
        <v>1</v>
      </c>
      <c r="H4" t="s">
        <v>125</v>
      </c>
      <c r="I4">
        <v>3</v>
      </c>
    </row>
    <row r="5" spans="1:9">
      <c r="A5" t="s">
        <v>407</v>
      </c>
      <c r="B5" t="s">
        <v>59</v>
      </c>
      <c r="C5" t="s">
        <v>64</v>
      </c>
      <c r="D5">
        <v>4</v>
      </c>
      <c r="E5">
        <v>3</v>
      </c>
      <c r="F5">
        <v>4</v>
      </c>
      <c r="G5">
        <v>3</v>
      </c>
      <c r="H5" t="s">
        <v>125</v>
      </c>
      <c r="I5">
        <v>4</v>
      </c>
    </row>
    <row r="6" spans="1:9">
      <c r="A6" t="s">
        <v>361</v>
      </c>
      <c r="B6" t="s">
        <v>58</v>
      </c>
      <c r="C6" t="s">
        <v>59</v>
      </c>
      <c r="D6">
        <v>2</v>
      </c>
      <c r="E6">
        <v>1</v>
      </c>
      <c r="F6">
        <v>1</v>
      </c>
      <c r="G6">
        <v>2</v>
      </c>
      <c r="H6" t="s">
        <v>126</v>
      </c>
      <c r="I6">
        <v>5</v>
      </c>
    </row>
    <row r="7" spans="1:9">
      <c r="A7" t="s">
        <v>368</v>
      </c>
      <c r="B7" t="s">
        <v>59</v>
      </c>
      <c r="C7" t="s">
        <v>66</v>
      </c>
      <c r="D7">
        <v>5</v>
      </c>
      <c r="E7">
        <v>3</v>
      </c>
      <c r="F7">
        <v>5</v>
      </c>
      <c r="G7">
        <v>3</v>
      </c>
      <c r="H7" t="s">
        <v>125</v>
      </c>
      <c r="I7">
        <v>6</v>
      </c>
    </row>
    <row r="8" spans="1:9">
      <c r="A8" t="s">
        <v>380</v>
      </c>
      <c r="B8" t="s">
        <v>59</v>
      </c>
      <c r="C8" t="s">
        <v>61</v>
      </c>
      <c r="D8">
        <v>1</v>
      </c>
      <c r="E8">
        <v>1</v>
      </c>
      <c r="F8">
        <v>1</v>
      </c>
      <c r="G8">
        <v>1</v>
      </c>
      <c r="H8" t="s">
        <v>125</v>
      </c>
      <c r="I8">
        <v>7</v>
      </c>
    </row>
    <row r="9" spans="1:9">
      <c r="A9" t="s">
        <v>308</v>
      </c>
      <c r="B9" t="s">
        <v>287</v>
      </c>
      <c r="C9" t="s">
        <v>59</v>
      </c>
      <c r="D9">
        <v>3</v>
      </c>
      <c r="E9">
        <v>1</v>
      </c>
      <c r="F9">
        <v>1</v>
      </c>
      <c r="G9">
        <v>3</v>
      </c>
      <c r="H9" t="s">
        <v>126</v>
      </c>
      <c r="I9">
        <v>8</v>
      </c>
    </row>
    <row r="10" spans="1:9">
      <c r="A10" t="s">
        <v>309</v>
      </c>
      <c r="B10" t="s">
        <v>59</v>
      </c>
      <c r="C10" t="s">
        <v>384</v>
      </c>
      <c r="D10">
        <v>3</v>
      </c>
      <c r="E10">
        <v>1</v>
      </c>
      <c r="F10">
        <v>3</v>
      </c>
      <c r="G10">
        <v>1</v>
      </c>
      <c r="H10" t="s">
        <v>125</v>
      </c>
      <c r="I10">
        <v>9</v>
      </c>
    </row>
    <row r="11" spans="1:9">
      <c r="A11" t="s">
        <v>310</v>
      </c>
      <c r="B11" t="s">
        <v>292</v>
      </c>
      <c r="C11" t="s">
        <v>59</v>
      </c>
      <c r="D11">
        <v>2</v>
      </c>
      <c r="E11">
        <v>1</v>
      </c>
      <c r="F11">
        <v>1</v>
      </c>
      <c r="G11">
        <v>2</v>
      </c>
      <c r="H11" t="s">
        <v>126</v>
      </c>
      <c r="I11">
        <v>10</v>
      </c>
    </row>
    <row r="12" spans="1:9">
      <c r="A12" t="s">
        <v>311</v>
      </c>
      <c r="B12" t="s">
        <v>59</v>
      </c>
      <c r="C12" t="s">
        <v>65</v>
      </c>
      <c r="D12">
        <v>3</v>
      </c>
      <c r="E12">
        <v>1</v>
      </c>
      <c r="F12">
        <v>3</v>
      </c>
      <c r="G12">
        <v>1</v>
      </c>
      <c r="H12" t="s">
        <v>125</v>
      </c>
      <c r="I12">
        <v>11</v>
      </c>
    </row>
    <row r="13" spans="1:9">
      <c r="A13" t="s">
        <v>370</v>
      </c>
      <c r="B13" t="s">
        <v>385</v>
      </c>
      <c r="C13" t="s">
        <v>59</v>
      </c>
      <c r="D13">
        <v>0</v>
      </c>
      <c r="E13">
        <v>1</v>
      </c>
      <c r="F13">
        <v>1</v>
      </c>
      <c r="G13">
        <v>0</v>
      </c>
      <c r="H13" t="s">
        <v>126</v>
      </c>
      <c r="I13">
        <v>12</v>
      </c>
    </row>
    <row r="14" spans="1:9">
      <c r="A14" t="s">
        <v>371</v>
      </c>
      <c r="B14" t="s">
        <v>44</v>
      </c>
      <c r="C14" t="s">
        <v>59</v>
      </c>
      <c r="D14">
        <v>2</v>
      </c>
      <c r="E14">
        <v>0</v>
      </c>
      <c r="F14">
        <v>0</v>
      </c>
      <c r="G14">
        <v>2</v>
      </c>
      <c r="H14" t="s">
        <v>126</v>
      </c>
      <c r="I14">
        <v>13</v>
      </c>
    </row>
    <row r="15" spans="1:9">
      <c r="A15" t="s">
        <v>386</v>
      </c>
      <c r="B15" t="s">
        <v>59</v>
      </c>
      <c r="C15" t="s">
        <v>63</v>
      </c>
      <c r="D15">
        <v>2</v>
      </c>
      <c r="E15">
        <v>1</v>
      </c>
      <c r="F15">
        <v>2</v>
      </c>
      <c r="G15">
        <v>1</v>
      </c>
      <c r="H15" t="s">
        <v>125</v>
      </c>
      <c r="I15">
        <v>14</v>
      </c>
    </row>
    <row r="16" spans="1:9">
      <c r="A16" t="s">
        <v>387</v>
      </c>
      <c r="B16" t="s">
        <v>59</v>
      </c>
      <c r="C16" t="s">
        <v>388</v>
      </c>
      <c r="D16">
        <v>4</v>
      </c>
      <c r="E16">
        <v>4</v>
      </c>
      <c r="F16">
        <v>4</v>
      </c>
      <c r="G16">
        <v>4</v>
      </c>
      <c r="H16" t="s">
        <v>125</v>
      </c>
      <c r="I16">
        <v>15</v>
      </c>
    </row>
    <row r="17" spans="1:9">
      <c r="A17" t="s">
        <v>389</v>
      </c>
      <c r="B17" t="s">
        <v>323</v>
      </c>
      <c r="C17" t="s">
        <v>59</v>
      </c>
      <c r="D17">
        <v>1</v>
      </c>
      <c r="E17">
        <v>1</v>
      </c>
      <c r="F17">
        <v>1</v>
      </c>
      <c r="G17">
        <v>1</v>
      </c>
      <c r="H17" t="s">
        <v>126</v>
      </c>
      <c r="I17">
        <v>16</v>
      </c>
    </row>
    <row r="18" spans="1:9">
      <c r="A18" t="s">
        <v>390</v>
      </c>
      <c r="B18" t="s">
        <v>391</v>
      </c>
      <c r="C18" t="s">
        <v>59</v>
      </c>
      <c r="D18">
        <v>1</v>
      </c>
      <c r="E18">
        <v>1</v>
      </c>
      <c r="F18">
        <v>1</v>
      </c>
      <c r="G18">
        <v>1</v>
      </c>
      <c r="H18" t="s">
        <v>126</v>
      </c>
      <c r="I18">
        <v>17</v>
      </c>
    </row>
    <row r="19" spans="1:9">
      <c r="A19" t="s">
        <v>373</v>
      </c>
      <c r="B19" t="s">
        <v>392</v>
      </c>
      <c r="C19" t="s">
        <v>59</v>
      </c>
      <c r="D19">
        <v>2</v>
      </c>
      <c r="E19">
        <v>5</v>
      </c>
      <c r="F19">
        <v>5</v>
      </c>
      <c r="G19">
        <v>2</v>
      </c>
      <c r="H19" t="s">
        <v>126</v>
      </c>
      <c r="I19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0E63A-BC15-4C2F-88E7-40B8273AC219}">
  <dimension ref="A1:I15"/>
  <sheetViews>
    <sheetView workbookViewId="0">
      <selection activeCell="F2" sqref="F2:H12"/>
    </sheetView>
  </sheetViews>
  <sheetFormatPr defaultRowHeight="14.5"/>
  <cols>
    <col min="1" max="1" width="11.08984375" bestFit="1" customWidth="1"/>
    <col min="2" max="2" width="11.26953125" bestFit="1" customWidth="1"/>
    <col min="3" max="3" width="13.72656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90625" bestFit="1" customWidth="1"/>
    <col min="9" max="9" width="7.7265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543</v>
      </c>
      <c r="B2" t="s">
        <v>277</v>
      </c>
      <c r="C2" t="s">
        <v>337</v>
      </c>
      <c r="D2">
        <v>0</v>
      </c>
      <c r="E2">
        <v>1</v>
      </c>
      <c r="F2">
        <v>0</v>
      </c>
      <c r="G2">
        <v>1</v>
      </c>
      <c r="H2" t="s">
        <v>125</v>
      </c>
      <c r="I2">
        <v>1</v>
      </c>
    </row>
    <row r="3" spans="1:9">
      <c r="A3" t="s">
        <v>494</v>
      </c>
      <c r="B3" t="s">
        <v>281</v>
      </c>
      <c r="C3" t="s">
        <v>277</v>
      </c>
      <c r="D3">
        <v>1</v>
      </c>
      <c r="E3">
        <v>0</v>
      </c>
      <c r="F3">
        <v>0</v>
      </c>
      <c r="G3">
        <v>1</v>
      </c>
      <c r="H3" t="s">
        <v>126</v>
      </c>
      <c r="I3">
        <v>2</v>
      </c>
    </row>
    <row r="4" spans="1:9">
      <c r="A4" t="s">
        <v>455</v>
      </c>
      <c r="B4" t="s">
        <v>277</v>
      </c>
      <c r="C4" t="s">
        <v>347</v>
      </c>
      <c r="D4">
        <v>1</v>
      </c>
      <c r="E4">
        <v>1</v>
      </c>
      <c r="F4">
        <v>1</v>
      </c>
      <c r="G4">
        <v>1</v>
      </c>
      <c r="H4" t="s">
        <v>125</v>
      </c>
      <c r="I4">
        <v>3</v>
      </c>
    </row>
    <row r="5" spans="1:9">
      <c r="A5" t="s">
        <v>463</v>
      </c>
      <c r="B5" t="s">
        <v>335</v>
      </c>
      <c r="C5" t="s">
        <v>277</v>
      </c>
      <c r="D5">
        <v>1</v>
      </c>
      <c r="E5">
        <v>1</v>
      </c>
      <c r="F5">
        <v>1</v>
      </c>
      <c r="G5">
        <v>1</v>
      </c>
      <c r="H5" t="s">
        <v>126</v>
      </c>
      <c r="I5">
        <v>4</v>
      </c>
    </row>
    <row r="6" spans="1:9">
      <c r="A6" t="s">
        <v>368</v>
      </c>
      <c r="B6" t="s">
        <v>277</v>
      </c>
      <c r="C6" t="s">
        <v>336</v>
      </c>
      <c r="D6">
        <v>1</v>
      </c>
      <c r="E6">
        <v>1</v>
      </c>
      <c r="F6">
        <v>1</v>
      </c>
      <c r="G6">
        <v>1</v>
      </c>
      <c r="H6" t="s">
        <v>125</v>
      </c>
      <c r="I6">
        <v>5</v>
      </c>
    </row>
    <row r="7" spans="1:9">
      <c r="A7" t="s">
        <v>380</v>
      </c>
      <c r="B7" t="s">
        <v>277</v>
      </c>
      <c r="C7" t="s">
        <v>275</v>
      </c>
      <c r="D7">
        <v>2</v>
      </c>
      <c r="E7">
        <v>0</v>
      </c>
      <c r="F7">
        <v>2</v>
      </c>
      <c r="G7">
        <v>0</v>
      </c>
      <c r="H7" t="s">
        <v>125</v>
      </c>
      <c r="I7">
        <v>6</v>
      </c>
    </row>
    <row r="8" spans="1:9">
      <c r="A8" t="s">
        <v>398</v>
      </c>
      <c r="B8" t="s">
        <v>276</v>
      </c>
      <c r="C8" t="s">
        <v>277</v>
      </c>
      <c r="D8">
        <v>1</v>
      </c>
      <c r="E8">
        <v>0</v>
      </c>
      <c r="F8">
        <v>0</v>
      </c>
      <c r="G8">
        <v>1</v>
      </c>
      <c r="H8" t="s">
        <v>126</v>
      </c>
      <c r="I8">
        <v>7</v>
      </c>
    </row>
    <row r="9" spans="1:9">
      <c r="A9" t="s">
        <v>381</v>
      </c>
      <c r="B9" t="s">
        <v>277</v>
      </c>
      <c r="C9" t="s">
        <v>284</v>
      </c>
      <c r="D9">
        <v>1</v>
      </c>
      <c r="E9">
        <v>1</v>
      </c>
      <c r="F9">
        <v>1</v>
      </c>
      <c r="G9">
        <v>1</v>
      </c>
      <c r="H9" t="s">
        <v>125</v>
      </c>
      <c r="I9">
        <v>8</v>
      </c>
    </row>
    <row r="10" spans="1:9">
      <c r="A10" t="s">
        <v>382</v>
      </c>
      <c r="B10" t="s">
        <v>243</v>
      </c>
      <c r="C10" t="s">
        <v>277</v>
      </c>
      <c r="D10">
        <v>2</v>
      </c>
      <c r="E10">
        <v>1</v>
      </c>
      <c r="F10">
        <v>1</v>
      </c>
      <c r="G10">
        <v>2</v>
      </c>
      <c r="H10" t="s">
        <v>126</v>
      </c>
      <c r="I10">
        <v>9</v>
      </c>
    </row>
    <row r="11" spans="1:9">
      <c r="A11" t="s">
        <v>310</v>
      </c>
      <c r="B11" t="s">
        <v>242</v>
      </c>
      <c r="C11" t="s">
        <v>277</v>
      </c>
      <c r="D11">
        <v>1</v>
      </c>
      <c r="E11">
        <v>0</v>
      </c>
      <c r="F11">
        <v>0</v>
      </c>
      <c r="G11">
        <v>1</v>
      </c>
      <c r="H11" t="s">
        <v>126</v>
      </c>
      <c r="I11">
        <v>10</v>
      </c>
    </row>
    <row r="12" spans="1:9">
      <c r="A12" t="s">
        <v>395</v>
      </c>
      <c r="B12" t="s">
        <v>277</v>
      </c>
      <c r="C12" t="s">
        <v>280</v>
      </c>
      <c r="D12">
        <v>0</v>
      </c>
      <c r="E12">
        <v>0</v>
      </c>
      <c r="F12">
        <v>0</v>
      </c>
      <c r="G12">
        <v>0</v>
      </c>
      <c r="H12" t="s">
        <v>125</v>
      </c>
      <c r="I12">
        <v>11</v>
      </c>
    </row>
    <row r="13" spans="1:9">
      <c r="A13" t="s">
        <v>312</v>
      </c>
      <c r="B13" t="s">
        <v>277</v>
      </c>
      <c r="C13" t="s">
        <v>252</v>
      </c>
      <c r="D13">
        <v>0</v>
      </c>
      <c r="E13">
        <v>0</v>
      </c>
      <c r="F13">
        <v>0</v>
      </c>
      <c r="G13">
        <v>0</v>
      </c>
      <c r="H13" t="s">
        <v>125</v>
      </c>
      <c r="I13">
        <v>12</v>
      </c>
    </row>
    <row r="14" spans="1:9">
      <c r="A14" t="s">
        <v>432</v>
      </c>
      <c r="B14" t="s">
        <v>348</v>
      </c>
      <c r="C14" t="s">
        <v>277</v>
      </c>
      <c r="D14">
        <v>1</v>
      </c>
      <c r="E14">
        <v>1</v>
      </c>
      <c r="F14">
        <v>1</v>
      </c>
      <c r="G14">
        <v>1</v>
      </c>
      <c r="H14" t="s">
        <v>126</v>
      </c>
      <c r="I14">
        <v>13</v>
      </c>
    </row>
    <row r="15" spans="1:9">
      <c r="A15" t="s">
        <v>389</v>
      </c>
      <c r="B15" t="s">
        <v>277</v>
      </c>
      <c r="C15" t="s">
        <v>338</v>
      </c>
      <c r="D15">
        <v>1</v>
      </c>
      <c r="E15">
        <v>3</v>
      </c>
      <c r="F15">
        <v>1</v>
      </c>
      <c r="G15">
        <v>3</v>
      </c>
      <c r="H15" t="s">
        <v>125</v>
      </c>
      <c r="I15">
        <v>14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BC222-7C1E-4F24-B371-6DE57F3658D3}">
  <dimension ref="A1:I12"/>
  <sheetViews>
    <sheetView workbookViewId="0">
      <selection activeCell="B37" sqref="B37"/>
    </sheetView>
  </sheetViews>
  <sheetFormatPr defaultRowHeight="14.5"/>
  <cols>
    <col min="1" max="1" width="12" bestFit="1" customWidth="1"/>
    <col min="2" max="2" width="22.1796875" bestFit="1" customWidth="1"/>
    <col min="3" max="3" width="13.179687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379</v>
      </c>
      <c r="I1" t="s">
        <v>320</v>
      </c>
    </row>
    <row r="2" spans="1:9">
      <c r="A2" t="s">
        <v>496</v>
      </c>
      <c r="B2" t="s">
        <v>64</v>
      </c>
      <c r="C2" t="s">
        <v>62</v>
      </c>
      <c r="D2">
        <v>1</v>
      </c>
      <c r="E2">
        <v>1</v>
      </c>
      <c r="F2">
        <v>1</v>
      </c>
      <c r="G2">
        <v>1</v>
      </c>
      <c r="H2" t="s">
        <v>125</v>
      </c>
      <c r="I2">
        <v>1</v>
      </c>
    </row>
    <row r="3" spans="1:9">
      <c r="A3" t="s">
        <v>407</v>
      </c>
      <c r="B3" t="s">
        <v>59</v>
      </c>
      <c r="C3" t="s">
        <v>64</v>
      </c>
      <c r="D3">
        <v>4</v>
      </c>
      <c r="E3">
        <v>3</v>
      </c>
      <c r="F3">
        <v>3</v>
      </c>
      <c r="G3">
        <v>4</v>
      </c>
      <c r="H3" t="s">
        <v>126</v>
      </c>
      <c r="I3">
        <v>2</v>
      </c>
    </row>
    <row r="4" spans="1:9">
      <c r="A4" t="s">
        <v>361</v>
      </c>
      <c r="B4" t="s">
        <v>64</v>
      </c>
      <c r="C4" t="s">
        <v>67</v>
      </c>
      <c r="D4">
        <v>0</v>
      </c>
      <c r="E4">
        <v>2</v>
      </c>
      <c r="F4">
        <v>0</v>
      </c>
      <c r="G4">
        <v>2</v>
      </c>
      <c r="H4" t="s">
        <v>125</v>
      </c>
      <c r="I4">
        <v>3</v>
      </c>
    </row>
    <row r="5" spans="1:9">
      <c r="A5" t="s">
        <v>368</v>
      </c>
      <c r="B5" t="s">
        <v>61</v>
      </c>
      <c r="C5" t="s">
        <v>64</v>
      </c>
      <c r="D5">
        <v>4</v>
      </c>
      <c r="E5">
        <v>1</v>
      </c>
      <c r="F5">
        <v>1</v>
      </c>
      <c r="G5">
        <v>4</v>
      </c>
      <c r="H5" t="s">
        <v>126</v>
      </c>
      <c r="I5">
        <v>4</v>
      </c>
    </row>
    <row r="6" spans="1:9">
      <c r="A6" t="s">
        <v>306</v>
      </c>
      <c r="B6" t="s">
        <v>64</v>
      </c>
      <c r="C6" t="s">
        <v>293</v>
      </c>
      <c r="D6">
        <v>2</v>
      </c>
      <c r="E6">
        <v>2</v>
      </c>
      <c r="F6">
        <v>2</v>
      </c>
      <c r="G6">
        <v>2</v>
      </c>
      <c r="H6" t="s">
        <v>125</v>
      </c>
      <c r="I6">
        <v>5</v>
      </c>
    </row>
    <row r="7" spans="1:9">
      <c r="A7" t="s">
        <v>308</v>
      </c>
      <c r="B7" t="s">
        <v>65</v>
      </c>
      <c r="C7" t="s">
        <v>64</v>
      </c>
      <c r="D7">
        <v>1</v>
      </c>
      <c r="E7">
        <v>1</v>
      </c>
      <c r="F7">
        <v>1</v>
      </c>
      <c r="G7">
        <v>1</v>
      </c>
      <c r="H7" t="s">
        <v>126</v>
      </c>
      <c r="I7">
        <v>6</v>
      </c>
    </row>
    <row r="8" spans="1:9">
      <c r="A8" t="s">
        <v>310</v>
      </c>
      <c r="B8" t="s">
        <v>286</v>
      </c>
      <c r="C8" t="s">
        <v>64</v>
      </c>
      <c r="D8">
        <v>0</v>
      </c>
      <c r="E8">
        <v>0</v>
      </c>
      <c r="F8">
        <v>0</v>
      </c>
      <c r="G8">
        <v>0</v>
      </c>
      <c r="H8" t="s">
        <v>126</v>
      </c>
      <c r="I8">
        <v>7</v>
      </c>
    </row>
    <row r="9" spans="1:9">
      <c r="A9" t="s">
        <v>311</v>
      </c>
      <c r="B9" t="s">
        <v>64</v>
      </c>
      <c r="C9" t="s">
        <v>56</v>
      </c>
      <c r="D9">
        <v>1</v>
      </c>
      <c r="E9">
        <v>1</v>
      </c>
      <c r="F9">
        <v>1</v>
      </c>
      <c r="G9">
        <v>1</v>
      </c>
      <c r="H9" t="s">
        <v>125</v>
      </c>
      <c r="I9">
        <v>8</v>
      </c>
    </row>
    <row r="10" spans="1:9">
      <c r="A10" t="s">
        <v>370</v>
      </c>
      <c r="B10" t="s">
        <v>392</v>
      </c>
      <c r="C10" t="s">
        <v>64</v>
      </c>
      <c r="D10">
        <v>2</v>
      </c>
      <c r="E10">
        <v>2</v>
      </c>
      <c r="F10">
        <v>2</v>
      </c>
      <c r="G10">
        <v>2</v>
      </c>
      <c r="H10" t="s">
        <v>126</v>
      </c>
      <c r="I10">
        <v>9</v>
      </c>
    </row>
    <row r="11" spans="1:9">
      <c r="A11" t="s">
        <v>312</v>
      </c>
      <c r="B11" t="s">
        <v>292</v>
      </c>
      <c r="C11" t="s">
        <v>64</v>
      </c>
      <c r="D11">
        <v>4</v>
      </c>
      <c r="E11">
        <v>1</v>
      </c>
      <c r="F11">
        <v>1</v>
      </c>
      <c r="G11">
        <v>4</v>
      </c>
      <c r="H11" t="s">
        <v>126</v>
      </c>
      <c r="I11">
        <v>10</v>
      </c>
    </row>
    <row r="12" spans="1:9">
      <c r="A12" t="s">
        <v>313</v>
      </c>
      <c r="B12" t="s">
        <v>64</v>
      </c>
      <c r="C12" t="s">
        <v>44</v>
      </c>
      <c r="D12">
        <v>0</v>
      </c>
      <c r="E12">
        <v>2</v>
      </c>
      <c r="F12">
        <v>0</v>
      </c>
      <c r="G12">
        <v>2</v>
      </c>
      <c r="H12" t="s">
        <v>125</v>
      </c>
      <c r="I12">
        <v>11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17F1E-0D99-4F26-8D7E-0DD80F25D050}">
  <dimension ref="A1:I15"/>
  <sheetViews>
    <sheetView workbookViewId="0">
      <selection activeCell="F2" sqref="F2:H12"/>
    </sheetView>
  </sheetViews>
  <sheetFormatPr defaultRowHeight="14.5"/>
  <cols>
    <col min="1" max="1" width="11.81640625" bestFit="1" customWidth="1"/>
    <col min="2" max="2" width="16.54296875" bestFit="1" customWidth="1"/>
    <col min="3" max="3" width="14.81640625" bestFit="1" customWidth="1"/>
    <col min="4" max="4" width="13.7265625" bestFit="1" customWidth="1"/>
    <col min="5" max="5" width="12.81640625" bestFit="1" customWidth="1"/>
    <col min="6" max="6" width="11.453125" bestFit="1" customWidth="1"/>
    <col min="7" max="7" width="13.1796875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454</v>
      </c>
      <c r="F1" t="s">
        <v>285</v>
      </c>
      <c r="G1" t="s">
        <v>523</v>
      </c>
      <c r="H1" t="s">
        <v>240</v>
      </c>
      <c r="I1" t="s">
        <v>320</v>
      </c>
    </row>
    <row r="2" spans="1:9">
      <c r="A2" t="s">
        <v>494</v>
      </c>
      <c r="B2" t="s">
        <v>281</v>
      </c>
      <c r="C2" t="s">
        <v>277</v>
      </c>
      <c r="D2">
        <v>1</v>
      </c>
      <c r="E2">
        <v>0</v>
      </c>
      <c r="F2">
        <v>1</v>
      </c>
      <c r="G2">
        <v>0</v>
      </c>
      <c r="H2" t="s">
        <v>125</v>
      </c>
      <c r="I2">
        <v>1</v>
      </c>
    </row>
    <row r="3" spans="1:9">
      <c r="A3" t="s">
        <v>460</v>
      </c>
      <c r="B3" t="s">
        <v>524</v>
      </c>
      <c r="C3" t="s">
        <v>281</v>
      </c>
      <c r="D3">
        <v>1</v>
      </c>
      <c r="E3">
        <v>5</v>
      </c>
      <c r="F3">
        <v>5</v>
      </c>
      <c r="G3">
        <v>1</v>
      </c>
      <c r="H3" t="s">
        <v>126</v>
      </c>
      <c r="I3">
        <v>2</v>
      </c>
    </row>
    <row r="4" spans="1:9">
      <c r="A4" t="s">
        <v>455</v>
      </c>
      <c r="B4" t="s">
        <v>284</v>
      </c>
      <c r="C4" t="s">
        <v>281</v>
      </c>
      <c r="D4">
        <v>3</v>
      </c>
      <c r="E4">
        <v>0</v>
      </c>
      <c r="F4">
        <v>0</v>
      </c>
      <c r="G4">
        <v>3</v>
      </c>
      <c r="H4" t="s">
        <v>126</v>
      </c>
      <c r="I4">
        <v>3</v>
      </c>
    </row>
    <row r="5" spans="1:9">
      <c r="A5" t="s">
        <v>361</v>
      </c>
      <c r="B5" t="s">
        <v>281</v>
      </c>
      <c r="C5" t="s">
        <v>278</v>
      </c>
      <c r="D5">
        <v>1</v>
      </c>
      <c r="E5">
        <v>2</v>
      </c>
      <c r="F5">
        <v>1</v>
      </c>
      <c r="G5">
        <v>2</v>
      </c>
      <c r="H5" t="s">
        <v>125</v>
      </c>
      <c r="I5">
        <v>4</v>
      </c>
    </row>
    <row r="6" spans="1:9">
      <c r="A6" t="s">
        <v>368</v>
      </c>
      <c r="B6" t="s">
        <v>241</v>
      </c>
      <c r="C6" t="s">
        <v>281</v>
      </c>
      <c r="D6">
        <v>0</v>
      </c>
      <c r="E6">
        <v>1</v>
      </c>
      <c r="F6">
        <v>1</v>
      </c>
      <c r="G6">
        <v>0</v>
      </c>
      <c r="H6" t="s">
        <v>126</v>
      </c>
      <c r="I6">
        <v>5</v>
      </c>
    </row>
    <row r="7" spans="1:9">
      <c r="A7" t="s">
        <v>306</v>
      </c>
      <c r="B7" t="s">
        <v>281</v>
      </c>
      <c r="C7" t="s">
        <v>337</v>
      </c>
      <c r="D7">
        <v>1</v>
      </c>
      <c r="E7">
        <v>1</v>
      </c>
      <c r="F7">
        <v>1</v>
      </c>
      <c r="G7">
        <v>1</v>
      </c>
      <c r="H7" t="s">
        <v>125</v>
      </c>
      <c r="I7">
        <v>6</v>
      </c>
    </row>
    <row r="8" spans="1:9">
      <c r="A8" t="s">
        <v>423</v>
      </c>
      <c r="B8" t="s">
        <v>281</v>
      </c>
      <c r="C8" t="s">
        <v>338</v>
      </c>
      <c r="D8">
        <v>0</v>
      </c>
      <c r="E8">
        <v>1</v>
      </c>
      <c r="F8">
        <v>0</v>
      </c>
      <c r="G8">
        <v>1</v>
      </c>
      <c r="H8" t="s">
        <v>125</v>
      </c>
      <c r="I8">
        <v>7</v>
      </c>
    </row>
    <row r="9" spans="1:9">
      <c r="A9" t="s">
        <v>381</v>
      </c>
      <c r="B9" t="s">
        <v>348</v>
      </c>
      <c r="C9" t="s">
        <v>281</v>
      </c>
      <c r="D9">
        <v>3</v>
      </c>
      <c r="E9">
        <v>1</v>
      </c>
      <c r="F9">
        <v>1</v>
      </c>
      <c r="G9">
        <v>3</v>
      </c>
      <c r="H9" t="s">
        <v>126</v>
      </c>
      <c r="I9">
        <v>8</v>
      </c>
    </row>
    <row r="10" spans="1:9">
      <c r="A10" t="s">
        <v>394</v>
      </c>
      <c r="B10" t="s">
        <v>281</v>
      </c>
      <c r="C10" t="s">
        <v>282</v>
      </c>
      <c r="D10">
        <v>3</v>
      </c>
      <c r="E10">
        <v>1</v>
      </c>
      <c r="F10">
        <v>3</v>
      </c>
      <c r="G10">
        <v>1</v>
      </c>
      <c r="H10" t="s">
        <v>125</v>
      </c>
      <c r="I10">
        <v>9</v>
      </c>
    </row>
    <row r="11" spans="1:9">
      <c r="A11" t="s">
        <v>395</v>
      </c>
      <c r="B11" t="s">
        <v>336</v>
      </c>
      <c r="C11" t="s">
        <v>281</v>
      </c>
      <c r="D11">
        <v>3</v>
      </c>
      <c r="E11">
        <v>2</v>
      </c>
      <c r="F11">
        <v>2</v>
      </c>
      <c r="G11">
        <v>3</v>
      </c>
      <c r="H11" t="s">
        <v>126</v>
      </c>
      <c r="I11">
        <v>10</v>
      </c>
    </row>
    <row r="12" spans="1:9">
      <c r="A12" t="s">
        <v>467</v>
      </c>
      <c r="B12" t="s">
        <v>335</v>
      </c>
      <c r="C12" t="s">
        <v>281</v>
      </c>
      <c r="D12">
        <v>4</v>
      </c>
      <c r="E12">
        <v>3</v>
      </c>
      <c r="F12">
        <v>3</v>
      </c>
      <c r="G12">
        <v>4</v>
      </c>
      <c r="H12" t="s">
        <v>126</v>
      </c>
      <c r="I12">
        <v>11</v>
      </c>
    </row>
    <row r="13" spans="1:9">
      <c r="A13" t="s">
        <v>449</v>
      </c>
      <c r="B13" t="s">
        <v>281</v>
      </c>
      <c r="C13" t="s">
        <v>347</v>
      </c>
      <c r="D13">
        <v>3</v>
      </c>
      <c r="E13">
        <v>1</v>
      </c>
      <c r="F13">
        <v>3</v>
      </c>
      <c r="G13">
        <v>1</v>
      </c>
      <c r="H13" t="s">
        <v>125</v>
      </c>
      <c r="I13">
        <v>12</v>
      </c>
    </row>
    <row r="14" spans="1:9">
      <c r="A14" t="s">
        <v>418</v>
      </c>
      <c r="B14" t="s">
        <v>281</v>
      </c>
      <c r="C14" t="s">
        <v>275</v>
      </c>
      <c r="D14">
        <v>2</v>
      </c>
      <c r="E14">
        <v>1</v>
      </c>
      <c r="F14">
        <v>2</v>
      </c>
      <c r="G14">
        <v>1</v>
      </c>
      <c r="H14" t="s">
        <v>125</v>
      </c>
      <c r="I14">
        <v>13</v>
      </c>
    </row>
    <row r="15" spans="1:9">
      <c r="A15" t="s">
        <v>314</v>
      </c>
      <c r="B15" t="s">
        <v>61</v>
      </c>
      <c r="C15" t="s">
        <v>281</v>
      </c>
      <c r="D15">
        <v>2</v>
      </c>
      <c r="E15">
        <v>2</v>
      </c>
      <c r="F15">
        <v>2</v>
      </c>
      <c r="G15">
        <v>2</v>
      </c>
      <c r="H15" t="s">
        <v>126</v>
      </c>
      <c r="I15">
        <v>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3259C-422D-4BB4-9CD0-97343FAFB333}">
  <dimension ref="A1:I16"/>
  <sheetViews>
    <sheetView workbookViewId="0">
      <selection activeCell="F2" sqref="F2:H12"/>
    </sheetView>
  </sheetViews>
  <sheetFormatPr defaultRowHeight="14.5"/>
  <cols>
    <col min="1" max="1" width="12" bestFit="1" customWidth="1"/>
    <col min="2" max="2" width="14.54296875" bestFit="1" customWidth="1"/>
    <col min="3" max="3" width="14.4531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499</v>
      </c>
      <c r="B2" t="s">
        <v>275</v>
      </c>
      <c r="C2" t="s">
        <v>283</v>
      </c>
      <c r="D2">
        <v>1</v>
      </c>
      <c r="E2">
        <v>0</v>
      </c>
      <c r="F2">
        <v>1</v>
      </c>
      <c r="G2">
        <v>0</v>
      </c>
      <c r="H2" t="s">
        <v>125</v>
      </c>
      <c r="I2">
        <v>1</v>
      </c>
    </row>
    <row r="3" spans="1:9">
      <c r="A3" t="s">
        <v>434</v>
      </c>
      <c r="B3" t="s">
        <v>435</v>
      </c>
      <c r="C3" t="s">
        <v>275</v>
      </c>
      <c r="D3">
        <v>0</v>
      </c>
      <c r="E3">
        <v>1</v>
      </c>
      <c r="F3">
        <v>1</v>
      </c>
      <c r="G3">
        <v>0</v>
      </c>
      <c r="H3" t="s">
        <v>126</v>
      </c>
      <c r="I3">
        <v>2</v>
      </c>
    </row>
    <row r="4" spans="1:9">
      <c r="A4" t="s">
        <v>407</v>
      </c>
      <c r="B4" t="s">
        <v>252</v>
      </c>
      <c r="C4" t="s">
        <v>275</v>
      </c>
      <c r="D4">
        <v>1</v>
      </c>
      <c r="E4">
        <v>0</v>
      </c>
      <c r="F4">
        <v>0</v>
      </c>
      <c r="G4">
        <v>1</v>
      </c>
      <c r="H4" t="s">
        <v>126</v>
      </c>
      <c r="I4">
        <v>3</v>
      </c>
    </row>
    <row r="5" spans="1:9">
      <c r="A5" t="s">
        <v>436</v>
      </c>
      <c r="B5" t="s">
        <v>275</v>
      </c>
      <c r="C5" t="s">
        <v>282</v>
      </c>
      <c r="D5">
        <v>2</v>
      </c>
      <c r="E5">
        <v>3</v>
      </c>
      <c r="F5">
        <v>2</v>
      </c>
      <c r="G5">
        <v>3</v>
      </c>
      <c r="H5" t="s">
        <v>125</v>
      </c>
      <c r="I5">
        <v>4</v>
      </c>
    </row>
    <row r="6" spans="1:9">
      <c r="A6" t="s">
        <v>304</v>
      </c>
      <c r="B6" t="s">
        <v>275</v>
      </c>
      <c r="C6" t="s">
        <v>276</v>
      </c>
      <c r="D6">
        <v>0</v>
      </c>
      <c r="E6">
        <v>3</v>
      </c>
      <c r="F6">
        <v>0</v>
      </c>
      <c r="G6">
        <v>3</v>
      </c>
      <c r="H6" t="s">
        <v>125</v>
      </c>
      <c r="I6">
        <v>5</v>
      </c>
    </row>
    <row r="7" spans="1:9">
      <c r="A7" t="s">
        <v>380</v>
      </c>
      <c r="B7" t="s">
        <v>277</v>
      </c>
      <c r="C7" t="s">
        <v>275</v>
      </c>
      <c r="D7">
        <v>2</v>
      </c>
      <c r="E7">
        <v>0</v>
      </c>
      <c r="F7">
        <v>0</v>
      </c>
      <c r="G7">
        <v>2</v>
      </c>
      <c r="H7" t="s">
        <v>126</v>
      </c>
      <c r="I7">
        <v>6</v>
      </c>
    </row>
    <row r="8" spans="1:9">
      <c r="A8" t="s">
        <v>307</v>
      </c>
      <c r="B8" t="s">
        <v>278</v>
      </c>
      <c r="C8" t="s">
        <v>275</v>
      </c>
      <c r="D8">
        <v>3</v>
      </c>
      <c r="E8">
        <v>2</v>
      </c>
      <c r="F8">
        <v>2</v>
      </c>
      <c r="G8">
        <v>3</v>
      </c>
      <c r="H8" t="s">
        <v>126</v>
      </c>
      <c r="I8">
        <v>7</v>
      </c>
    </row>
    <row r="9" spans="1:9">
      <c r="A9" t="s">
        <v>437</v>
      </c>
      <c r="B9" t="s">
        <v>275</v>
      </c>
      <c r="C9" t="s">
        <v>242</v>
      </c>
      <c r="D9">
        <v>2</v>
      </c>
      <c r="E9">
        <v>1</v>
      </c>
      <c r="F9">
        <v>2</v>
      </c>
      <c r="G9">
        <v>1</v>
      </c>
      <c r="H9" t="s">
        <v>125</v>
      </c>
      <c r="I9">
        <v>8</v>
      </c>
    </row>
    <row r="10" spans="1:9">
      <c r="A10" t="s">
        <v>310</v>
      </c>
      <c r="B10" t="s">
        <v>279</v>
      </c>
      <c r="C10" t="s">
        <v>275</v>
      </c>
      <c r="D10">
        <v>3</v>
      </c>
      <c r="E10">
        <v>2</v>
      </c>
      <c r="F10">
        <v>2</v>
      </c>
      <c r="G10">
        <v>3</v>
      </c>
      <c r="H10" t="s">
        <v>126</v>
      </c>
      <c r="I10">
        <v>9</v>
      </c>
    </row>
    <row r="11" spans="1:9">
      <c r="A11" t="s">
        <v>395</v>
      </c>
      <c r="B11" t="s">
        <v>275</v>
      </c>
      <c r="C11" t="s">
        <v>241</v>
      </c>
      <c r="D11">
        <v>2</v>
      </c>
      <c r="E11">
        <v>0</v>
      </c>
      <c r="F11">
        <v>2</v>
      </c>
      <c r="G11">
        <v>0</v>
      </c>
      <c r="H11" t="s">
        <v>125</v>
      </c>
      <c r="I11">
        <v>10</v>
      </c>
    </row>
    <row r="12" spans="1:9">
      <c r="A12" t="s">
        <v>370</v>
      </c>
      <c r="B12" t="s">
        <v>280</v>
      </c>
      <c r="C12" t="s">
        <v>275</v>
      </c>
      <c r="D12">
        <v>1</v>
      </c>
      <c r="E12">
        <v>2</v>
      </c>
      <c r="F12">
        <v>2</v>
      </c>
      <c r="G12">
        <v>1</v>
      </c>
      <c r="H12" t="s">
        <v>126</v>
      </c>
      <c r="I12">
        <v>11</v>
      </c>
    </row>
    <row r="13" spans="1:9">
      <c r="A13" t="s">
        <v>371</v>
      </c>
      <c r="B13" t="s">
        <v>275</v>
      </c>
      <c r="C13" t="s">
        <v>243</v>
      </c>
      <c r="D13">
        <v>0</v>
      </c>
      <c r="E13">
        <v>0</v>
      </c>
      <c r="F13">
        <v>0</v>
      </c>
      <c r="G13">
        <v>0</v>
      </c>
      <c r="H13" t="s">
        <v>125</v>
      </c>
      <c r="I13">
        <v>12</v>
      </c>
    </row>
    <row r="14" spans="1:9">
      <c r="A14" t="s">
        <v>418</v>
      </c>
      <c r="B14" t="s">
        <v>281</v>
      </c>
      <c r="C14" t="s">
        <v>275</v>
      </c>
      <c r="D14">
        <v>2</v>
      </c>
      <c r="E14">
        <v>1</v>
      </c>
      <c r="F14">
        <v>1</v>
      </c>
      <c r="G14">
        <v>2</v>
      </c>
      <c r="H14" t="s">
        <v>126</v>
      </c>
      <c r="I14">
        <v>13</v>
      </c>
    </row>
    <row r="15" spans="1:9">
      <c r="A15" t="s">
        <v>410</v>
      </c>
      <c r="B15" t="s">
        <v>275</v>
      </c>
      <c r="C15" t="s">
        <v>438</v>
      </c>
      <c r="D15">
        <v>5</v>
      </c>
      <c r="E15">
        <v>2</v>
      </c>
      <c r="F15">
        <v>5</v>
      </c>
      <c r="G15">
        <v>2</v>
      </c>
      <c r="H15" t="s">
        <v>125</v>
      </c>
      <c r="I15">
        <v>14</v>
      </c>
    </row>
    <row r="16" spans="1:9">
      <c r="A16" t="s">
        <v>406</v>
      </c>
      <c r="B16" t="s">
        <v>275</v>
      </c>
      <c r="C16" t="s">
        <v>439</v>
      </c>
      <c r="D16">
        <v>1</v>
      </c>
      <c r="E16">
        <v>1</v>
      </c>
      <c r="F16">
        <v>1</v>
      </c>
      <c r="G16">
        <v>1</v>
      </c>
      <c r="H16" t="s">
        <v>125</v>
      </c>
      <c r="I16">
        <v>15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209CE-3922-4ED4-9131-0EDF017EBB16}">
  <dimension ref="A1:I18"/>
  <sheetViews>
    <sheetView workbookViewId="0">
      <selection activeCell="F2" sqref="F2:H12"/>
    </sheetView>
  </sheetViews>
  <sheetFormatPr defaultRowHeight="14.5"/>
  <cols>
    <col min="1" max="1" width="12" bestFit="1" customWidth="1"/>
    <col min="2" max="2" width="16" bestFit="1" customWidth="1"/>
    <col min="3" max="3" width="14.81640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518</v>
      </c>
      <c r="B2" t="s">
        <v>527</v>
      </c>
      <c r="C2" t="s">
        <v>280</v>
      </c>
      <c r="D2">
        <v>2</v>
      </c>
      <c r="E2">
        <v>1</v>
      </c>
      <c r="F2">
        <v>1</v>
      </c>
      <c r="G2">
        <v>2</v>
      </c>
      <c r="H2" t="s">
        <v>126</v>
      </c>
      <c r="I2">
        <v>1</v>
      </c>
    </row>
    <row r="3" spans="1:9">
      <c r="A3" t="s">
        <v>503</v>
      </c>
      <c r="B3" t="s">
        <v>242</v>
      </c>
      <c r="C3" t="s">
        <v>280</v>
      </c>
      <c r="D3">
        <v>0</v>
      </c>
      <c r="E3">
        <v>2</v>
      </c>
      <c r="F3">
        <v>2</v>
      </c>
      <c r="G3">
        <v>0</v>
      </c>
      <c r="H3" t="s">
        <v>126</v>
      </c>
      <c r="I3">
        <v>2</v>
      </c>
    </row>
    <row r="4" spans="1:9">
      <c r="A4" t="s">
        <v>455</v>
      </c>
      <c r="B4" t="s">
        <v>280</v>
      </c>
      <c r="C4" t="s">
        <v>336</v>
      </c>
      <c r="D4">
        <v>0</v>
      </c>
      <c r="E4">
        <v>2</v>
      </c>
      <c r="F4">
        <v>0</v>
      </c>
      <c r="G4">
        <v>2</v>
      </c>
      <c r="H4" t="s">
        <v>125</v>
      </c>
      <c r="I4">
        <v>3</v>
      </c>
    </row>
    <row r="5" spans="1:9">
      <c r="A5" t="s">
        <v>412</v>
      </c>
      <c r="B5" t="s">
        <v>528</v>
      </c>
      <c r="C5" t="s">
        <v>280</v>
      </c>
      <c r="D5">
        <v>1</v>
      </c>
      <c r="E5">
        <v>2</v>
      </c>
      <c r="F5">
        <v>2</v>
      </c>
      <c r="G5">
        <v>1</v>
      </c>
      <c r="H5" t="s">
        <v>126</v>
      </c>
      <c r="I5">
        <v>4</v>
      </c>
    </row>
    <row r="6" spans="1:9">
      <c r="A6" t="s">
        <v>361</v>
      </c>
      <c r="B6" t="s">
        <v>337</v>
      </c>
      <c r="C6" t="s">
        <v>280</v>
      </c>
      <c r="D6">
        <v>0</v>
      </c>
      <c r="E6">
        <v>1</v>
      </c>
      <c r="F6">
        <v>1</v>
      </c>
      <c r="G6">
        <v>0</v>
      </c>
      <c r="H6" t="s">
        <v>126</v>
      </c>
      <c r="I6">
        <v>5</v>
      </c>
    </row>
    <row r="7" spans="1:9">
      <c r="A7" t="s">
        <v>304</v>
      </c>
      <c r="B7" t="s">
        <v>280</v>
      </c>
      <c r="C7" t="s">
        <v>338</v>
      </c>
      <c r="D7">
        <v>1</v>
      </c>
      <c r="E7">
        <v>1</v>
      </c>
      <c r="F7">
        <v>1</v>
      </c>
      <c r="G7">
        <v>1</v>
      </c>
      <c r="H7" t="s">
        <v>125</v>
      </c>
      <c r="I7">
        <v>6</v>
      </c>
    </row>
    <row r="8" spans="1:9">
      <c r="A8" t="s">
        <v>414</v>
      </c>
      <c r="B8" t="s">
        <v>280</v>
      </c>
      <c r="C8" t="s">
        <v>529</v>
      </c>
      <c r="D8">
        <v>1</v>
      </c>
      <c r="E8">
        <v>2</v>
      </c>
      <c r="F8">
        <v>1</v>
      </c>
      <c r="G8">
        <v>2</v>
      </c>
      <c r="H8" t="s">
        <v>125</v>
      </c>
      <c r="I8">
        <v>7</v>
      </c>
    </row>
    <row r="9" spans="1:9">
      <c r="A9" t="s">
        <v>380</v>
      </c>
      <c r="B9" t="s">
        <v>280</v>
      </c>
      <c r="C9" t="s">
        <v>347</v>
      </c>
      <c r="D9">
        <v>3</v>
      </c>
      <c r="E9">
        <v>0</v>
      </c>
      <c r="F9">
        <v>3</v>
      </c>
      <c r="G9">
        <v>0</v>
      </c>
      <c r="H9" t="s">
        <v>125</v>
      </c>
      <c r="I9">
        <v>8</v>
      </c>
    </row>
    <row r="10" spans="1:9">
      <c r="A10" t="s">
        <v>398</v>
      </c>
      <c r="B10" t="s">
        <v>530</v>
      </c>
      <c r="C10" t="s">
        <v>280</v>
      </c>
      <c r="D10">
        <v>1</v>
      </c>
      <c r="E10">
        <v>1</v>
      </c>
      <c r="F10">
        <v>1</v>
      </c>
      <c r="G10">
        <v>1</v>
      </c>
      <c r="H10" t="s">
        <v>126</v>
      </c>
      <c r="I10">
        <v>9</v>
      </c>
    </row>
    <row r="11" spans="1:9">
      <c r="A11" t="s">
        <v>308</v>
      </c>
      <c r="B11" t="s">
        <v>282</v>
      </c>
      <c r="C11" t="s">
        <v>280</v>
      </c>
      <c r="D11">
        <v>0</v>
      </c>
      <c r="E11">
        <v>0</v>
      </c>
      <c r="F11">
        <v>0</v>
      </c>
      <c r="G11">
        <v>0</v>
      </c>
      <c r="H11" t="s">
        <v>126</v>
      </c>
      <c r="I11">
        <v>10</v>
      </c>
    </row>
    <row r="12" spans="1:9">
      <c r="A12" t="s">
        <v>309</v>
      </c>
      <c r="B12" t="s">
        <v>283</v>
      </c>
      <c r="C12" t="s">
        <v>280</v>
      </c>
      <c r="D12">
        <v>1</v>
      </c>
      <c r="E12">
        <v>0</v>
      </c>
      <c r="F12">
        <v>0</v>
      </c>
      <c r="G12">
        <v>1</v>
      </c>
      <c r="H12" t="s">
        <v>126</v>
      </c>
      <c r="I12">
        <v>11</v>
      </c>
    </row>
    <row r="13" spans="1:9">
      <c r="A13" t="s">
        <v>310</v>
      </c>
      <c r="B13" t="s">
        <v>280</v>
      </c>
      <c r="C13" t="s">
        <v>278</v>
      </c>
      <c r="D13">
        <v>0</v>
      </c>
      <c r="E13">
        <v>2</v>
      </c>
      <c r="F13">
        <v>0</v>
      </c>
      <c r="G13">
        <v>2</v>
      </c>
      <c r="H13" t="s">
        <v>125</v>
      </c>
      <c r="I13">
        <v>12</v>
      </c>
    </row>
    <row r="14" spans="1:9">
      <c r="A14" t="s">
        <v>395</v>
      </c>
      <c r="B14" t="s">
        <v>277</v>
      </c>
      <c r="C14" t="s">
        <v>280</v>
      </c>
      <c r="D14">
        <v>0</v>
      </c>
      <c r="E14">
        <v>0</v>
      </c>
      <c r="F14">
        <v>0</v>
      </c>
      <c r="G14">
        <v>0</v>
      </c>
      <c r="H14" t="s">
        <v>126</v>
      </c>
      <c r="I14">
        <v>13</v>
      </c>
    </row>
    <row r="15" spans="1:9">
      <c r="A15" t="s">
        <v>370</v>
      </c>
      <c r="B15" t="s">
        <v>280</v>
      </c>
      <c r="C15" t="s">
        <v>275</v>
      </c>
      <c r="D15">
        <v>1</v>
      </c>
      <c r="E15">
        <v>2</v>
      </c>
      <c r="F15">
        <v>1</v>
      </c>
      <c r="G15">
        <v>2</v>
      </c>
      <c r="H15" t="s">
        <v>125</v>
      </c>
      <c r="I15">
        <v>14</v>
      </c>
    </row>
    <row r="16" spans="1:9">
      <c r="A16" t="s">
        <v>312</v>
      </c>
      <c r="B16" t="s">
        <v>279</v>
      </c>
      <c r="C16" t="s">
        <v>280</v>
      </c>
      <c r="D16">
        <v>0</v>
      </c>
      <c r="E16">
        <v>1</v>
      </c>
      <c r="F16">
        <v>1</v>
      </c>
      <c r="G16">
        <v>0</v>
      </c>
      <c r="H16" t="s">
        <v>126</v>
      </c>
      <c r="I16">
        <v>15</v>
      </c>
    </row>
    <row r="17" spans="1:9">
      <c r="A17" t="s">
        <v>386</v>
      </c>
      <c r="B17" t="s">
        <v>280</v>
      </c>
      <c r="C17" t="s">
        <v>252</v>
      </c>
      <c r="D17">
        <v>1</v>
      </c>
      <c r="E17">
        <v>2</v>
      </c>
      <c r="F17">
        <v>1</v>
      </c>
      <c r="G17">
        <v>2</v>
      </c>
      <c r="H17" t="s">
        <v>125</v>
      </c>
      <c r="I17">
        <v>16</v>
      </c>
    </row>
    <row r="18" spans="1:9">
      <c r="A18" t="s">
        <v>389</v>
      </c>
      <c r="B18" t="s">
        <v>531</v>
      </c>
      <c r="C18" t="s">
        <v>280</v>
      </c>
      <c r="D18">
        <v>2</v>
      </c>
      <c r="E18">
        <v>0</v>
      </c>
      <c r="F18">
        <v>0</v>
      </c>
      <c r="G18">
        <v>2</v>
      </c>
      <c r="H18" t="s">
        <v>126</v>
      </c>
      <c r="I18">
        <v>17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3B3F-FF31-418A-96A6-A99E2997E077}">
  <dimension ref="A1:I14"/>
  <sheetViews>
    <sheetView workbookViewId="0">
      <selection activeCell="E16" sqref="E16"/>
    </sheetView>
  </sheetViews>
  <sheetFormatPr defaultRowHeight="14.5"/>
  <cols>
    <col min="1" max="1" width="11.7265625" bestFit="1" customWidth="1"/>
    <col min="2" max="2" width="14.54296875" bestFit="1" customWidth="1"/>
    <col min="3" max="3" width="14.453125" bestFit="1" customWidth="1"/>
    <col min="4" max="4" width="13.26953125" bestFit="1" customWidth="1"/>
    <col min="5" max="5" width="12.816406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0</v>
      </c>
      <c r="C1" t="s">
        <v>26</v>
      </c>
      <c r="D1" t="s">
        <v>453</v>
      </c>
      <c r="E1" t="s">
        <v>454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497</v>
      </c>
      <c r="B2" t="s">
        <v>498</v>
      </c>
      <c r="C2" t="s">
        <v>336</v>
      </c>
      <c r="D2">
        <v>0</v>
      </c>
      <c r="E2">
        <v>5</v>
      </c>
      <c r="F2">
        <v>5</v>
      </c>
      <c r="G2">
        <v>0</v>
      </c>
      <c r="H2" t="s">
        <v>126</v>
      </c>
      <c r="I2">
        <v>1</v>
      </c>
    </row>
    <row r="3" spans="1:9">
      <c r="A3" t="s">
        <v>496</v>
      </c>
      <c r="B3" t="s">
        <v>336</v>
      </c>
      <c r="C3" t="s">
        <v>282</v>
      </c>
      <c r="D3">
        <v>1</v>
      </c>
      <c r="E3">
        <v>0</v>
      </c>
      <c r="F3">
        <v>1</v>
      </c>
      <c r="G3">
        <v>0</v>
      </c>
      <c r="H3" t="s">
        <v>125</v>
      </c>
      <c r="I3">
        <v>2</v>
      </c>
    </row>
    <row r="4" spans="1:9">
      <c r="A4" t="s">
        <v>455</v>
      </c>
      <c r="B4" t="s">
        <v>280</v>
      </c>
      <c r="C4" t="s">
        <v>336</v>
      </c>
      <c r="D4">
        <v>0</v>
      </c>
      <c r="E4">
        <v>2</v>
      </c>
      <c r="F4">
        <v>2</v>
      </c>
      <c r="G4">
        <v>0</v>
      </c>
      <c r="H4" t="s">
        <v>126</v>
      </c>
      <c r="I4">
        <v>3</v>
      </c>
    </row>
    <row r="5" spans="1:9">
      <c r="A5" t="s">
        <v>361</v>
      </c>
      <c r="B5" t="s">
        <v>336</v>
      </c>
      <c r="C5" t="s">
        <v>243</v>
      </c>
      <c r="D5">
        <v>1</v>
      </c>
      <c r="E5">
        <v>2</v>
      </c>
      <c r="F5">
        <v>1</v>
      </c>
      <c r="G5">
        <v>2</v>
      </c>
      <c r="H5" t="s">
        <v>125</v>
      </c>
      <c r="I5">
        <v>4</v>
      </c>
    </row>
    <row r="6" spans="1:9">
      <c r="A6" t="s">
        <v>368</v>
      </c>
      <c r="B6" t="s">
        <v>277</v>
      </c>
      <c r="C6" t="s">
        <v>336</v>
      </c>
      <c r="D6">
        <v>1</v>
      </c>
      <c r="E6">
        <v>1</v>
      </c>
      <c r="F6">
        <v>1</v>
      </c>
      <c r="G6">
        <v>1</v>
      </c>
      <c r="H6" t="s">
        <v>126</v>
      </c>
      <c r="I6">
        <v>5</v>
      </c>
    </row>
    <row r="7" spans="1:9">
      <c r="A7" t="s">
        <v>380</v>
      </c>
      <c r="B7" t="s">
        <v>336</v>
      </c>
      <c r="C7" t="s">
        <v>276</v>
      </c>
      <c r="D7">
        <v>4</v>
      </c>
      <c r="E7">
        <v>2</v>
      </c>
      <c r="F7">
        <v>4</v>
      </c>
      <c r="G7">
        <v>2</v>
      </c>
      <c r="H7" t="s">
        <v>125</v>
      </c>
      <c r="I7">
        <v>6</v>
      </c>
    </row>
    <row r="8" spans="1:9">
      <c r="A8" t="s">
        <v>307</v>
      </c>
      <c r="B8" t="s">
        <v>347</v>
      </c>
      <c r="C8" t="s">
        <v>336</v>
      </c>
      <c r="D8">
        <v>0</v>
      </c>
      <c r="E8">
        <v>0</v>
      </c>
      <c r="F8">
        <v>0</v>
      </c>
      <c r="G8">
        <v>0</v>
      </c>
      <c r="H8" t="s">
        <v>126</v>
      </c>
      <c r="I8">
        <v>7</v>
      </c>
    </row>
    <row r="9" spans="1:9">
      <c r="A9" t="s">
        <v>308</v>
      </c>
      <c r="B9" t="s">
        <v>336</v>
      </c>
      <c r="C9" t="s">
        <v>241</v>
      </c>
      <c r="D9">
        <v>2</v>
      </c>
      <c r="E9">
        <v>1</v>
      </c>
      <c r="F9">
        <v>2</v>
      </c>
      <c r="G9">
        <v>1</v>
      </c>
      <c r="H9" t="s">
        <v>125</v>
      </c>
      <c r="I9">
        <v>8</v>
      </c>
    </row>
    <row r="10" spans="1:9">
      <c r="A10" t="s">
        <v>456</v>
      </c>
      <c r="B10" t="s">
        <v>252</v>
      </c>
      <c r="C10" t="s">
        <v>336</v>
      </c>
      <c r="D10">
        <v>3</v>
      </c>
      <c r="E10">
        <v>1</v>
      </c>
      <c r="F10">
        <v>1</v>
      </c>
      <c r="G10">
        <v>3</v>
      </c>
      <c r="H10" t="s">
        <v>126</v>
      </c>
      <c r="I10">
        <v>9</v>
      </c>
    </row>
    <row r="11" spans="1:9">
      <c r="A11" t="s">
        <v>395</v>
      </c>
      <c r="B11" t="s">
        <v>336</v>
      </c>
      <c r="C11" t="s">
        <v>281</v>
      </c>
      <c r="D11">
        <v>3</v>
      </c>
      <c r="E11">
        <v>2</v>
      </c>
      <c r="F11">
        <v>3</v>
      </c>
      <c r="G11">
        <v>2</v>
      </c>
      <c r="H11" t="s">
        <v>125</v>
      </c>
      <c r="I11">
        <v>10</v>
      </c>
    </row>
    <row r="12" spans="1:9">
      <c r="A12" t="s">
        <v>457</v>
      </c>
      <c r="B12" t="s">
        <v>337</v>
      </c>
      <c r="C12" t="s">
        <v>336</v>
      </c>
      <c r="D12">
        <v>4</v>
      </c>
      <c r="E12">
        <v>0</v>
      </c>
      <c r="F12">
        <v>0</v>
      </c>
      <c r="G12">
        <v>4</v>
      </c>
      <c r="H12" t="s">
        <v>126</v>
      </c>
      <c r="I12">
        <v>11</v>
      </c>
    </row>
    <row r="13" spans="1:9">
      <c r="A13" t="s">
        <v>312</v>
      </c>
      <c r="B13" t="s">
        <v>336</v>
      </c>
      <c r="C13" t="s">
        <v>283</v>
      </c>
      <c r="D13">
        <v>1</v>
      </c>
      <c r="E13">
        <v>0</v>
      </c>
      <c r="F13">
        <v>1</v>
      </c>
      <c r="G13">
        <v>0</v>
      </c>
      <c r="H13" t="s">
        <v>125</v>
      </c>
      <c r="I13">
        <v>12</v>
      </c>
    </row>
    <row r="14" spans="1:9">
      <c r="A14" t="s">
        <v>313</v>
      </c>
      <c r="B14" t="s">
        <v>336</v>
      </c>
      <c r="C14" t="s">
        <v>284</v>
      </c>
      <c r="D14">
        <v>1</v>
      </c>
      <c r="E14">
        <v>1</v>
      </c>
      <c r="F14">
        <v>1</v>
      </c>
      <c r="G14">
        <v>1</v>
      </c>
      <c r="H14" t="s">
        <v>125</v>
      </c>
      <c r="I14">
        <v>13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77182-577E-460B-8ACC-DC0AAE1BF632}">
  <dimension ref="A1:I18"/>
  <sheetViews>
    <sheetView workbookViewId="0">
      <selection activeCell="F29" sqref="F29"/>
    </sheetView>
  </sheetViews>
  <sheetFormatPr defaultRowHeight="14.5"/>
  <cols>
    <col min="1" max="1" width="12" bestFit="1" customWidth="1"/>
    <col min="2" max="2" width="25.54296875" bestFit="1" customWidth="1"/>
    <col min="3" max="3" width="17.7265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434</v>
      </c>
      <c r="B2" t="s">
        <v>404</v>
      </c>
      <c r="C2" t="s">
        <v>440</v>
      </c>
      <c r="D2">
        <v>3</v>
      </c>
      <c r="E2">
        <v>0</v>
      </c>
      <c r="F2">
        <v>3</v>
      </c>
      <c r="G2">
        <v>0</v>
      </c>
      <c r="H2" t="s">
        <v>125</v>
      </c>
      <c r="I2">
        <v>1</v>
      </c>
    </row>
    <row r="3" spans="1:9">
      <c r="A3" t="s">
        <v>407</v>
      </c>
      <c r="B3" t="s">
        <v>441</v>
      </c>
      <c r="C3" t="s">
        <v>404</v>
      </c>
      <c r="D3">
        <v>2</v>
      </c>
      <c r="E3">
        <v>2</v>
      </c>
      <c r="F3">
        <v>2</v>
      </c>
      <c r="G3">
        <v>2</v>
      </c>
      <c r="H3" t="s">
        <v>126</v>
      </c>
      <c r="I3">
        <v>2</v>
      </c>
    </row>
    <row r="4" spans="1:9">
      <c r="A4" t="s">
        <v>442</v>
      </c>
      <c r="B4" t="s">
        <v>443</v>
      </c>
      <c r="C4" t="s">
        <v>404</v>
      </c>
      <c r="D4">
        <v>1</v>
      </c>
      <c r="E4">
        <v>1</v>
      </c>
      <c r="F4">
        <v>1</v>
      </c>
      <c r="G4">
        <v>1</v>
      </c>
      <c r="H4" t="s">
        <v>126</v>
      </c>
      <c r="I4">
        <v>3</v>
      </c>
    </row>
    <row r="5" spans="1:9">
      <c r="A5" t="s">
        <v>361</v>
      </c>
      <c r="B5" t="s">
        <v>404</v>
      </c>
      <c r="C5" t="s">
        <v>444</v>
      </c>
      <c r="D5">
        <v>2</v>
      </c>
      <c r="E5">
        <v>1</v>
      </c>
      <c r="F5">
        <v>2</v>
      </c>
      <c r="G5">
        <v>1</v>
      </c>
      <c r="H5" t="s">
        <v>125</v>
      </c>
      <c r="I5">
        <v>4</v>
      </c>
    </row>
    <row r="6" spans="1:9">
      <c r="A6" t="s">
        <v>368</v>
      </c>
      <c r="B6" t="s">
        <v>404</v>
      </c>
      <c r="C6" t="s">
        <v>445</v>
      </c>
      <c r="D6">
        <v>2</v>
      </c>
      <c r="E6">
        <v>2</v>
      </c>
      <c r="F6">
        <v>2</v>
      </c>
      <c r="G6">
        <v>2</v>
      </c>
      <c r="H6" t="s">
        <v>125</v>
      </c>
      <c r="I6">
        <v>5</v>
      </c>
    </row>
    <row r="7" spans="1:9">
      <c r="A7" t="s">
        <v>393</v>
      </c>
      <c r="B7" t="s">
        <v>404</v>
      </c>
      <c r="C7" t="s">
        <v>325</v>
      </c>
      <c r="D7">
        <v>1</v>
      </c>
      <c r="E7">
        <v>0</v>
      </c>
      <c r="F7">
        <v>1</v>
      </c>
      <c r="G7">
        <v>0</v>
      </c>
      <c r="H7" t="s">
        <v>125</v>
      </c>
      <c r="I7">
        <v>6</v>
      </c>
    </row>
    <row r="8" spans="1:9">
      <c r="A8" t="s">
        <v>380</v>
      </c>
      <c r="B8" t="s">
        <v>289</v>
      </c>
      <c r="C8" t="s">
        <v>404</v>
      </c>
      <c r="D8">
        <v>1</v>
      </c>
      <c r="E8">
        <v>1</v>
      </c>
      <c r="F8">
        <v>1</v>
      </c>
      <c r="G8">
        <v>1</v>
      </c>
      <c r="H8" t="s">
        <v>126</v>
      </c>
      <c r="I8">
        <v>7</v>
      </c>
    </row>
    <row r="9" spans="1:9">
      <c r="A9" t="s">
        <v>381</v>
      </c>
      <c r="B9" t="s">
        <v>404</v>
      </c>
      <c r="C9" t="s">
        <v>388</v>
      </c>
      <c r="D9">
        <v>4</v>
      </c>
      <c r="E9">
        <v>3</v>
      </c>
      <c r="F9">
        <v>4</v>
      </c>
      <c r="G9">
        <v>3</v>
      </c>
      <c r="H9" t="s">
        <v>125</v>
      </c>
      <c r="I9">
        <v>8</v>
      </c>
    </row>
    <row r="10" spans="1:9">
      <c r="A10" t="s">
        <v>400</v>
      </c>
      <c r="B10" t="s">
        <v>446</v>
      </c>
      <c r="C10" t="s">
        <v>404</v>
      </c>
      <c r="D10">
        <v>0</v>
      </c>
      <c r="E10">
        <v>4</v>
      </c>
      <c r="F10">
        <v>4</v>
      </c>
      <c r="G10">
        <v>0</v>
      </c>
      <c r="H10" t="s">
        <v>126</v>
      </c>
      <c r="I10">
        <v>9</v>
      </c>
    </row>
    <row r="11" spans="1:9">
      <c r="A11" t="s">
        <v>310</v>
      </c>
      <c r="B11" t="s">
        <v>447</v>
      </c>
      <c r="C11" t="s">
        <v>404</v>
      </c>
      <c r="D11">
        <v>1</v>
      </c>
      <c r="E11">
        <v>4</v>
      </c>
      <c r="F11">
        <v>4</v>
      </c>
      <c r="G11">
        <v>1</v>
      </c>
      <c r="H11" t="s">
        <v>126</v>
      </c>
      <c r="I11">
        <v>10</v>
      </c>
    </row>
    <row r="12" spans="1:9">
      <c r="A12" t="s">
        <v>311</v>
      </c>
      <c r="B12" t="s">
        <v>404</v>
      </c>
      <c r="C12" t="s">
        <v>358</v>
      </c>
      <c r="D12">
        <v>2</v>
      </c>
      <c r="E12">
        <v>3</v>
      </c>
      <c r="F12">
        <v>2</v>
      </c>
      <c r="G12">
        <v>3</v>
      </c>
      <c r="H12" t="s">
        <v>125</v>
      </c>
      <c r="I12">
        <v>11</v>
      </c>
    </row>
    <row r="13" spans="1:9">
      <c r="A13" t="s">
        <v>370</v>
      </c>
      <c r="B13" t="s">
        <v>448</v>
      </c>
      <c r="C13" t="s">
        <v>404</v>
      </c>
      <c r="D13">
        <v>0</v>
      </c>
      <c r="E13">
        <v>1</v>
      </c>
      <c r="F13">
        <v>1</v>
      </c>
      <c r="G13">
        <v>0</v>
      </c>
      <c r="H13" t="s">
        <v>126</v>
      </c>
      <c r="I13">
        <v>12</v>
      </c>
    </row>
    <row r="14" spans="1:9">
      <c r="A14" t="s">
        <v>449</v>
      </c>
      <c r="B14" t="s">
        <v>450</v>
      </c>
      <c r="C14" t="s">
        <v>404</v>
      </c>
      <c r="D14">
        <v>2</v>
      </c>
      <c r="E14">
        <v>3</v>
      </c>
      <c r="F14">
        <v>3</v>
      </c>
      <c r="G14">
        <v>2</v>
      </c>
      <c r="H14" t="s">
        <v>126</v>
      </c>
      <c r="I14">
        <v>13</v>
      </c>
    </row>
    <row r="15" spans="1:9">
      <c r="A15" t="s">
        <v>313</v>
      </c>
      <c r="B15" t="s">
        <v>404</v>
      </c>
      <c r="C15" t="s">
        <v>433</v>
      </c>
      <c r="D15">
        <v>2</v>
      </c>
      <c r="E15">
        <v>2</v>
      </c>
      <c r="F15">
        <v>2</v>
      </c>
      <c r="G15">
        <v>2</v>
      </c>
      <c r="H15" t="s">
        <v>125</v>
      </c>
      <c r="I15">
        <v>14</v>
      </c>
    </row>
    <row r="16" spans="1:9">
      <c r="A16" t="s">
        <v>314</v>
      </c>
      <c r="B16" t="s">
        <v>404</v>
      </c>
      <c r="C16" t="s">
        <v>243</v>
      </c>
      <c r="D16">
        <v>1</v>
      </c>
      <c r="E16">
        <v>1</v>
      </c>
      <c r="F16">
        <v>1</v>
      </c>
      <c r="G16">
        <v>1</v>
      </c>
      <c r="H16" t="s">
        <v>125</v>
      </c>
      <c r="I16">
        <v>15</v>
      </c>
    </row>
    <row r="17" spans="1:9">
      <c r="A17" t="s">
        <v>377</v>
      </c>
      <c r="B17" t="s">
        <v>46</v>
      </c>
      <c r="C17" t="s">
        <v>404</v>
      </c>
      <c r="D17">
        <v>4</v>
      </c>
      <c r="E17">
        <v>1</v>
      </c>
      <c r="F17">
        <v>1</v>
      </c>
      <c r="G17">
        <v>4</v>
      </c>
      <c r="H17" t="s">
        <v>126</v>
      </c>
      <c r="I17">
        <v>16</v>
      </c>
    </row>
    <row r="18" spans="1:9">
      <c r="A18" t="s">
        <v>451</v>
      </c>
      <c r="B18" t="s">
        <v>452</v>
      </c>
      <c r="C18" t="s">
        <v>404</v>
      </c>
      <c r="D18">
        <v>1</v>
      </c>
      <c r="E18">
        <v>2</v>
      </c>
      <c r="F18">
        <v>2</v>
      </c>
      <c r="G18">
        <v>1</v>
      </c>
      <c r="H18" t="s">
        <v>126</v>
      </c>
      <c r="I18">
        <v>17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AD06-E4DB-4109-B747-40D641678DC0}">
  <dimension ref="A1:I14"/>
  <sheetViews>
    <sheetView workbookViewId="0">
      <selection activeCell="F2" sqref="F2:H12"/>
    </sheetView>
  </sheetViews>
  <sheetFormatPr defaultRowHeight="14.5"/>
  <cols>
    <col min="1" max="1" width="11.81640625" bestFit="1" customWidth="1"/>
    <col min="2" max="2" width="18.1796875" bestFit="1" customWidth="1"/>
    <col min="3" max="3" width="14.81640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434</v>
      </c>
      <c r="B2" t="s">
        <v>466</v>
      </c>
      <c r="C2" t="s">
        <v>335</v>
      </c>
      <c r="D2">
        <v>1</v>
      </c>
      <c r="E2">
        <v>6</v>
      </c>
      <c r="F2">
        <v>6</v>
      </c>
      <c r="G2">
        <v>1</v>
      </c>
      <c r="H2" t="s">
        <v>126</v>
      </c>
      <c r="I2">
        <v>1</v>
      </c>
    </row>
    <row r="3" spans="1:9">
      <c r="A3" t="s">
        <v>407</v>
      </c>
      <c r="B3" t="s">
        <v>282</v>
      </c>
      <c r="C3" t="s">
        <v>335</v>
      </c>
      <c r="D3">
        <v>1</v>
      </c>
      <c r="E3">
        <v>2</v>
      </c>
      <c r="F3">
        <v>2</v>
      </c>
      <c r="G3">
        <v>1</v>
      </c>
      <c r="H3" t="s">
        <v>126</v>
      </c>
      <c r="I3">
        <v>2</v>
      </c>
    </row>
    <row r="4" spans="1:9">
      <c r="A4" t="s">
        <v>463</v>
      </c>
      <c r="B4" t="s">
        <v>335</v>
      </c>
      <c r="C4" t="s">
        <v>277</v>
      </c>
      <c r="D4">
        <v>1</v>
      </c>
      <c r="E4">
        <v>1</v>
      </c>
      <c r="F4">
        <v>1</v>
      </c>
      <c r="G4">
        <v>1</v>
      </c>
      <c r="H4" t="s">
        <v>125</v>
      </c>
      <c r="I4">
        <v>3</v>
      </c>
    </row>
    <row r="5" spans="1:9">
      <c r="A5" t="s">
        <v>368</v>
      </c>
      <c r="B5" t="s">
        <v>278</v>
      </c>
      <c r="C5" t="s">
        <v>335</v>
      </c>
      <c r="D5">
        <v>2</v>
      </c>
      <c r="E5">
        <v>0</v>
      </c>
      <c r="F5">
        <v>0</v>
      </c>
      <c r="G5">
        <v>2</v>
      </c>
      <c r="H5" t="s">
        <v>126</v>
      </c>
      <c r="I5">
        <v>4</v>
      </c>
    </row>
    <row r="6" spans="1:9">
      <c r="A6" t="s">
        <v>369</v>
      </c>
      <c r="B6" t="s">
        <v>335</v>
      </c>
      <c r="C6" t="s">
        <v>241</v>
      </c>
      <c r="D6">
        <v>3</v>
      </c>
      <c r="E6">
        <v>1</v>
      </c>
      <c r="F6">
        <v>3</v>
      </c>
      <c r="G6">
        <v>1</v>
      </c>
      <c r="H6" t="s">
        <v>125</v>
      </c>
      <c r="I6">
        <v>5</v>
      </c>
    </row>
    <row r="7" spans="1:9">
      <c r="A7" t="s">
        <v>423</v>
      </c>
      <c r="B7" t="s">
        <v>279</v>
      </c>
      <c r="C7" t="s">
        <v>335</v>
      </c>
      <c r="D7">
        <v>1</v>
      </c>
      <c r="E7">
        <v>2</v>
      </c>
      <c r="F7">
        <v>2</v>
      </c>
      <c r="G7">
        <v>1</v>
      </c>
      <c r="H7" t="s">
        <v>126</v>
      </c>
      <c r="I7">
        <v>6</v>
      </c>
    </row>
    <row r="8" spans="1:9">
      <c r="A8" t="s">
        <v>381</v>
      </c>
      <c r="B8" t="s">
        <v>335</v>
      </c>
      <c r="C8" t="s">
        <v>276</v>
      </c>
      <c r="D8">
        <v>1</v>
      </c>
      <c r="E8">
        <v>5</v>
      </c>
      <c r="F8">
        <v>1</v>
      </c>
      <c r="G8">
        <v>5</v>
      </c>
      <c r="H8" t="s">
        <v>125</v>
      </c>
      <c r="I8">
        <v>7</v>
      </c>
    </row>
    <row r="9" spans="1:9">
      <c r="A9" t="s">
        <v>310</v>
      </c>
      <c r="B9" t="s">
        <v>283</v>
      </c>
      <c r="C9" t="s">
        <v>335</v>
      </c>
      <c r="D9">
        <v>1</v>
      </c>
      <c r="E9">
        <v>2</v>
      </c>
      <c r="F9">
        <v>2</v>
      </c>
      <c r="G9">
        <v>1</v>
      </c>
      <c r="H9" t="s">
        <v>126</v>
      </c>
      <c r="I9">
        <v>8</v>
      </c>
    </row>
    <row r="10" spans="1:9">
      <c r="A10" t="s">
        <v>311</v>
      </c>
      <c r="B10" t="s">
        <v>347</v>
      </c>
      <c r="C10" t="s">
        <v>335</v>
      </c>
      <c r="D10">
        <v>1</v>
      </c>
      <c r="E10">
        <v>1</v>
      </c>
      <c r="F10">
        <v>1</v>
      </c>
      <c r="G10">
        <v>1</v>
      </c>
      <c r="H10" t="s">
        <v>126</v>
      </c>
      <c r="I10">
        <v>9</v>
      </c>
    </row>
    <row r="11" spans="1:9">
      <c r="A11" t="s">
        <v>467</v>
      </c>
      <c r="B11" t="s">
        <v>335</v>
      </c>
      <c r="C11" t="s">
        <v>281</v>
      </c>
      <c r="D11">
        <v>4</v>
      </c>
      <c r="E11">
        <v>3</v>
      </c>
      <c r="F11">
        <v>4</v>
      </c>
      <c r="G11">
        <v>3</v>
      </c>
      <c r="H11" t="s">
        <v>125</v>
      </c>
      <c r="I11">
        <v>10</v>
      </c>
    </row>
    <row r="12" spans="1:9">
      <c r="A12" t="s">
        <v>449</v>
      </c>
      <c r="B12" t="s">
        <v>242</v>
      </c>
      <c r="C12" t="s">
        <v>335</v>
      </c>
      <c r="D12">
        <v>1</v>
      </c>
      <c r="E12">
        <v>2</v>
      </c>
      <c r="F12">
        <v>2</v>
      </c>
      <c r="G12">
        <v>1</v>
      </c>
      <c r="H12" t="s">
        <v>126</v>
      </c>
      <c r="I12">
        <v>11</v>
      </c>
    </row>
    <row r="13" spans="1:9">
      <c r="A13" t="s">
        <v>425</v>
      </c>
      <c r="B13" t="s">
        <v>335</v>
      </c>
      <c r="C13" t="s">
        <v>338</v>
      </c>
      <c r="D13">
        <v>2</v>
      </c>
      <c r="E13">
        <v>2</v>
      </c>
      <c r="F13">
        <v>2</v>
      </c>
      <c r="G13">
        <v>2</v>
      </c>
      <c r="H13" t="s">
        <v>125</v>
      </c>
      <c r="I13">
        <v>12</v>
      </c>
    </row>
    <row r="14" spans="1:9">
      <c r="A14" t="s">
        <v>468</v>
      </c>
      <c r="B14" t="s">
        <v>300</v>
      </c>
      <c r="C14" t="s">
        <v>335</v>
      </c>
      <c r="D14">
        <v>2</v>
      </c>
      <c r="E14">
        <v>2</v>
      </c>
      <c r="F14">
        <v>2</v>
      </c>
      <c r="G14">
        <v>2</v>
      </c>
      <c r="H14" t="s">
        <v>126</v>
      </c>
      <c r="I14">
        <v>13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2B330-20E9-49C9-BADB-F34B0442FF13}">
  <dimension ref="A1:I14"/>
  <sheetViews>
    <sheetView workbookViewId="0">
      <selection activeCell="G21" sqref="G21"/>
    </sheetView>
  </sheetViews>
  <sheetFormatPr defaultRowHeight="14.5"/>
  <cols>
    <col min="1" max="1" width="12" bestFit="1" customWidth="1"/>
    <col min="2" max="2" width="14.81640625" bestFit="1" customWidth="1"/>
    <col min="3" max="3" width="12.4531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496</v>
      </c>
      <c r="B2" t="s">
        <v>337</v>
      </c>
      <c r="C2" t="s">
        <v>284</v>
      </c>
      <c r="D2">
        <v>4</v>
      </c>
      <c r="E2">
        <v>3</v>
      </c>
      <c r="F2">
        <v>3</v>
      </c>
      <c r="G2">
        <v>4</v>
      </c>
      <c r="H2" t="s">
        <v>126</v>
      </c>
      <c r="I2">
        <v>1</v>
      </c>
    </row>
    <row r="3" spans="1:9">
      <c r="A3" t="s">
        <v>460</v>
      </c>
      <c r="B3" t="s">
        <v>462</v>
      </c>
      <c r="C3" t="s">
        <v>284</v>
      </c>
      <c r="D3">
        <v>1</v>
      </c>
      <c r="E3">
        <v>2</v>
      </c>
      <c r="F3">
        <v>2</v>
      </c>
      <c r="G3">
        <v>1</v>
      </c>
      <c r="H3" t="s">
        <v>126</v>
      </c>
      <c r="I3">
        <v>2</v>
      </c>
    </row>
    <row r="4" spans="1:9">
      <c r="A4" t="s">
        <v>455</v>
      </c>
      <c r="B4" t="s">
        <v>284</v>
      </c>
      <c r="C4" t="s">
        <v>281</v>
      </c>
      <c r="D4">
        <v>3</v>
      </c>
      <c r="E4">
        <v>0</v>
      </c>
      <c r="F4">
        <v>3</v>
      </c>
      <c r="G4">
        <v>0</v>
      </c>
      <c r="H4" t="s">
        <v>125</v>
      </c>
      <c r="I4">
        <v>3</v>
      </c>
    </row>
    <row r="5" spans="1:9">
      <c r="A5" t="s">
        <v>463</v>
      </c>
      <c r="B5" t="s">
        <v>338</v>
      </c>
      <c r="C5" t="s">
        <v>284</v>
      </c>
      <c r="D5">
        <v>3</v>
      </c>
      <c r="E5">
        <v>1</v>
      </c>
      <c r="F5">
        <v>1</v>
      </c>
      <c r="G5">
        <v>3</v>
      </c>
      <c r="H5" t="s">
        <v>126</v>
      </c>
      <c r="I5">
        <v>4</v>
      </c>
    </row>
    <row r="6" spans="1:9">
      <c r="A6" t="s">
        <v>464</v>
      </c>
      <c r="B6" t="s">
        <v>284</v>
      </c>
      <c r="C6" t="s">
        <v>347</v>
      </c>
      <c r="D6">
        <v>0</v>
      </c>
      <c r="E6">
        <v>0</v>
      </c>
      <c r="F6">
        <v>0</v>
      </c>
      <c r="G6">
        <v>0</v>
      </c>
      <c r="H6" t="s">
        <v>125</v>
      </c>
      <c r="I6">
        <v>5</v>
      </c>
    </row>
    <row r="7" spans="1:9">
      <c r="A7" t="s">
        <v>380</v>
      </c>
      <c r="B7" t="s">
        <v>252</v>
      </c>
      <c r="C7" t="s">
        <v>284</v>
      </c>
      <c r="D7">
        <v>1</v>
      </c>
      <c r="E7">
        <v>1</v>
      </c>
      <c r="F7">
        <v>1</v>
      </c>
      <c r="G7">
        <v>1</v>
      </c>
      <c r="H7" t="s">
        <v>126</v>
      </c>
      <c r="I7">
        <v>6</v>
      </c>
    </row>
    <row r="8" spans="1:9">
      <c r="A8" t="s">
        <v>381</v>
      </c>
      <c r="B8" t="s">
        <v>277</v>
      </c>
      <c r="C8" t="s">
        <v>284</v>
      </c>
      <c r="D8">
        <v>1</v>
      </c>
      <c r="E8">
        <v>1</v>
      </c>
      <c r="F8">
        <v>1</v>
      </c>
      <c r="G8">
        <v>1</v>
      </c>
      <c r="H8" t="s">
        <v>126</v>
      </c>
      <c r="I8">
        <v>7</v>
      </c>
    </row>
    <row r="9" spans="1:9">
      <c r="A9" t="s">
        <v>400</v>
      </c>
      <c r="B9" t="s">
        <v>284</v>
      </c>
      <c r="C9" t="s">
        <v>348</v>
      </c>
      <c r="D9">
        <v>0</v>
      </c>
      <c r="E9">
        <v>2</v>
      </c>
      <c r="F9">
        <v>0</v>
      </c>
      <c r="G9">
        <v>2</v>
      </c>
      <c r="H9" t="s">
        <v>125</v>
      </c>
      <c r="I9">
        <v>8</v>
      </c>
    </row>
    <row r="10" spans="1:9">
      <c r="A10" t="s">
        <v>465</v>
      </c>
      <c r="B10" t="s">
        <v>243</v>
      </c>
      <c r="C10" t="s">
        <v>284</v>
      </c>
      <c r="D10">
        <v>2</v>
      </c>
      <c r="E10">
        <v>0</v>
      </c>
      <c r="F10">
        <v>0</v>
      </c>
      <c r="G10">
        <v>2</v>
      </c>
      <c r="H10" t="s">
        <v>126</v>
      </c>
      <c r="I10">
        <v>9</v>
      </c>
    </row>
    <row r="11" spans="1:9">
      <c r="A11" t="s">
        <v>311</v>
      </c>
      <c r="B11" t="s">
        <v>284</v>
      </c>
      <c r="C11" t="s">
        <v>283</v>
      </c>
      <c r="D11">
        <v>0</v>
      </c>
      <c r="E11">
        <v>1</v>
      </c>
      <c r="F11">
        <v>0</v>
      </c>
      <c r="G11">
        <v>1</v>
      </c>
      <c r="H11" t="s">
        <v>125</v>
      </c>
      <c r="I11">
        <v>10</v>
      </c>
    </row>
    <row r="12" spans="1:9">
      <c r="A12" t="s">
        <v>370</v>
      </c>
      <c r="B12" t="s">
        <v>282</v>
      </c>
      <c r="C12" t="s">
        <v>284</v>
      </c>
      <c r="D12">
        <v>0</v>
      </c>
      <c r="E12">
        <v>0</v>
      </c>
      <c r="F12">
        <v>0</v>
      </c>
      <c r="G12">
        <v>0</v>
      </c>
      <c r="H12" t="s">
        <v>126</v>
      </c>
      <c r="I12">
        <v>11</v>
      </c>
    </row>
    <row r="13" spans="1:9">
      <c r="A13" t="s">
        <v>371</v>
      </c>
      <c r="B13" t="s">
        <v>284</v>
      </c>
      <c r="C13" t="s">
        <v>241</v>
      </c>
      <c r="D13">
        <v>2</v>
      </c>
      <c r="E13">
        <v>1</v>
      </c>
      <c r="F13">
        <v>2</v>
      </c>
      <c r="G13">
        <v>1</v>
      </c>
      <c r="H13" t="s">
        <v>125</v>
      </c>
      <c r="I13">
        <v>12</v>
      </c>
    </row>
    <row r="14" spans="1:9">
      <c r="A14" t="s">
        <v>313</v>
      </c>
      <c r="B14" t="s">
        <v>336</v>
      </c>
      <c r="C14" t="s">
        <v>284</v>
      </c>
      <c r="D14">
        <v>1</v>
      </c>
      <c r="E14">
        <v>1</v>
      </c>
      <c r="F14">
        <v>1</v>
      </c>
      <c r="G14">
        <v>1</v>
      </c>
      <c r="H14" t="s">
        <v>126</v>
      </c>
      <c r="I14">
        <v>13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7813-8A62-42D4-A8F5-64476F014628}">
  <dimension ref="A1:I18"/>
  <sheetViews>
    <sheetView workbookViewId="0">
      <selection activeCell="F2" sqref="F2:H12"/>
    </sheetView>
  </sheetViews>
  <sheetFormatPr defaultRowHeight="14.5"/>
  <cols>
    <col min="1" max="1" width="11.81640625" bestFit="1" customWidth="1"/>
    <col min="2" max="2" width="18.7265625" bestFit="1" customWidth="1"/>
    <col min="3" max="3" width="20.7265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497</v>
      </c>
      <c r="B2" t="s">
        <v>349</v>
      </c>
      <c r="C2" t="s">
        <v>337</v>
      </c>
      <c r="D2">
        <v>4</v>
      </c>
      <c r="E2">
        <v>0</v>
      </c>
      <c r="F2">
        <v>0</v>
      </c>
      <c r="G2">
        <v>4</v>
      </c>
      <c r="H2" t="s">
        <v>126</v>
      </c>
      <c r="I2">
        <v>1</v>
      </c>
    </row>
    <row r="3" spans="1:9">
      <c r="A3" t="s">
        <v>496</v>
      </c>
      <c r="B3" t="s">
        <v>337</v>
      </c>
      <c r="C3" t="s">
        <v>284</v>
      </c>
      <c r="D3">
        <v>4</v>
      </c>
      <c r="E3">
        <v>3</v>
      </c>
      <c r="F3">
        <v>4</v>
      </c>
      <c r="G3">
        <v>3</v>
      </c>
      <c r="H3" t="s">
        <v>125</v>
      </c>
      <c r="I3">
        <v>2</v>
      </c>
    </row>
    <row r="4" spans="1:9">
      <c r="A4" t="s">
        <v>460</v>
      </c>
      <c r="B4" t="s">
        <v>461</v>
      </c>
      <c r="C4" t="s">
        <v>337</v>
      </c>
      <c r="D4">
        <v>0</v>
      </c>
      <c r="E4">
        <v>4</v>
      </c>
      <c r="F4">
        <v>4</v>
      </c>
      <c r="G4">
        <v>0</v>
      </c>
      <c r="H4" t="s">
        <v>126</v>
      </c>
      <c r="I4">
        <v>3</v>
      </c>
    </row>
    <row r="5" spans="1:9">
      <c r="A5" t="s">
        <v>407</v>
      </c>
      <c r="B5" t="s">
        <v>241</v>
      </c>
      <c r="C5" t="s">
        <v>337</v>
      </c>
      <c r="D5">
        <v>1</v>
      </c>
      <c r="E5">
        <v>0</v>
      </c>
      <c r="F5">
        <v>0</v>
      </c>
      <c r="G5">
        <v>1</v>
      </c>
      <c r="H5" t="s">
        <v>126</v>
      </c>
      <c r="I5">
        <v>4</v>
      </c>
    </row>
    <row r="6" spans="1:9">
      <c r="A6" t="s">
        <v>360</v>
      </c>
      <c r="B6" t="s">
        <v>337</v>
      </c>
      <c r="C6" t="s">
        <v>322</v>
      </c>
      <c r="D6">
        <v>2</v>
      </c>
      <c r="E6">
        <v>0</v>
      </c>
      <c r="F6">
        <v>2</v>
      </c>
      <c r="G6">
        <v>0</v>
      </c>
      <c r="H6" t="s">
        <v>125</v>
      </c>
      <c r="I6">
        <v>5</v>
      </c>
    </row>
    <row r="7" spans="1:9">
      <c r="A7" t="s">
        <v>361</v>
      </c>
      <c r="B7" t="s">
        <v>337</v>
      </c>
      <c r="C7" t="s">
        <v>280</v>
      </c>
      <c r="D7">
        <v>0</v>
      </c>
      <c r="E7">
        <v>1</v>
      </c>
      <c r="F7">
        <v>0</v>
      </c>
      <c r="G7">
        <v>1</v>
      </c>
      <c r="H7" t="s">
        <v>125</v>
      </c>
      <c r="I7">
        <v>6</v>
      </c>
    </row>
    <row r="8" spans="1:9">
      <c r="A8" t="s">
        <v>304</v>
      </c>
      <c r="B8" t="s">
        <v>337</v>
      </c>
      <c r="C8" t="s">
        <v>348</v>
      </c>
      <c r="D8">
        <v>2</v>
      </c>
      <c r="E8">
        <v>1</v>
      </c>
      <c r="F8">
        <v>2</v>
      </c>
      <c r="G8">
        <v>1</v>
      </c>
      <c r="H8" t="s">
        <v>125</v>
      </c>
      <c r="I8">
        <v>7</v>
      </c>
    </row>
    <row r="9" spans="1:9">
      <c r="A9" t="s">
        <v>305</v>
      </c>
      <c r="B9" t="s">
        <v>337</v>
      </c>
      <c r="C9" t="s">
        <v>446</v>
      </c>
      <c r="D9">
        <v>2</v>
      </c>
      <c r="E9">
        <v>3</v>
      </c>
      <c r="F9">
        <v>2</v>
      </c>
      <c r="G9">
        <v>3</v>
      </c>
      <c r="H9" t="s">
        <v>125</v>
      </c>
      <c r="I9">
        <v>8</v>
      </c>
    </row>
    <row r="10" spans="1:9">
      <c r="A10" t="s">
        <v>306</v>
      </c>
      <c r="B10" t="s">
        <v>281</v>
      </c>
      <c r="C10" t="s">
        <v>337</v>
      </c>
      <c r="D10">
        <v>1</v>
      </c>
      <c r="E10">
        <v>1</v>
      </c>
      <c r="F10">
        <v>1</v>
      </c>
      <c r="G10">
        <v>1</v>
      </c>
      <c r="H10" t="s">
        <v>126</v>
      </c>
      <c r="I10">
        <v>9</v>
      </c>
    </row>
    <row r="11" spans="1:9">
      <c r="A11" t="s">
        <v>398</v>
      </c>
      <c r="B11" t="s">
        <v>337</v>
      </c>
      <c r="C11" t="s">
        <v>252</v>
      </c>
      <c r="D11">
        <v>0</v>
      </c>
      <c r="E11">
        <v>0</v>
      </c>
      <c r="F11">
        <v>0</v>
      </c>
      <c r="G11">
        <v>0</v>
      </c>
      <c r="H11" t="s">
        <v>125</v>
      </c>
      <c r="I11">
        <v>10</v>
      </c>
    </row>
    <row r="12" spans="1:9">
      <c r="A12" t="s">
        <v>308</v>
      </c>
      <c r="B12" t="s">
        <v>347</v>
      </c>
      <c r="C12" t="s">
        <v>337</v>
      </c>
      <c r="D12">
        <v>2</v>
      </c>
      <c r="E12">
        <v>0</v>
      </c>
      <c r="F12">
        <v>0</v>
      </c>
      <c r="G12">
        <v>2</v>
      </c>
      <c r="H12" t="s">
        <v>126</v>
      </c>
      <c r="I12">
        <v>11</v>
      </c>
    </row>
    <row r="13" spans="1:9">
      <c r="A13" t="s">
        <v>382</v>
      </c>
      <c r="B13" t="s">
        <v>397</v>
      </c>
      <c r="C13" t="s">
        <v>337</v>
      </c>
      <c r="D13">
        <v>1</v>
      </c>
      <c r="E13">
        <v>0</v>
      </c>
      <c r="F13">
        <v>0</v>
      </c>
      <c r="G13">
        <v>1</v>
      </c>
      <c r="H13" t="s">
        <v>126</v>
      </c>
      <c r="I13">
        <v>12</v>
      </c>
    </row>
    <row r="14" spans="1:9">
      <c r="A14" t="s">
        <v>394</v>
      </c>
      <c r="B14" t="s">
        <v>337</v>
      </c>
      <c r="C14" t="s">
        <v>276</v>
      </c>
      <c r="D14">
        <v>1</v>
      </c>
      <c r="E14">
        <v>4</v>
      </c>
      <c r="F14">
        <v>1</v>
      </c>
      <c r="G14">
        <v>4</v>
      </c>
      <c r="H14" t="s">
        <v>125</v>
      </c>
      <c r="I14">
        <v>13</v>
      </c>
    </row>
    <row r="15" spans="1:9">
      <c r="A15" t="s">
        <v>395</v>
      </c>
      <c r="B15" t="s">
        <v>242</v>
      </c>
      <c r="C15" t="s">
        <v>337</v>
      </c>
      <c r="D15">
        <v>0</v>
      </c>
      <c r="E15">
        <v>2</v>
      </c>
      <c r="F15">
        <v>2</v>
      </c>
      <c r="G15">
        <v>0</v>
      </c>
      <c r="H15" t="s">
        <v>126</v>
      </c>
      <c r="I15">
        <v>14</v>
      </c>
    </row>
    <row r="16" spans="1:9">
      <c r="A16" t="s">
        <v>457</v>
      </c>
      <c r="B16" t="s">
        <v>337</v>
      </c>
      <c r="C16" t="s">
        <v>336</v>
      </c>
      <c r="D16">
        <v>4</v>
      </c>
      <c r="E16">
        <v>0</v>
      </c>
      <c r="F16">
        <v>4</v>
      </c>
      <c r="G16">
        <v>0</v>
      </c>
      <c r="H16" t="s">
        <v>125</v>
      </c>
      <c r="I16">
        <v>15</v>
      </c>
    </row>
    <row r="17" spans="1:9">
      <c r="A17" t="s">
        <v>371</v>
      </c>
      <c r="B17" t="s">
        <v>338</v>
      </c>
      <c r="C17" t="s">
        <v>337</v>
      </c>
      <c r="D17">
        <v>3</v>
      </c>
      <c r="E17">
        <v>0</v>
      </c>
      <c r="F17">
        <v>0</v>
      </c>
      <c r="G17">
        <v>3</v>
      </c>
      <c r="H17" t="s">
        <v>126</v>
      </c>
      <c r="I17">
        <v>16</v>
      </c>
    </row>
    <row r="18" spans="1:9">
      <c r="A18" t="s">
        <v>432</v>
      </c>
      <c r="B18" t="s">
        <v>243</v>
      </c>
      <c r="C18" t="s">
        <v>337</v>
      </c>
      <c r="D18">
        <v>1</v>
      </c>
      <c r="E18">
        <v>1</v>
      </c>
      <c r="F18">
        <v>1</v>
      </c>
      <c r="G18">
        <v>1</v>
      </c>
      <c r="H18" t="s">
        <v>126</v>
      </c>
      <c r="I18">
        <v>17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D356-7CDE-4218-83D0-F7AF87062133}">
  <dimension ref="A1:I15"/>
  <sheetViews>
    <sheetView workbookViewId="0">
      <selection activeCell="F2" sqref="F2:H12"/>
    </sheetView>
  </sheetViews>
  <sheetFormatPr defaultRowHeight="14.5"/>
  <cols>
    <col min="1" max="1" width="11.26953125" bestFit="1" customWidth="1"/>
    <col min="2" max="2" width="13.08984375" bestFit="1" customWidth="1"/>
    <col min="3" max="3" width="13.4531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453125" bestFit="1" customWidth="1"/>
    <col min="9" max="9" width="7.7265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379</v>
      </c>
      <c r="I1" t="s">
        <v>320</v>
      </c>
    </row>
    <row r="2" spans="1:9">
      <c r="A2" t="s">
        <v>543</v>
      </c>
      <c r="B2" t="s">
        <v>282</v>
      </c>
      <c r="C2" t="s">
        <v>348</v>
      </c>
      <c r="D2">
        <v>1</v>
      </c>
      <c r="E2">
        <v>1</v>
      </c>
      <c r="F2">
        <v>1</v>
      </c>
      <c r="G2">
        <v>1</v>
      </c>
      <c r="H2" t="s">
        <v>125</v>
      </c>
      <c r="I2">
        <v>1</v>
      </c>
    </row>
    <row r="3" spans="1:9">
      <c r="A3" t="s">
        <v>496</v>
      </c>
      <c r="B3" t="s">
        <v>336</v>
      </c>
      <c r="C3" t="s">
        <v>282</v>
      </c>
      <c r="D3">
        <v>1</v>
      </c>
      <c r="E3">
        <v>0</v>
      </c>
      <c r="F3">
        <v>0</v>
      </c>
      <c r="G3">
        <v>1</v>
      </c>
      <c r="H3" t="s">
        <v>126</v>
      </c>
      <c r="I3">
        <v>2</v>
      </c>
    </row>
    <row r="4" spans="1:9">
      <c r="A4" t="s">
        <v>434</v>
      </c>
      <c r="B4" t="s">
        <v>458</v>
      </c>
      <c r="C4" t="s">
        <v>282</v>
      </c>
      <c r="D4">
        <v>1</v>
      </c>
      <c r="E4">
        <v>4</v>
      </c>
      <c r="F4">
        <v>4</v>
      </c>
      <c r="G4">
        <v>1</v>
      </c>
      <c r="H4" t="s">
        <v>126</v>
      </c>
      <c r="I4">
        <v>3</v>
      </c>
    </row>
    <row r="5" spans="1:9">
      <c r="A5" t="s">
        <v>407</v>
      </c>
      <c r="B5" t="s">
        <v>282</v>
      </c>
      <c r="C5" t="s">
        <v>335</v>
      </c>
      <c r="D5">
        <v>1</v>
      </c>
      <c r="E5">
        <v>2</v>
      </c>
      <c r="F5">
        <v>1</v>
      </c>
      <c r="G5">
        <v>2</v>
      </c>
      <c r="H5" t="s">
        <v>125</v>
      </c>
      <c r="I5">
        <v>4</v>
      </c>
    </row>
    <row r="6" spans="1:9">
      <c r="A6" t="s">
        <v>436</v>
      </c>
      <c r="B6" t="s">
        <v>275</v>
      </c>
      <c r="C6" t="s">
        <v>282</v>
      </c>
      <c r="D6">
        <v>2</v>
      </c>
      <c r="E6">
        <v>3</v>
      </c>
      <c r="F6">
        <v>3</v>
      </c>
      <c r="G6">
        <v>2</v>
      </c>
      <c r="H6" t="s">
        <v>126</v>
      </c>
      <c r="I6">
        <v>5</v>
      </c>
    </row>
    <row r="7" spans="1:9">
      <c r="A7" t="s">
        <v>368</v>
      </c>
      <c r="B7" t="s">
        <v>282</v>
      </c>
      <c r="C7" t="s">
        <v>252</v>
      </c>
      <c r="D7">
        <v>1</v>
      </c>
      <c r="E7">
        <v>2</v>
      </c>
      <c r="F7">
        <v>1</v>
      </c>
      <c r="G7">
        <v>2</v>
      </c>
      <c r="H7" t="s">
        <v>125</v>
      </c>
      <c r="I7">
        <v>6</v>
      </c>
    </row>
    <row r="8" spans="1:9">
      <c r="A8" t="s">
        <v>459</v>
      </c>
      <c r="B8" t="s">
        <v>282</v>
      </c>
      <c r="C8" t="s">
        <v>283</v>
      </c>
      <c r="D8">
        <v>1</v>
      </c>
      <c r="E8">
        <v>2</v>
      </c>
      <c r="F8">
        <v>1</v>
      </c>
      <c r="G8">
        <v>2</v>
      </c>
      <c r="H8" t="s">
        <v>125</v>
      </c>
      <c r="I8">
        <v>7</v>
      </c>
    </row>
    <row r="9" spans="1:9">
      <c r="A9" t="s">
        <v>307</v>
      </c>
      <c r="B9" t="s">
        <v>242</v>
      </c>
      <c r="C9" t="s">
        <v>282</v>
      </c>
      <c r="D9">
        <v>2</v>
      </c>
      <c r="E9">
        <v>1</v>
      </c>
      <c r="F9">
        <v>1</v>
      </c>
      <c r="G9">
        <v>2</v>
      </c>
      <c r="H9" t="s">
        <v>126</v>
      </c>
      <c r="I9">
        <v>8</v>
      </c>
    </row>
    <row r="10" spans="1:9">
      <c r="A10" t="s">
        <v>308</v>
      </c>
      <c r="B10" t="s">
        <v>282</v>
      </c>
      <c r="C10" t="s">
        <v>280</v>
      </c>
      <c r="D10">
        <v>0</v>
      </c>
      <c r="E10">
        <v>0</v>
      </c>
      <c r="F10">
        <v>0</v>
      </c>
      <c r="G10">
        <v>0</v>
      </c>
      <c r="H10" t="s">
        <v>125</v>
      </c>
      <c r="I10">
        <v>9</v>
      </c>
    </row>
    <row r="11" spans="1:9">
      <c r="A11" t="s">
        <v>394</v>
      </c>
      <c r="B11" t="s">
        <v>281</v>
      </c>
      <c r="C11" t="s">
        <v>282</v>
      </c>
      <c r="D11">
        <v>3</v>
      </c>
      <c r="E11">
        <v>1</v>
      </c>
      <c r="F11">
        <v>1</v>
      </c>
      <c r="G11">
        <v>3</v>
      </c>
      <c r="H11" t="s">
        <v>126</v>
      </c>
      <c r="I11">
        <v>10</v>
      </c>
    </row>
    <row r="12" spans="1:9">
      <c r="A12" t="s">
        <v>311</v>
      </c>
      <c r="B12" t="s">
        <v>276</v>
      </c>
      <c r="C12" t="s">
        <v>282</v>
      </c>
      <c r="D12">
        <v>7</v>
      </c>
      <c r="E12">
        <v>0</v>
      </c>
      <c r="F12">
        <v>0</v>
      </c>
      <c r="G12">
        <v>7</v>
      </c>
      <c r="H12" t="s">
        <v>126</v>
      </c>
      <c r="I12">
        <v>11</v>
      </c>
    </row>
    <row r="13" spans="1:9">
      <c r="A13" t="s">
        <v>370</v>
      </c>
      <c r="B13" t="s">
        <v>282</v>
      </c>
      <c r="C13" t="s">
        <v>284</v>
      </c>
      <c r="D13">
        <v>0</v>
      </c>
      <c r="E13">
        <v>0</v>
      </c>
      <c r="F13">
        <v>0</v>
      </c>
      <c r="G13">
        <v>0</v>
      </c>
      <c r="H13" t="s">
        <v>125</v>
      </c>
      <c r="I13">
        <v>12</v>
      </c>
    </row>
    <row r="14" spans="1:9">
      <c r="A14" t="s">
        <v>371</v>
      </c>
      <c r="B14" t="s">
        <v>278</v>
      </c>
      <c r="C14" t="s">
        <v>282</v>
      </c>
      <c r="D14">
        <v>3</v>
      </c>
      <c r="E14">
        <v>0</v>
      </c>
      <c r="F14">
        <v>0</v>
      </c>
      <c r="G14">
        <v>3</v>
      </c>
      <c r="H14" t="s">
        <v>126</v>
      </c>
      <c r="I14">
        <v>13</v>
      </c>
    </row>
    <row r="15" spans="1:9">
      <c r="A15" t="s">
        <v>425</v>
      </c>
      <c r="B15" t="s">
        <v>282</v>
      </c>
      <c r="C15" t="s">
        <v>279</v>
      </c>
      <c r="D15">
        <v>1</v>
      </c>
      <c r="E15">
        <v>0</v>
      </c>
      <c r="F15">
        <v>1</v>
      </c>
      <c r="G15">
        <v>0</v>
      </c>
      <c r="H15" t="s">
        <v>125</v>
      </c>
      <c r="I15">
        <v>14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74CA2-A2A8-4A77-A3A3-D1B4D49D45E3}">
  <dimension ref="A1:I22"/>
  <sheetViews>
    <sheetView workbookViewId="0">
      <selection activeCell="F2" sqref="F2:H12"/>
    </sheetView>
  </sheetViews>
  <sheetFormatPr defaultRowHeight="14.5"/>
  <cols>
    <col min="1" max="1" width="12" bestFit="1" customWidth="1"/>
    <col min="2" max="2" width="18.7265625" bestFit="1" customWidth="1"/>
    <col min="3" max="3" width="14.81640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501</v>
      </c>
      <c r="B2" t="s">
        <v>397</v>
      </c>
      <c r="C2" t="s">
        <v>338</v>
      </c>
      <c r="D2">
        <v>1</v>
      </c>
      <c r="E2">
        <v>2</v>
      </c>
      <c r="F2">
        <v>2</v>
      </c>
      <c r="G2">
        <v>1</v>
      </c>
      <c r="H2" t="s">
        <v>126</v>
      </c>
      <c r="I2">
        <v>1</v>
      </c>
    </row>
    <row r="3" spans="1:9">
      <c r="A3" t="s">
        <v>503</v>
      </c>
      <c r="B3" t="s">
        <v>338</v>
      </c>
      <c r="C3" t="s">
        <v>241</v>
      </c>
      <c r="D3">
        <v>2</v>
      </c>
      <c r="E3">
        <v>0</v>
      </c>
      <c r="F3">
        <v>2</v>
      </c>
      <c r="G3">
        <v>0</v>
      </c>
      <c r="H3" t="s">
        <v>125</v>
      </c>
      <c r="I3">
        <v>2</v>
      </c>
    </row>
    <row r="4" spans="1:9">
      <c r="A4" t="s">
        <v>480</v>
      </c>
      <c r="B4" t="s">
        <v>525</v>
      </c>
      <c r="C4" t="s">
        <v>338</v>
      </c>
      <c r="D4">
        <v>0</v>
      </c>
      <c r="E4">
        <v>2</v>
      </c>
      <c r="F4">
        <v>2</v>
      </c>
      <c r="G4">
        <v>0</v>
      </c>
      <c r="H4" t="s">
        <v>126</v>
      </c>
      <c r="I4">
        <v>3</v>
      </c>
    </row>
    <row r="5" spans="1:9">
      <c r="A5" t="s">
        <v>455</v>
      </c>
      <c r="B5" t="s">
        <v>243</v>
      </c>
      <c r="C5" t="s">
        <v>338</v>
      </c>
      <c r="D5">
        <v>1</v>
      </c>
      <c r="E5">
        <v>0</v>
      </c>
      <c r="F5">
        <v>0</v>
      </c>
      <c r="G5">
        <v>1</v>
      </c>
      <c r="H5" t="s">
        <v>126</v>
      </c>
      <c r="I5">
        <v>4</v>
      </c>
    </row>
    <row r="6" spans="1:9">
      <c r="A6" t="s">
        <v>442</v>
      </c>
      <c r="B6" t="s">
        <v>338</v>
      </c>
      <c r="C6" t="s">
        <v>470</v>
      </c>
      <c r="D6">
        <v>1</v>
      </c>
      <c r="E6">
        <v>3</v>
      </c>
      <c r="F6">
        <v>1</v>
      </c>
      <c r="G6">
        <v>3</v>
      </c>
      <c r="H6" t="s">
        <v>125</v>
      </c>
      <c r="I6">
        <v>5</v>
      </c>
    </row>
    <row r="7" spans="1:9">
      <c r="A7" t="s">
        <v>463</v>
      </c>
      <c r="B7" t="s">
        <v>338</v>
      </c>
      <c r="C7" t="s">
        <v>284</v>
      </c>
      <c r="D7">
        <v>3</v>
      </c>
      <c r="E7">
        <v>1</v>
      </c>
      <c r="F7">
        <v>3</v>
      </c>
      <c r="G7">
        <v>1</v>
      </c>
      <c r="H7" t="s">
        <v>125</v>
      </c>
      <c r="I7">
        <v>6</v>
      </c>
    </row>
    <row r="8" spans="1:9">
      <c r="A8" t="s">
        <v>304</v>
      </c>
      <c r="B8" t="s">
        <v>280</v>
      </c>
      <c r="C8" t="s">
        <v>338</v>
      </c>
      <c r="D8">
        <v>1</v>
      </c>
      <c r="E8">
        <v>1</v>
      </c>
      <c r="F8">
        <v>1</v>
      </c>
      <c r="G8">
        <v>1</v>
      </c>
      <c r="H8" t="s">
        <v>126</v>
      </c>
      <c r="I8">
        <v>7</v>
      </c>
    </row>
    <row r="9" spans="1:9">
      <c r="A9" t="s">
        <v>305</v>
      </c>
      <c r="B9" t="s">
        <v>391</v>
      </c>
      <c r="C9" t="s">
        <v>338</v>
      </c>
      <c r="D9">
        <v>4</v>
      </c>
      <c r="E9">
        <v>0</v>
      </c>
      <c r="F9">
        <v>0</v>
      </c>
      <c r="G9">
        <v>4</v>
      </c>
      <c r="H9" t="s">
        <v>126</v>
      </c>
      <c r="I9">
        <v>8</v>
      </c>
    </row>
    <row r="10" spans="1:9">
      <c r="A10" t="s">
        <v>306</v>
      </c>
      <c r="B10" t="s">
        <v>338</v>
      </c>
      <c r="C10" t="s">
        <v>278</v>
      </c>
      <c r="D10">
        <v>1</v>
      </c>
      <c r="E10">
        <v>1</v>
      </c>
      <c r="F10">
        <v>1</v>
      </c>
      <c r="G10">
        <v>1</v>
      </c>
      <c r="H10" t="s">
        <v>125</v>
      </c>
      <c r="I10">
        <v>9</v>
      </c>
    </row>
    <row r="11" spans="1:9">
      <c r="A11" t="s">
        <v>423</v>
      </c>
      <c r="B11" t="s">
        <v>281</v>
      </c>
      <c r="C11" t="s">
        <v>338</v>
      </c>
      <c r="D11">
        <v>0</v>
      </c>
      <c r="E11">
        <v>1</v>
      </c>
      <c r="F11">
        <v>1</v>
      </c>
      <c r="G11">
        <v>0</v>
      </c>
      <c r="H11" t="s">
        <v>126</v>
      </c>
      <c r="I11">
        <v>10</v>
      </c>
    </row>
    <row r="12" spans="1:9">
      <c r="A12" t="s">
        <v>381</v>
      </c>
      <c r="B12" t="s">
        <v>252</v>
      </c>
      <c r="C12" t="s">
        <v>338</v>
      </c>
      <c r="D12">
        <v>1</v>
      </c>
      <c r="E12">
        <v>1</v>
      </c>
      <c r="F12">
        <v>1</v>
      </c>
      <c r="G12">
        <v>1</v>
      </c>
      <c r="H12" t="s">
        <v>126</v>
      </c>
      <c r="I12">
        <v>11</v>
      </c>
    </row>
    <row r="13" spans="1:9">
      <c r="A13" t="s">
        <v>400</v>
      </c>
      <c r="B13" t="s">
        <v>338</v>
      </c>
      <c r="C13" t="s">
        <v>358</v>
      </c>
      <c r="D13">
        <v>2</v>
      </c>
      <c r="E13">
        <v>1</v>
      </c>
      <c r="F13">
        <v>2</v>
      </c>
      <c r="G13">
        <v>1</v>
      </c>
      <c r="H13" t="s">
        <v>125</v>
      </c>
      <c r="I13">
        <v>12</v>
      </c>
    </row>
    <row r="14" spans="1:9">
      <c r="A14" t="s">
        <v>394</v>
      </c>
      <c r="B14" t="s">
        <v>338</v>
      </c>
      <c r="C14" t="s">
        <v>347</v>
      </c>
      <c r="D14">
        <v>3</v>
      </c>
      <c r="E14">
        <v>0</v>
      </c>
      <c r="F14">
        <v>3</v>
      </c>
      <c r="G14">
        <v>0</v>
      </c>
      <c r="H14" t="s">
        <v>125</v>
      </c>
      <c r="I14">
        <v>13</v>
      </c>
    </row>
    <row r="15" spans="1:9">
      <c r="A15" t="s">
        <v>311</v>
      </c>
      <c r="B15" t="s">
        <v>348</v>
      </c>
      <c r="C15" t="s">
        <v>338</v>
      </c>
      <c r="D15">
        <v>0</v>
      </c>
      <c r="E15">
        <v>1</v>
      </c>
      <c r="F15">
        <v>1</v>
      </c>
      <c r="G15">
        <v>0</v>
      </c>
      <c r="H15" t="s">
        <v>126</v>
      </c>
      <c r="I15">
        <v>14</v>
      </c>
    </row>
    <row r="16" spans="1:9">
      <c r="A16" t="s">
        <v>370</v>
      </c>
      <c r="B16" t="s">
        <v>338</v>
      </c>
      <c r="C16" t="s">
        <v>279</v>
      </c>
      <c r="D16">
        <v>0</v>
      </c>
      <c r="E16">
        <v>0</v>
      </c>
      <c r="F16">
        <v>0</v>
      </c>
      <c r="G16">
        <v>0</v>
      </c>
      <c r="H16" t="s">
        <v>125</v>
      </c>
      <c r="I16">
        <v>15</v>
      </c>
    </row>
    <row r="17" spans="1:9">
      <c r="A17" t="s">
        <v>371</v>
      </c>
      <c r="B17" t="s">
        <v>338</v>
      </c>
      <c r="C17" t="s">
        <v>337</v>
      </c>
      <c r="D17">
        <v>3</v>
      </c>
      <c r="E17">
        <v>0</v>
      </c>
      <c r="F17">
        <v>3</v>
      </c>
      <c r="G17">
        <v>0</v>
      </c>
      <c r="H17" t="s">
        <v>125</v>
      </c>
      <c r="I17">
        <v>16</v>
      </c>
    </row>
    <row r="18" spans="1:9">
      <c r="A18" t="s">
        <v>425</v>
      </c>
      <c r="B18" t="s">
        <v>335</v>
      </c>
      <c r="C18" t="s">
        <v>338</v>
      </c>
      <c r="D18">
        <v>2</v>
      </c>
      <c r="E18">
        <v>2</v>
      </c>
      <c r="F18">
        <v>2</v>
      </c>
      <c r="G18">
        <v>2</v>
      </c>
      <c r="H18" t="s">
        <v>126</v>
      </c>
      <c r="I18">
        <v>17</v>
      </c>
    </row>
    <row r="19" spans="1:9">
      <c r="A19" t="s">
        <v>402</v>
      </c>
      <c r="B19" t="s">
        <v>338</v>
      </c>
      <c r="C19" t="s">
        <v>472</v>
      </c>
      <c r="D19">
        <v>2</v>
      </c>
      <c r="E19">
        <v>0</v>
      </c>
      <c r="F19">
        <v>2</v>
      </c>
      <c r="G19">
        <v>0</v>
      </c>
      <c r="H19" t="s">
        <v>125</v>
      </c>
      <c r="I19">
        <v>18</v>
      </c>
    </row>
    <row r="20" spans="1:9">
      <c r="A20" t="s">
        <v>377</v>
      </c>
      <c r="B20" t="s">
        <v>473</v>
      </c>
      <c r="C20" t="s">
        <v>338</v>
      </c>
      <c r="D20">
        <v>1</v>
      </c>
      <c r="E20">
        <v>6</v>
      </c>
      <c r="F20">
        <v>6</v>
      </c>
      <c r="G20">
        <v>1</v>
      </c>
      <c r="H20" t="s">
        <v>126</v>
      </c>
      <c r="I20">
        <v>19</v>
      </c>
    </row>
    <row r="21" spans="1:9">
      <c r="A21" t="s">
        <v>389</v>
      </c>
      <c r="B21" t="s">
        <v>277</v>
      </c>
      <c r="C21" t="s">
        <v>338</v>
      </c>
      <c r="D21">
        <v>1</v>
      </c>
      <c r="E21">
        <v>3</v>
      </c>
      <c r="F21">
        <v>3</v>
      </c>
      <c r="G21">
        <v>1</v>
      </c>
      <c r="H21" t="s">
        <v>126</v>
      </c>
      <c r="I21">
        <v>20</v>
      </c>
    </row>
    <row r="22" spans="1:9">
      <c r="A22" t="s">
        <v>406</v>
      </c>
      <c r="B22" t="s">
        <v>338</v>
      </c>
      <c r="C22" t="s">
        <v>474</v>
      </c>
      <c r="D22">
        <v>1</v>
      </c>
      <c r="E22">
        <v>1</v>
      </c>
      <c r="F22">
        <v>1</v>
      </c>
      <c r="G22">
        <v>1</v>
      </c>
      <c r="H22" t="s">
        <v>125</v>
      </c>
      <c r="I22">
        <v>21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DF85E-B6F8-412D-A5BF-C9CB0AD594F7}">
  <dimension ref="A1:I20"/>
  <sheetViews>
    <sheetView workbookViewId="0">
      <selection activeCell="F2" sqref="F2:H12"/>
    </sheetView>
  </sheetViews>
  <sheetFormatPr defaultRowHeight="14.5"/>
  <cols>
    <col min="1" max="1" width="12" bestFit="1" customWidth="1"/>
    <col min="2" max="2" width="14.81640625" bestFit="1" customWidth="1"/>
    <col min="3" max="3" width="18.179687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497</v>
      </c>
      <c r="B2" t="s">
        <v>278</v>
      </c>
      <c r="C2" t="s">
        <v>325</v>
      </c>
      <c r="D2">
        <v>1</v>
      </c>
      <c r="E2">
        <v>3</v>
      </c>
      <c r="F2">
        <v>1</v>
      </c>
      <c r="G2">
        <v>3</v>
      </c>
      <c r="H2" t="s">
        <v>125</v>
      </c>
      <c r="I2">
        <v>1</v>
      </c>
    </row>
    <row r="3" spans="1:9">
      <c r="A3" t="s">
        <v>407</v>
      </c>
      <c r="B3" t="s">
        <v>278</v>
      </c>
      <c r="C3" t="s">
        <v>276</v>
      </c>
      <c r="D3">
        <v>0</v>
      </c>
      <c r="E3">
        <v>4</v>
      </c>
      <c r="F3">
        <v>0</v>
      </c>
      <c r="G3">
        <v>4</v>
      </c>
      <c r="H3" t="s">
        <v>125</v>
      </c>
      <c r="I3">
        <v>2</v>
      </c>
    </row>
    <row r="4" spans="1:9">
      <c r="A4" t="s">
        <v>360</v>
      </c>
      <c r="B4" t="s">
        <v>278</v>
      </c>
      <c r="C4" t="s">
        <v>300</v>
      </c>
      <c r="D4">
        <v>5</v>
      </c>
      <c r="E4">
        <v>2</v>
      </c>
      <c r="F4">
        <v>5</v>
      </c>
      <c r="G4">
        <v>2</v>
      </c>
      <c r="H4" t="s">
        <v>125</v>
      </c>
      <c r="I4">
        <v>3</v>
      </c>
    </row>
    <row r="5" spans="1:9">
      <c r="A5" t="s">
        <v>361</v>
      </c>
      <c r="B5" t="s">
        <v>281</v>
      </c>
      <c r="C5" t="s">
        <v>278</v>
      </c>
      <c r="D5">
        <v>1</v>
      </c>
      <c r="E5">
        <v>2</v>
      </c>
      <c r="F5">
        <v>2</v>
      </c>
      <c r="G5">
        <v>1</v>
      </c>
      <c r="H5" t="s">
        <v>126</v>
      </c>
      <c r="I5">
        <v>4</v>
      </c>
    </row>
    <row r="6" spans="1:9">
      <c r="A6" t="s">
        <v>368</v>
      </c>
      <c r="B6" t="s">
        <v>278</v>
      </c>
      <c r="C6" t="s">
        <v>335</v>
      </c>
      <c r="D6">
        <v>2</v>
      </c>
      <c r="E6">
        <v>0</v>
      </c>
      <c r="F6">
        <v>2</v>
      </c>
      <c r="G6">
        <v>0</v>
      </c>
      <c r="H6" t="s">
        <v>125</v>
      </c>
      <c r="I6">
        <v>5</v>
      </c>
    </row>
    <row r="7" spans="1:9">
      <c r="A7" t="s">
        <v>305</v>
      </c>
      <c r="B7" t="s">
        <v>470</v>
      </c>
      <c r="C7" t="s">
        <v>278</v>
      </c>
      <c r="D7">
        <v>1</v>
      </c>
      <c r="E7">
        <v>0</v>
      </c>
      <c r="F7">
        <v>0</v>
      </c>
      <c r="G7">
        <v>1</v>
      </c>
      <c r="H7" t="s">
        <v>126</v>
      </c>
      <c r="I7">
        <v>6</v>
      </c>
    </row>
    <row r="8" spans="1:9">
      <c r="A8" t="s">
        <v>306</v>
      </c>
      <c r="B8" t="s">
        <v>338</v>
      </c>
      <c r="C8" t="s">
        <v>278</v>
      </c>
      <c r="D8">
        <v>1</v>
      </c>
      <c r="E8">
        <v>1</v>
      </c>
      <c r="F8">
        <v>1</v>
      </c>
      <c r="G8">
        <v>1</v>
      </c>
      <c r="H8" t="s">
        <v>126</v>
      </c>
      <c r="I8">
        <v>7</v>
      </c>
    </row>
    <row r="9" spans="1:9">
      <c r="A9" t="s">
        <v>307</v>
      </c>
      <c r="B9" t="s">
        <v>278</v>
      </c>
      <c r="C9" t="s">
        <v>275</v>
      </c>
      <c r="D9">
        <v>3</v>
      </c>
      <c r="E9">
        <v>2</v>
      </c>
      <c r="F9">
        <v>3</v>
      </c>
      <c r="G9">
        <v>2</v>
      </c>
      <c r="H9" t="s">
        <v>125</v>
      </c>
      <c r="I9">
        <v>8</v>
      </c>
    </row>
    <row r="10" spans="1:9">
      <c r="A10" t="s">
        <v>308</v>
      </c>
      <c r="B10" t="s">
        <v>278</v>
      </c>
      <c r="C10" t="s">
        <v>279</v>
      </c>
      <c r="D10">
        <v>4</v>
      </c>
      <c r="E10">
        <v>1</v>
      </c>
      <c r="F10">
        <v>4</v>
      </c>
      <c r="G10">
        <v>1</v>
      </c>
      <c r="H10" t="s">
        <v>125</v>
      </c>
      <c r="I10">
        <v>9</v>
      </c>
    </row>
    <row r="11" spans="1:9">
      <c r="A11" t="s">
        <v>309</v>
      </c>
      <c r="B11" t="s">
        <v>278</v>
      </c>
      <c r="C11" t="s">
        <v>433</v>
      </c>
      <c r="D11">
        <v>3</v>
      </c>
      <c r="E11">
        <v>1</v>
      </c>
      <c r="F11">
        <v>3</v>
      </c>
      <c r="G11">
        <v>1</v>
      </c>
      <c r="H11" t="s">
        <v>125</v>
      </c>
      <c r="I11">
        <v>10</v>
      </c>
    </row>
    <row r="12" spans="1:9">
      <c r="A12" t="s">
        <v>310</v>
      </c>
      <c r="B12" t="s">
        <v>280</v>
      </c>
      <c r="C12" t="s">
        <v>278</v>
      </c>
      <c r="D12">
        <v>0</v>
      </c>
      <c r="E12">
        <v>2</v>
      </c>
      <c r="F12">
        <v>2</v>
      </c>
      <c r="G12">
        <v>0</v>
      </c>
      <c r="H12" t="s">
        <v>126</v>
      </c>
      <c r="I12">
        <v>11</v>
      </c>
    </row>
    <row r="13" spans="1:9">
      <c r="A13" t="s">
        <v>395</v>
      </c>
      <c r="B13" t="s">
        <v>278</v>
      </c>
      <c r="C13" t="s">
        <v>243</v>
      </c>
      <c r="D13">
        <v>2</v>
      </c>
      <c r="E13">
        <v>0</v>
      </c>
      <c r="F13">
        <v>2</v>
      </c>
      <c r="G13">
        <v>0</v>
      </c>
      <c r="H13" t="s">
        <v>125</v>
      </c>
      <c r="I13">
        <v>12</v>
      </c>
    </row>
    <row r="14" spans="1:9">
      <c r="A14" t="s">
        <v>457</v>
      </c>
      <c r="B14" t="s">
        <v>241</v>
      </c>
      <c r="C14" t="s">
        <v>278</v>
      </c>
      <c r="D14">
        <v>1</v>
      </c>
      <c r="E14">
        <v>1</v>
      </c>
      <c r="F14">
        <v>1</v>
      </c>
      <c r="G14">
        <v>1</v>
      </c>
      <c r="H14" t="s">
        <v>126</v>
      </c>
      <c r="I14">
        <v>13</v>
      </c>
    </row>
    <row r="15" spans="1:9">
      <c r="A15" t="s">
        <v>371</v>
      </c>
      <c r="B15" t="s">
        <v>278</v>
      </c>
      <c r="C15" t="s">
        <v>282</v>
      </c>
      <c r="D15">
        <v>3</v>
      </c>
      <c r="E15">
        <v>0</v>
      </c>
      <c r="F15">
        <v>3</v>
      </c>
      <c r="G15">
        <v>0</v>
      </c>
      <c r="H15" t="s">
        <v>125</v>
      </c>
      <c r="I15">
        <v>14</v>
      </c>
    </row>
    <row r="16" spans="1:9">
      <c r="A16" t="s">
        <v>386</v>
      </c>
      <c r="B16" t="s">
        <v>283</v>
      </c>
      <c r="C16" t="s">
        <v>278</v>
      </c>
      <c r="D16">
        <v>1</v>
      </c>
      <c r="E16">
        <v>1</v>
      </c>
      <c r="F16">
        <v>1</v>
      </c>
      <c r="G16">
        <v>1</v>
      </c>
      <c r="H16" t="s">
        <v>126</v>
      </c>
      <c r="I16">
        <v>15</v>
      </c>
    </row>
    <row r="17" spans="1:9">
      <c r="A17" t="s">
        <v>471</v>
      </c>
      <c r="B17" t="s">
        <v>278</v>
      </c>
      <c r="C17" t="s">
        <v>401</v>
      </c>
      <c r="D17">
        <v>2</v>
      </c>
      <c r="E17">
        <v>0</v>
      </c>
      <c r="F17">
        <v>2</v>
      </c>
      <c r="G17">
        <v>0</v>
      </c>
      <c r="H17" t="s">
        <v>125</v>
      </c>
      <c r="I17">
        <v>16</v>
      </c>
    </row>
    <row r="18" spans="1:9">
      <c r="A18" t="s">
        <v>468</v>
      </c>
      <c r="B18" t="s">
        <v>278</v>
      </c>
      <c r="C18" t="s">
        <v>51</v>
      </c>
      <c r="D18">
        <v>2</v>
      </c>
      <c r="E18">
        <v>1</v>
      </c>
      <c r="F18">
        <v>2</v>
      </c>
      <c r="G18">
        <v>1</v>
      </c>
      <c r="H18" t="s">
        <v>125</v>
      </c>
      <c r="I18">
        <v>17</v>
      </c>
    </row>
    <row r="19" spans="1:9">
      <c r="A19" t="s">
        <v>389</v>
      </c>
      <c r="B19" t="s">
        <v>278</v>
      </c>
      <c r="C19" t="s">
        <v>276</v>
      </c>
      <c r="D19">
        <v>1</v>
      </c>
      <c r="E19">
        <v>2</v>
      </c>
      <c r="F19">
        <v>1</v>
      </c>
      <c r="G19">
        <v>2</v>
      </c>
      <c r="H19" t="s">
        <v>125</v>
      </c>
      <c r="I19">
        <v>18</v>
      </c>
    </row>
    <row r="20" spans="1:9">
      <c r="A20" t="s">
        <v>405</v>
      </c>
      <c r="B20" t="s">
        <v>278</v>
      </c>
      <c r="C20" t="s">
        <v>325</v>
      </c>
      <c r="D20">
        <v>1</v>
      </c>
      <c r="E20">
        <v>0</v>
      </c>
      <c r="F20">
        <v>1</v>
      </c>
      <c r="G20">
        <v>0</v>
      </c>
      <c r="H20" t="s">
        <v>125</v>
      </c>
      <c r="I20">
        <v>19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E320C-3B46-4A14-B921-4EFCCEE61DA6}">
  <dimension ref="A39:U120"/>
  <sheetViews>
    <sheetView topLeftCell="A33" zoomScaleNormal="100" workbookViewId="0">
      <selection activeCell="Q56" sqref="Q56"/>
    </sheetView>
  </sheetViews>
  <sheetFormatPr defaultRowHeight="14.5"/>
  <cols>
    <col min="1" max="1" width="15" bestFit="1" customWidth="1"/>
    <col min="2" max="2" width="12.54296875" bestFit="1" customWidth="1"/>
    <col min="3" max="3" width="13.7265625" bestFit="1" customWidth="1"/>
    <col min="4" max="4" width="13.26953125" bestFit="1" customWidth="1"/>
    <col min="5" max="5" width="11.453125" bestFit="1" customWidth="1"/>
    <col min="6" max="6" width="13" bestFit="1" customWidth="1"/>
    <col min="7" max="7" width="10.54296875" bestFit="1" customWidth="1"/>
    <col min="8" max="8" width="8.26953125" bestFit="1" customWidth="1"/>
    <col min="12" max="12" width="15" bestFit="1" customWidth="1"/>
    <col min="13" max="13" width="10.54296875" bestFit="1" customWidth="1"/>
    <col min="14" max="14" width="14.54296875" bestFit="1" customWidth="1"/>
    <col min="15" max="15" width="14.7265625" bestFit="1" customWidth="1"/>
    <col min="16" max="16" width="13.7265625" bestFit="1" customWidth="1"/>
    <col min="17" max="17" width="13.26953125" bestFit="1" customWidth="1"/>
    <col min="18" max="18" width="11.453125" bestFit="1" customWidth="1"/>
    <col min="19" max="19" width="13" bestFit="1" customWidth="1"/>
    <col min="20" max="20" width="10.54296875" bestFit="1" customWidth="1"/>
    <col min="21" max="21" width="8.26953125" bestFit="1" customWidth="1"/>
    <col min="22" max="22" width="13.26953125" bestFit="1" customWidth="1"/>
    <col min="23" max="23" width="11.453125" bestFit="1" customWidth="1"/>
    <col min="24" max="24" width="13" bestFit="1" customWidth="1"/>
    <col min="25" max="25" width="10.54296875" bestFit="1" customWidth="1"/>
    <col min="26" max="26" width="8.26953125" bestFit="1" customWidth="1"/>
  </cols>
  <sheetData>
    <row r="39" spans="1:8">
      <c r="A39" t="s">
        <v>238</v>
      </c>
      <c r="B39" t="s">
        <v>239</v>
      </c>
      <c r="C39" t="s">
        <v>302</v>
      </c>
      <c r="D39" t="s">
        <v>303</v>
      </c>
      <c r="E39" t="s">
        <v>294</v>
      </c>
      <c r="F39" t="s">
        <v>291</v>
      </c>
      <c r="G39" t="s">
        <v>240</v>
      </c>
      <c r="H39" t="s">
        <v>320</v>
      </c>
    </row>
    <row r="40" spans="1:8">
      <c r="A40" t="s">
        <v>469</v>
      </c>
      <c r="B40" t="s">
        <v>252</v>
      </c>
      <c r="C40">
        <v>0</v>
      </c>
      <c r="D40">
        <v>5</v>
      </c>
      <c r="E40">
        <v>5</v>
      </c>
      <c r="F40">
        <v>0</v>
      </c>
      <c r="G40" t="s">
        <v>126</v>
      </c>
      <c r="H40">
        <v>1</v>
      </c>
    </row>
    <row r="41" spans="1:8">
      <c r="A41" t="s">
        <v>252</v>
      </c>
      <c r="B41" t="s">
        <v>275</v>
      </c>
      <c r="C41">
        <v>1</v>
      </c>
      <c r="D41">
        <v>0</v>
      </c>
      <c r="E41">
        <v>1</v>
      </c>
      <c r="F41">
        <v>0</v>
      </c>
      <c r="G41" t="s">
        <v>125</v>
      </c>
      <c r="H41">
        <v>2</v>
      </c>
    </row>
    <row r="42" spans="1:8">
      <c r="A42" t="s">
        <v>283</v>
      </c>
      <c r="B42" t="s">
        <v>252</v>
      </c>
      <c r="C42">
        <v>1</v>
      </c>
      <c r="D42">
        <v>0</v>
      </c>
      <c r="E42">
        <v>0</v>
      </c>
      <c r="F42">
        <v>1</v>
      </c>
      <c r="G42" t="s">
        <v>126</v>
      </c>
      <c r="H42">
        <v>3</v>
      </c>
    </row>
    <row r="43" spans="1:8">
      <c r="A43" t="s">
        <v>282</v>
      </c>
      <c r="B43" t="s">
        <v>252</v>
      </c>
      <c r="C43">
        <v>1</v>
      </c>
      <c r="D43">
        <v>2</v>
      </c>
      <c r="E43">
        <v>2</v>
      </c>
      <c r="F43">
        <v>1</v>
      </c>
      <c r="G43" t="s">
        <v>126</v>
      </c>
      <c r="H43">
        <v>4</v>
      </c>
    </row>
    <row r="44" spans="1:8">
      <c r="A44" t="s">
        <v>252</v>
      </c>
      <c r="B44" t="s">
        <v>284</v>
      </c>
      <c r="C44">
        <v>1</v>
      </c>
      <c r="D44">
        <v>1</v>
      </c>
      <c r="E44">
        <v>1</v>
      </c>
      <c r="F44">
        <v>1</v>
      </c>
      <c r="G44" t="s">
        <v>125</v>
      </c>
      <c r="H44">
        <v>5</v>
      </c>
    </row>
    <row r="45" spans="1:8">
      <c r="A45" t="s">
        <v>337</v>
      </c>
      <c r="B45" t="s">
        <v>252</v>
      </c>
      <c r="C45">
        <v>0</v>
      </c>
      <c r="D45">
        <v>0</v>
      </c>
      <c r="E45">
        <v>0</v>
      </c>
      <c r="F45">
        <v>0</v>
      </c>
      <c r="G45" t="s">
        <v>126</v>
      </c>
      <c r="H45">
        <v>6</v>
      </c>
    </row>
    <row r="46" spans="1:8">
      <c r="A46" t="s">
        <v>252</v>
      </c>
      <c r="B46" t="s">
        <v>338</v>
      </c>
      <c r="C46">
        <v>1</v>
      </c>
      <c r="D46">
        <v>1</v>
      </c>
      <c r="E46">
        <v>1</v>
      </c>
      <c r="F46">
        <v>1</v>
      </c>
      <c r="G46" t="s">
        <v>125</v>
      </c>
      <c r="H46">
        <v>7</v>
      </c>
    </row>
    <row r="47" spans="1:8">
      <c r="A47" t="s">
        <v>252</v>
      </c>
      <c r="B47" t="s">
        <v>336</v>
      </c>
      <c r="C47">
        <v>3</v>
      </c>
      <c r="D47">
        <v>1</v>
      </c>
      <c r="E47">
        <v>3</v>
      </c>
      <c r="F47">
        <v>1</v>
      </c>
      <c r="G47" t="s">
        <v>125</v>
      </c>
      <c r="H47">
        <v>8</v>
      </c>
    </row>
    <row r="48" spans="1:8">
      <c r="A48" t="s">
        <v>279</v>
      </c>
      <c r="B48" t="s">
        <v>252</v>
      </c>
      <c r="C48">
        <v>2</v>
      </c>
      <c r="D48">
        <v>1</v>
      </c>
      <c r="E48">
        <v>1</v>
      </c>
      <c r="F48">
        <v>2</v>
      </c>
      <c r="G48" t="s">
        <v>126</v>
      </c>
      <c r="H48">
        <v>9</v>
      </c>
    </row>
    <row r="49" spans="1:8">
      <c r="A49" t="s">
        <v>252</v>
      </c>
      <c r="B49" t="s">
        <v>276</v>
      </c>
      <c r="C49">
        <v>1</v>
      </c>
      <c r="D49">
        <v>2</v>
      </c>
      <c r="E49">
        <v>1</v>
      </c>
      <c r="F49">
        <v>2</v>
      </c>
      <c r="G49" t="s">
        <v>125</v>
      </c>
      <c r="H49">
        <v>10</v>
      </c>
    </row>
    <row r="50" spans="1:8">
      <c r="A50" t="s">
        <v>277</v>
      </c>
      <c r="B50" t="s">
        <v>252</v>
      </c>
      <c r="C50">
        <v>0</v>
      </c>
      <c r="D50">
        <v>0</v>
      </c>
      <c r="E50">
        <v>0</v>
      </c>
      <c r="F50">
        <v>0</v>
      </c>
      <c r="G50" t="s">
        <v>126</v>
      </c>
      <c r="H50">
        <v>11</v>
      </c>
    </row>
    <row r="51" spans="1:8">
      <c r="A51" t="s">
        <v>280</v>
      </c>
      <c r="B51" t="s">
        <v>252</v>
      </c>
      <c r="C51">
        <v>1</v>
      </c>
      <c r="D51">
        <v>2</v>
      </c>
      <c r="E51">
        <v>2</v>
      </c>
      <c r="F51">
        <v>1</v>
      </c>
      <c r="G51" t="s">
        <v>126</v>
      </c>
      <c r="H51">
        <v>12</v>
      </c>
    </row>
    <row r="52" spans="1:8">
      <c r="A52" t="s">
        <v>66</v>
      </c>
      <c r="B52" t="s">
        <v>252</v>
      </c>
      <c r="C52">
        <v>0</v>
      </c>
      <c r="D52">
        <v>1</v>
      </c>
      <c r="E52">
        <v>1</v>
      </c>
      <c r="F52">
        <v>0</v>
      </c>
      <c r="G52" t="s">
        <v>126</v>
      </c>
      <c r="H52">
        <v>13</v>
      </c>
    </row>
    <row r="88" spans="14:21">
      <c r="N88" t="s">
        <v>238</v>
      </c>
      <c r="O88" t="s">
        <v>239</v>
      </c>
      <c r="P88" t="s">
        <v>302</v>
      </c>
      <c r="Q88" t="s">
        <v>303</v>
      </c>
      <c r="R88" t="s">
        <v>285</v>
      </c>
      <c r="S88" t="s">
        <v>291</v>
      </c>
      <c r="T88" t="s">
        <v>240</v>
      </c>
      <c r="U88" t="s">
        <v>320</v>
      </c>
    </row>
    <row r="89" spans="14:21">
      <c r="N89" t="s">
        <v>275</v>
      </c>
      <c r="O89" t="s">
        <v>283</v>
      </c>
      <c r="P89">
        <v>1</v>
      </c>
      <c r="Q89">
        <v>0</v>
      </c>
      <c r="R89">
        <v>0</v>
      </c>
      <c r="S89">
        <v>1</v>
      </c>
      <c r="T89" t="s">
        <v>126</v>
      </c>
      <c r="U89">
        <v>1</v>
      </c>
    </row>
    <row r="90" spans="14:21">
      <c r="N90" t="s">
        <v>283</v>
      </c>
      <c r="O90" t="s">
        <v>348</v>
      </c>
      <c r="P90">
        <v>0</v>
      </c>
      <c r="Q90">
        <v>0</v>
      </c>
      <c r="R90">
        <v>0</v>
      </c>
      <c r="S90">
        <v>0</v>
      </c>
      <c r="T90" t="s">
        <v>125</v>
      </c>
      <c r="U90">
        <v>2</v>
      </c>
    </row>
    <row r="91" spans="14:21">
      <c r="N91" t="s">
        <v>283</v>
      </c>
      <c r="O91" t="s">
        <v>252</v>
      </c>
      <c r="P91">
        <v>1</v>
      </c>
      <c r="Q91">
        <v>0</v>
      </c>
      <c r="R91">
        <v>1</v>
      </c>
      <c r="S91">
        <v>0</v>
      </c>
      <c r="T91" t="s">
        <v>125</v>
      </c>
      <c r="U91">
        <v>3</v>
      </c>
    </row>
    <row r="92" spans="14:21">
      <c r="N92" t="s">
        <v>279</v>
      </c>
      <c r="O92" t="s">
        <v>283</v>
      </c>
      <c r="P92">
        <v>2</v>
      </c>
      <c r="Q92">
        <v>1</v>
      </c>
      <c r="R92">
        <v>1</v>
      </c>
      <c r="S92">
        <v>2</v>
      </c>
      <c r="T92" t="s">
        <v>126</v>
      </c>
      <c r="U92">
        <v>4</v>
      </c>
    </row>
    <row r="93" spans="14:21">
      <c r="N93" t="s">
        <v>282</v>
      </c>
      <c r="O93" t="s">
        <v>283</v>
      </c>
      <c r="P93">
        <v>1</v>
      </c>
      <c r="Q93">
        <v>2</v>
      </c>
      <c r="R93">
        <v>2</v>
      </c>
      <c r="S93">
        <v>1</v>
      </c>
      <c r="T93" t="s">
        <v>126</v>
      </c>
      <c r="U93">
        <v>5</v>
      </c>
    </row>
    <row r="94" spans="14:21">
      <c r="N94" t="s">
        <v>243</v>
      </c>
      <c r="O94" t="s">
        <v>283</v>
      </c>
      <c r="P94">
        <v>1</v>
      </c>
      <c r="Q94">
        <v>2</v>
      </c>
      <c r="R94">
        <v>2</v>
      </c>
      <c r="S94">
        <v>1</v>
      </c>
      <c r="T94" t="s">
        <v>126</v>
      </c>
      <c r="U94">
        <v>6</v>
      </c>
    </row>
    <row r="95" spans="14:21">
      <c r="N95" t="s">
        <v>283</v>
      </c>
      <c r="O95" t="s">
        <v>280</v>
      </c>
      <c r="P95">
        <v>1</v>
      </c>
      <c r="Q95">
        <v>0</v>
      </c>
      <c r="R95">
        <v>1</v>
      </c>
      <c r="S95">
        <v>0</v>
      </c>
      <c r="T95" t="s">
        <v>125</v>
      </c>
      <c r="U95">
        <v>7</v>
      </c>
    </row>
    <row r="96" spans="14:21">
      <c r="N96" t="s">
        <v>283</v>
      </c>
      <c r="O96" t="s">
        <v>335</v>
      </c>
      <c r="P96">
        <v>1</v>
      </c>
      <c r="Q96">
        <v>2</v>
      </c>
      <c r="R96">
        <v>1</v>
      </c>
      <c r="S96">
        <v>2</v>
      </c>
      <c r="T96" t="s">
        <v>125</v>
      </c>
      <c r="U96">
        <v>8</v>
      </c>
    </row>
    <row r="97" spans="1:21">
      <c r="N97" t="s">
        <v>284</v>
      </c>
      <c r="O97" t="s">
        <v>283</v>
      </c>
      <c r="P97">
        <v>0</v>
      </c>
      <c r="Q97">
        <v>1</v>
      </c>
      <c r="R97">
        <v>1</v>
      </c>
      <c r="S97">
        <v>0</v>
      </c>
      <c r="T97" t="s">
        <v>126</v>
      </c>
      <c r="U97">
        <v>9</v>
      </c>
    </row>
    <row r="98" spans="1:21">
      <c r="N98" t="s">
        <v>283</v>
      </c>
      <c r="O98" t="s">
        <v>242</v>
      </c>
      <c r="P98">
        <v>0</v>
      </c>
      <c r="Q98">
        <v>0</v>
      </c>
      <c r="R98">
        <v>0</v>
      </c>
      <c r="S98">
        <v>0</v>
      </c>
      <c r="T98" t="s">
        <v>125</v>
      </c>
      <c r="U98">
        <v>10</v>
      </c>
    </row>
    <row r="99" spans="1:21">
      <c r="N99" t="s">
        <v>336</v>
      </c>
      <c r="O99" t="s">
        <v>283</v>
      </c>
      <c r="P99">
        <v>1</v>
      </c>
      <c r="Q99">
        <v>0</v>
      </c>
      <c r="R99">
        <v>0</v>
      </c>
      <c r="S99">
        <v>1</v>
      </c>
      <c r="T99" t="s">
        <v>126</v>
      </c>
      <c r="U99">
        <v>11</v>
      </c>
    </row>
    <row r="100" spans="1:21">
      <c r="N100" t="s">
        <v>283</v>
      </c>
      <c r="O100" t="s">
        <v>278</v>
      </c>
      <c r="P100">
        <v>1</v>
      </c>
      <c r="Q100">
        <v>1</v>
      </c>
      <c r="R100">
        <v>1</v>
      </c>
      <c r="S100">
        <v>1</v>
      </c>
      <c r="T100" t="s">
        <v>125</v>
      </c>
      <c r="U100">
        <v>12</v>
      </c>
    </row>
    <row r="105" spans="1:21">
      <c r="A105" t="s">
        <v>238</v>
      </c>
      <c r="B105" t="s">
        <v>239</v>
      </c>
      <c r="C105" t="s">
        <v>302</v>
      </c>
      <c r="D105" t="s">
        <v>303</v>
      </c>
      <c r="E105" t="s">
        <v>285</v>
      </c>
      <c r="F105" t="s">
        <v>291</v>
      </c>
      <c r="G105" t="s">
        <v>240</v>
      </c>
      <c r="H105" t="s">
        <v>320</v>
      </c>
    </row>
    <row r="106" spans="1:21">
      <c r="A106" t="s">
        <v>338</v>
      </c>
      <c r="B106" t="s">
        <v>241</v>
      </c>
      <c r="C106">
        <v>2</v>
      </c>
      <c r="D106">
        <v>0</v>
      </c>
      <c r="E106">
        <v>0</v>
      </c>
      <c r="F106">
        <v>2</v>
      </c>
      <c r="G106" t="s">
        <v>126</v>
      </c>
      <c r="H106">
        <v>1</v>
      </c>
    </row>
    <row r="107" spans="1:21">
      <c r="A107" t="s">
        <v>493</v>
      </c>
      <c r="B107" t="s">
        <v>241</v>
      </c>
      <c r="C107">
        <v>0</v>
      </c>
      <c r="D107">
        <v>7</v>
      </c>
      <c r="E107">
        <v>7</v>
      </c>
      <c r="F107">
        <v>0</v>
      </c>
      <c r="G107" t="s">
        <v>126</v>
      </c>
      <c r="H107">
        <v>2</v>
      </c>
    </row>
    <row r="108" spans="1:21">
      <c r="A108" t="s">
        <v>241</v>
      </c>
      <c r="B108" t="s">
        <v>337</v>
      </c>
      <c r="C108">
        <v>1</v>
      </c>
      <c r="D108">
        <v>0</v>
      </c>
      <c r="E108">
        <v>1</v>
      </c>
      <c r="F108">
        <v>0</v>
      </c>
      <c r="G108" t="s">
        <v>125</v>
      </c>
      <c r="H108">
        <v>3</v>
      </c>
    </row>
    <row r="109" spans="1:21">
      <c r="A109" t="s">
        <v>347</v>
      </c>
      <c r="B109" t="s">
        <v>241</v>
      </c>
      <c r="C109">
        <v>2</v>
      </c>
      <c r="D109">
        <v>3</v>
      </c>
      <c r="E109">
        <v>3</v>
      </c>
      <c r="F109">
        <v>2</v>
      </c>
      <c r="G109" t="s">
        <v>126</v>
      </c>
      <c r="H109">
        <v>4</v>
      </c>
    </row>
    <row r="110" spans="1:21">
      <c r="A110" t="s">
        <v>241</v>
      </c>
      <c r="B110" t="s">
        <v>281</v>
      </c>
      <c r="C110">
        <v>0</v>
      </c>
      <c r="D110">
        <v>1</v>
      </c>
      <c r="E110">
        <v>0</v>
      </c>
      <c r="F110">
        <v>1</v>
      </c>
      <c r="G110" t="s">
        <v>125</v>
      </c>
      <c r="H110">
        <v>5</v>
      </c>
    </row>
    <row r="111" spans="1:21">
      <c r="A111" t="s">
        <v>335</v>
      </c>
      <c r="B111" t="s">
        <v>241</v>
      </c>
      <c r="C111">
        <v>3</v>
      </c>
      <c r="D111">
        <v>1</v>
      </c>
      <c r="E111">
        <v>1</v>
      </c>
      <c r="F111">
        <v>3</v>
      </c>
      <c r="G111" t="s">
        <v>126</v>
      </c>
      <c r="H111">
        <v>6</v>
      </c>
    </row>
    <row r="112" spans="1:21">
      <c r="A112" t="s">
        <v>241</v>
      </c>
      <c r="B112" t="s">
        <v>243</v>
      </c>
      <c r="C112">
        <v>1</v>
      </c>
      <c r="D112">
        <v>1</v>
      </c>
      <c r="E112">
        <v>1</v>
      </c>
      <c r="F112">
        <v>1</v>
      </c>
      <c r="G112" t="s">
        <v>125</v>
      </c>
      <c r="H112">
        <v>7</v>
      </c>
    </row>
    <row r="113" spans="1:8">
      <c r="A113" t="s">
        <v>336</v>
      </c>
      <c r="B113" t="s">
        <v>241</v>
      </c>
      <c r="C113">
        <v>2</v>
      </c>
      <c r="D113">
        <v>1</v>
      </c>
      <c r="E113">
        <v>1</v>
      </c>
      <c r="F113">
        <v>2</v>
      </c>
      <c r="G113" t="s">
        <v>126</v>
      </c>
      <c r="H113">
        <v>8</v>
      </c>
    </row>
    <row r="114" spans="1:8">
      <c r="A114" t="s">
        <v>241</v>
      </c>
      <c r="B114" t="s">
        <v>348</v>
      </c>
      <c r="C114">
        <v>2</v>
      </c>
      <c r="D114">
        <v>3</v>
      </c>
      <c r="E114">
        <v>2</v>
      </c>
      <c r="F114">
        <v>3</v>
      </c>
      <c r="G114" t="s">
        <v>125</v>
      </c>
      <c r="H114">
        <v>9</v>
      </c>
    </row>
    <row r="115" spans="1:8">
      <c r="A115" t="s">
        <v>275</v>
      </c>
      <c r="B115" t="s">
        <v>241</v>
      </c>
      <c r="C115">
        <v>2</v>
      </c>
      <c r="D115">
        <v>0</v>
      </c>
      <c r="E115">
        <v>0</v>
      </c>
      <c r="F115">
        <v>2</v>
      </c>
      <c r="G115" t="s">
        <v>126</v>
      </c>
      <c r="H115">
        <v>10</v>
      </c>
    </row>
    <row r="116" spans="1:8">
      <c r="A116" t="s">
        <v>241</v>
      </c>
      <c r="B116" t="s">
        <v>278</v>
      </c>
      <c r="C116">
        <v>1</v>
      </c>
      <c r="D116">
        <v>1</v>
      </c>
      <c r="E116">
        <v>1</v>
      </c>
      <c r="F116">
        <v>1</v>
      </c>
      <c r="G116" t="s">
        <v>125</v>
      </c>
      <c r="H116">
        <v>11</v>
      </c>
    </row>
    <row r="117" spans="1:8">
      <c r="A117" t="s">
        <v>284</v>
      </c>
      <c r="B117" t="s">
        <v>241</v>
      </c>
      <c r="C117">
        <v>2</v>
      </c>
      <c r="D117">
        <v>1</v>
      </c>
      <c r="E117">
        <v>1</v>
      </c>
      <c r="F117">
        <v>2</v>
      </c>
      <c r="G117" t="s">
        <v>126</v>
      </c>
      <c r="H117">
        <v>12</v>
      </c>
    </row>
    <row r="118" spans="1:8">
      <c r="A118" t="s">
        <v>241</v>
      </c>
      <c r="B118" t="s">
        <v>242</v>
      </c>
      <c r="C118">
        <v>2</v>
      </c>
      <c r="D118">
        <v>2</v>
      </c>
      <c r="E118">
        <v>2</v>
      </c>
      <c r="F118">
        <v>2</v>
      </c>
      <c r="G118" t="s">
        <v>125</v>
      </c>
      <c r="H118">
        <v>13</v>
      </c>
    </row>
    <row r="119" spans="1:8">
      <c r="A119" t="s">
        <v>44</v>
      </c>
      <c r="B119" t="s">
        <v>241</v>
      </c>
      <c r="C119">
        <v>0</v>
      </c>
      <c r="D119">
        <v>0</v>
      </c>
      <c r="E119">
        <v>0</v>
      </c>
      <c r="F119">
        <v>0</v>
      </c>
      <c r="G119" t="s">
        <v>126</v>
      </c>
      <c r="H119">
        <v>14</v>
      </c>
    </row>
    <row r="120" spans="1:8">
      <c r="A120" t="s">
        <v>324</v>
      </c>
      <c r="B120" t="s">
        <v>241</v>
      </c>
      <c r="C120">
        <v>3</v>
      </c>
      <c r="D120">
        <v>0</v>
      </c>
      <c r="E120">
        <v>0</v>
      </c>
      <c r="F120">
        <v>3</v>
      </c>
      <c r="G120" t="s">
        <v>126</v>
      </c>
      <c r="H120">
        <v>15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C27D-E726-491D-B1DD-CC41F5EE2C91}">
  <dimension ref="A1:I16"/>
  <sheetViews>
    <sheetView workbookViewId="0">
      <selection activeCell="F2" sqref="F2:H12"/>
    </sheetView>
  </sheetViews>
  <sheetFormatPr defaultRowHeight="14.5"/>
  <cols>
    <col min="1" max="1" width="11.54296875" bestFit="1" customWidth="1"/>
    <col min="2" max="2" width="12.453125" bestFit="1" customWidth="1"/>
    <col min="3" max="3" width="14.81640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503</v>
      </c>
      <c r="B2" t="s">
        <v>242</v>
      </c>
      <c r="C2" t="s">
        <v>280</v>
      </c>
      <c r="D2">
        <v>0</v>
      </c>
      <c r="E2">
        <v>2</v>
      </c>
      <c r="F2">
        <v>0</v>
      </c>
      <c r="G2">
        <v>2</v>
      </c>
      <c r="H2" t="s">
        <v>125</v>
      </c>
      <c r="I2">
        <v>1</v>
      </c>
    </row>
    <row r="3" spans="1:9">
      <c r="A3" t="s">
        <v>460</v>
      </c>
      <c r="B3" t="s">
        <v>504</v>
      </c>
      <c r="C3" t="s">
        <v>242</v>
      </c>
      <c r="D3">
        <v>0</v>
      </c>
      <c r="E3">
        <v>3</v>
      </c>
      <c r="F3">
        <v>3</v>
      </c>
      <c r="G3">
        <v>0</v>
      </c>
      <c r="H3" t="s">
        <v>126</v>
      </c>
      <c r="I3">
        <v>2</v>
      </c>
    </row>
    <row r="4" spans="1:9">
      <c r="A4" t="s">
        <v>482</v>
      </c>
      <c r="B4" t="s">
        <v>279</v>
      </c>
      <c r="C4" t="s">
        <v>242</v>
      </c>
      <c r="D4">
        <v>0</v>
      </c>
      <c r="E4">
        <v>2</v>
      </c>
      <c r="F4">
        <v>2</v>
      </c>
      <c r="G4">
        <v>0</v>
      </c>
      <c r="H4" t="s">
        <v>126</v>
      </c>
      <c r="I4">
        <v>3</v>
      </c>
    </row>
    <row r="5" spans="1:9">
      <c r="A5" t="s">
        <v>463</v>
      </c>
      <c r="B5" t="s">
        <v>276</v>
      </c>
      <c r="C5" t="s">
        <v>242</v>
      </c>
      <c r="D5">
        <v>5</v>
      </c>
      <c r="E5">
        <v>1</v>
      </c>
      <c r="F5">
        <v>1</v>
      </c>
      <c r="G5">
        <v>5</v>
      </c>
      <c r="H5" t="s">
        <v>126</v>
      </c>
      <c r="I5">
        <v>4</v>
      </c>
    </row>
    <row r="6" spans="1:9">
      <c r="A6" t="s">
        <v>304</v>
      </c>
      <c r="B6" t="s">
        <v>242</v>
      </c>
      <c r="C6" t="s">
        <v>243</v>
      </c>
      <c r="D6">
        <v>1</v>
      </c>
      <c r="E6">
        <v>0</v>
      </c>
      <c r="F6">
        <v>1</v>
      </c>
      <c r="G6">
        <v>0</v>
      </c>
      <c r="H6" t="s">
        <v>125</v>
      </c>
      <c r="I6">
        <v>5</v>
      </c>
    </row>
    <row r="7" spans="1:9">
      <c r="A7" t="s">
        <v>306</v>
      </c>
      <c r="B7" t="s">
        <v>348</v>
      </c>
      <c r="C7" t="s">
        <v>242</v>
      </c>
      <c r="D7">
        <v>1</v>
      </c>
      <c r="E7">
        <v>1</v>
      </c>
      <c r="F7">
        <v>1</v>
      </c>
      <c r="G7">
        <v>1</v>
      </c>
      <c r="H7" t="s">
        <v>126</v>
      </c>
      <c r="I7">
        <v>6</v>
      </c>
    </row>
    <row r="8" spans="1:9">
      <c r="A8" t="s">
        <v>307</v>
      </c>
      <c r="B8" t="s">
        <v>242</v>
      </c>
      <c r="C8" t="s">
        <v>282</v>
      </c>
      <c r="D8">
        <v>2</v>
      </c>
      <c r="E8">
        <v>1</v>
      </c>
      <c r="F8">
        <v>2</v>
      </c>
      <c r="G8">
        <v>1</v>
      </c>
      <c r="H8" t="s">
        <v>125</v>
      </c>
      <c r="I8">
        <v>7</v>
      </c>
    </row>
    <row r="9" spans="1:9">
      <c r="A9" t="s">
        <v>437</v>
      </c>
      <c r="B9" t="s">
        <v>275</v>
      </c>
      <c r="C9" t="s">
        <v>242</v>
      </c>
      <c r="D9">
        <v>2</v>
      </c>
      <c r="E9">
        <v>1</v>
      </c>
      <c r="F9">
        <v>1</v>
      </c>
      <c r="G9">
        <v>2</v>
      </c>
      <c r="H9" t="s">
        <v>126</v>
      </c>
      <c r="I9">
        <v>8</v>
      </c>
    </row>
    <row r="10" spans="1:9">
      <c r="A10" t="s">
        <v>310</v>
      </c>
      <c r="B10" t="s">
        <v>242</v>
      </c>
      <c r="C10" t="s">
        <v>277</v>
      </c>
      <c r="D10">
        <v>1</v>
      </c>
      <c r="E10">
        <v>0</v>
      </c>
      <c r="F10">
        <v>1</v>
      </c>
      <c r="G10">
        <v>0</v>
      </c>
      <c r="H10" t="s">
        <v>125</v>
      </c>
      <c r="I10">
        <v>9</v>
      </c>
    </row>
    <row r="11" spans="1:9">
      <c r="A11" t="s">
        <v>395</v>
      </c>
      <c r="B11" t="s">
        <v>242</v>
      </c>
      <c r="C11" t="s">
        <v>337</v>
      </c>
      <c r="D11">
        <v>0</v>
      </c>
      <c r="E11">
        <v>2</v>
      </c>
      <c r="F11">
        <v>0</v>
      </c>
      <c r="G11">
        <v>2</v>
      </c>
      <c r="H11" t="s">
        <v>125</v>
      </c>
      <c r="I11">
        <v>10</v>
      </c>
    </row>
    <row r="12" spans="1:9">
      <c r="A12" t="s">
        <v>383</v>
      </c>
      <c r="B12" t="s">
        <v>283</v>
      </c>
      <c r="C12" t="s">
        <v>242</v>
      </c>
      <c r="D12">
        <v>0</v>
      </c>
      <c r="E12">
        <v>0</v>
      </c>
      <c r="F12">
        <v>0</v>
      </c>
      <c r="G12">
        <v>0</v>
      </c>
      <c r="H12" t="s">
        <v>126</v>
      </c>
      <c r="I12">
        <v>11</v>
      </c>
    </row>
    <row r="13" spans="1:9">
      <c r="A13" t="s">
        <v>449</v>
      </c>
      <c r="B13" t="s">
        <v>242</v>
      </c>
      <c r="C13" t="s">
        <v>335</v>
      </c>
      <c r="D13">
        <v>1</v>
      </c>
      <c r="E13">
        <v>2</v>
      </c>
      <c r="F13">
        <v>1</v>
      </c>
      <c r="G13">
        <v>2</v>
      </c>
      <c r="H13" t="s">
        <v>125</v>
      </c>
      <c r="I13">
        <v>12</v>
      </c>
    </row>
    <row r="14" spans="1:9">
      <c r="A14" t="s">
        <v>418</v>
      </c>
      <c r="B14" t="s">
        <v>241</v>
      </c>
      <c r="C14" t="s">
        <v>242</v>
      </c>
      <c r="D14">
        <v>2</v>
      </c>
      <c r="E14">
        <v>2</v>
      </c>
      <c r="F14">
        <v>2</v>
      </c>
      <c r="G14">
        <v>2</v>
      </c>
      <c r="H14" t="s">
        <v>126</v>
      </c>
      <c r="I14">
        <v>13</v>
      </c>
    </row>
    <row r="15" spans="1:9">
      <c r="A15" t="s">
        <v>402</v>
      </c>
      <c r="B15" t="s">
        <v>44</v>
      </c>
      <c r="C15" t="s">
        <v>242</v>
      </c>
      <c r="D15">
        <v>4</v>
      </c>
      <c r="E15">
        <v>1</v>
      </c>
      <c r="F15">
        <v>1</v>
      </c>
      <c r="G15">
        <v>4</v>
      </c>
      <c r="H15" t="s">
        <v>126</v>
      </c>
      <c r="I15">
        <v>14</v>
      </c>
    </row>
    <row r="16" spans="1:9">
      <c r="A16" t="s">
        <v>420</v>
      </c>
      <c r="B16" t="s">
        <v>242</v>
      </c>
      <c r="C16" t="s">
        <v>505</v>
      </c>
      <c r="D16">
        <v>0</v>
      </c>
      <c r="E16">
        <v>2</v>
      </c>
      <c r="F16">
        <v>0</v>
      </c>
      <c r="G16">
        <v>2</v>
      </c>
      <c r="H16" t="s">
        <v>125</v>
      </c>
      <c r="I16">
        <v>15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D33AB-03BF-40FF-81F3-F28244CA80C7}">
  <dimension ref="A1:H13"/>
  <sheetViews>
    <sheetView workbookViewId="0">
      <selection sqref="A1:H13"/>
    </sheetView>
  </sheetViews>
  <sheetFormatPr defaultRowHeight="14.5"/>
  <cols>
    <col min="1" max="1" width="14.81640625" bestFit="1" customWidth="1"/>
    <col min="2" max="2" width="10.453125" bestFit="1" customWidth="1"/>
    <col min="3" max="3" width="13.7265625" bestFit="1" customWidth="1"/>
    <col min="4" max="4" width="13.26953125" bestFit="1" customWidth="1"/>
    <col min="5" max="5" width="11.453125" bestFit="1" customWidth="1"/>
    <col min="6" max="6" width="7.81640625" bestFit="1" customWidth="1"/>
    <col min="7" max="7" width="10.54296875" bestFit="1" customWidth="1"/>
    <col min="8" max="8" width="8.26953125" bestFit="1" customWidth="1"/>
  </cols>
  <sheetData>
    <row r="1" spans="1:8">
      <c r="A1" t="s">
        <v>238</v>
      </c>
      <c r="B1" t="s">
        <v>239</v>
      </c>
      <c r="C1" t="s">
        <v>302</v>
      </c>
      <c r="D1" t="s">
        <v>303</v>
      </c>
      <c r="E1" t="s">
        <v>285</v>
      </c>
      <c r="F1" t="s">
        <v>346</v>
      </c>
      <c r="G1" t="s">
        <v>240</v>
      </c>
      <c r="H1" t="s">
        <v>320</v>
      </c>
    </row>
    <row r="2" spans="1:8">
      <c r="A2" t="s">
        <v>277</v>
      </c>
      <c r="B2" t="s">
        <v>347</v>
      </c>
      <c r="C2">
        <v>1</v>
      </c>
      <c r="D2">
        <v>1</v>
      </c>
      <c r="E2">
        <v>1</v>
      </c>
      <c r="F2">
        <v>1</v>
      </c>
      <c r="G2" t="s">
        <v>126</v>
      </c>
      <c r="H2">
        <v>1</v>
      </c>
    </row>
    <row r="3" spans="1:8">
      <c r="A3" t="s">
        <v>347</v>
      </c>
      <c r="B3" t="s">
        <v>241</v>
      </c>
      <c r="C3">
        <v>2</v>
      </c>
      <c r="D3">
        <v>3</v>
      </c>
      <c r="E3">
        <v>2</v>
      </c>
      <c r="F3">
        <v>3</v>
      </c>
      <c r="G3" t="s">
        <v>125</v>
      </c>
      <c r="H3">
        <v>2</v>
      </c>
    </row>
    <row r="4" spans="1:8">
      <c r="A4" t="s">
        <v>284</v>
      </c>
      <c r="B4" t="s">
        <v>347</v>
      </c>
      <c r="C4">
        <v>0</v>
      </c>
      <c r="D4">
        <v>0</v>
      </c>
      <c r="E4">
        <v>0</v>
      </c>
      <c r="F4">
        <v>0</v>
      </c>
      <c r="G4" t="s">
        <v>126</v>
      </c>
      <c r="H4">
        <v>3</v>
      </c>
    </row>
    <row r="5" spans="1:8">
      <c r="A5" t="s">
        <v>280</v>
      </c>
      <c r="B5" t="s">
        <v>347</v>
      </c>
      <c r="C5">
        <v>3</v>
      </c>
      <c r="D5">
        <v>0</v>
      </c>
      <c r="E5">
        <v>0</v>
      </c>
      <c r="F5">
        <v>3</v>
      </c>
      <c r="G5" t="s">
        <v>126</v>
      </c>
      <c r="H5">
        <v>4</v>
      </c>
    </row>
    <row r="6" spans="1:8">
      <c r="A6" t="s">
        <v>347</v>
      </c>
      <c r="B6" t="s">
        <v>336</v>
      </c>
      <c r="C6">
        <v>0</v>
      </c>
      <c r="D6">
        <v>0</v>
      </c>
      <c r="E6">
        <v>0</v>
      </c>
      <c r="F6">
        <v>0</v>
      </c>
      <c r="G6" t="s">
        <v>125</v>
      </c>
      <c r="H6">
        <v>5</v>
      </c>
    </row>
    <row r="7" spans="1:8">
      <c r="A7" t="s">
        <v>347</v>
      </c>
      <c r="B7" t="s">
        <v>337</v>
      </c>
      <c r="C7">
        <v>2</v>
      </c>
      <c r="D7">
        <v>0</v>
      </c>
      <c r="E7">
        <v>2</v>
      </c>
      <c r="F7">
        <v>0</v>
      </c>
      <c r="G7" t="s">
        <v>125</v>
      </c>
      <c r="H7">
        <v>6</v>
      </c>
    </row>
    <row r="8" spans="1:8">
      <c r="A8" t="s">
        <v>338</v>
      </c>
      <c r="B8" t="s">
        <v>347</v>
      </c>
      <c r="C8">
        <v>3</v>
      </c>
      <c r="D8">
        <v>0</v>
      </c>
      <c r="E8">
        <v>0</v>
      </c>
      <c r="F8">
        <v>3</v>
      </c>
      <c r="G8" t="s">
        <v>126</v>
      </c>
      <c r="H8">
        <v>7</v>
      </c>
    </row>
    <row r="9" spans="1:8">
      <c r="A9" t="s">
        <v>347</v>
      </c>
      <c r="B9" t="s">
        <v>335</v>
      </c>
      <c r="C9">
        <v>1</v>
      </c>
      <c r="D9">
        <v>1</v>
      </c>
      <c r="E9">
        <v>1</v>
      </c>
      <c r="F9">
        <v>1</v>
      </c>
      <c r="G9" t="s">
        <v>125</v>
      </c>
      <c r="H9">
        <v>8</v>
      </c>
    </row>
    <row r="10" spans="1:8">
      <c r="A10" t="s">
        <v>348</v>
      </c>
      <c r="B10" t="s">
        <v>347</v>
      </c>
      <c r="C10">
        <v>1</v>
      </c>
      <c r="D10">
        <v>0</v>
      </c>
      <c r="E10">
        <v>0</v>
      </c>
      <c r="F10">
        <v>1</v>
      </c>
      <c r="G10" t="s">
        <v>126</v>
      </c>
      <c r="H10">
        <v>9</v>
      </c>
    </row>
    <row r="11" spans="1:8">
      <c r="A11" t="s">
        <v>281</v>
      </c>
      <c r="B11" t="s">
        <v>347</v>
      </c>
      <c r="C11">
        <v>3</v>
      </c>
      <c r="D11">
        <v>1</v>
      </c>
      <c r="E11">
        <v>1</v>
      </c>
      <c r="F11">
        <v>3</v>
      </c>
      <c r="G11" t="s">
        <v>126</v>
      </c>
      <c r="H11">
        <v>10</v>
      </c>
    </row>
    <row r="12" spans="1:8">
      <c r="A12" t="s">
        <v>347</v>
      </c>
      <c r="B12" t="s">
        <v>276</v>
      </c>
      <c r="C12">
        <v>1</v>
      </c>
      <c r="D12">
        <v>2</v>
      </c>
      <c r="E12">
        <v>1</v>
      </c>
      <c r="F12">
        <v>2</v>
      </c>
      <c r="G12" t="s">
        <v>125</v>
      </c>
      <c r="H12">
        <v>11</v>
      </c>
    </row>
    <row r="13" spans="1:8">
      <c r="A13" t="s">
        <v>349</v>
      </c>
      <c r="B13" t="s">
        <v>347</v>
      </c>
      <c r="C13">
        <v>2</v>
      </c>
      <c r="D13">
        <v>1</v>
      </c>
      <c r="E13">
        <v>1</v>
      </c>
      <c r="F13">
        <v>2</v>
      </c>
      <c r="G13" t="s">
        <v>126</v>
      </c>
      <c r="H13">
        <v>12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D1000"/>
  <sheetViews>
    <sheetView workbookViewId="0">
      <selection activeCell="A39" sqref="A39:A61"/>
    </sheetView>
  </sheetViews>
  <sheetFormatPr defaultColWidth="12.54296875" defaultRowHeight="15" customHeight="1"/>
  <cols>
    <col min="1" max="1" width="132" customWidth="1"/>
    <col min="2" max="26" width="8.54296875" customWidth="1"/>
  </cols>
  <sheetData>
    <row r="1" spans="1:5" ht="14.25" customHeight="1">
      <c r="A1" s="6" t="s">
        <v>151</v>
      </c>
    </row>
    <row r="2" spans="1:5" ht="14.25" customHeight="1">
      <c r="A2" s="6" t="s">
        <v>152</v>
      </c>
    </row>
    <row r="3" spans="1:5" ht="14.25" customHeight="1">
      <c r="A3" s="6" t="s">
        <v>153</v>
      </c>
    </row>
    <row r="4" spans="1:5" ht="14.25" customHeight="1">
      <c r="A4" s="6" t="s">
        <v>154</v>
      </c>
    </row>
    <row r="5" spans="1:5" ht="14.25" customHeight="1">
      <c r="A5" s="6" t="s">
        <v>155</v>
      </c>
    </row>
    <row r="6" spans="1:5" ht="14.25" customHeight="1">
      <c r="A6" s="6" t="s">
        <v>156</v>
      </c>
    </row>
    <row r="7" spans="1:5" ht="14.25" customHeight="1">
      <c r="A7" s="6" t="s">
        <v>157</v>
      </c>
    </row>
    <row r="8" spans="1:5" ht="14.25" customHeight="1">
      <c r="A8" s="6" t="s">
        <v>158</v>
      </c>
      <c r="C8" s="41" t="s">
        <v>159</v>
      </c>
      <c r="D8" s="41" t="s">
        <v>160</v>
      </c>
    </row>
    <row r="9" spans="1:5" ht="14.25" customHeight="1">
      <c r="A9" s="6" t="s">
        <v>161</v>
      </c>
    </row>
    <row r="10" spans="1:5" ht="14.25" customHeight="1">
      <c r="A10" s="6" t="s">
        <v>162</v>
      </c>
    </row>
    <row r="11" spans="1:5" ht="14.25" customHeight="1">
      <c r="A11" s="6" t="s">
        <v>163</v>
      </c>
    </row>
    <row r="12" spans="1:5" ht="14.25" customHeight="1">
      <c r="A12" s="6" t="s">
        <v>164</v>
      </c>
      <c r="E12" s="84" t="s">
        <v>258</v>
      </c>
    </row>
    <row r="13" spans="1:5" ht="14.25" customHeight="1">
      <c r="A13" s="6" t="s">
        <v>165</v>
      </c>
      <c r="E13" s="41" t="s">
        <v>123</v>
      </c>
    </row>
    <row r="14" spans="1:5" ht="14.25" customHeight="1">
      <c r="A14" s="41" t="s">
        <v>166</v>
      </c>
      <c r="E14" s="41" t="s">
        <v>124</v>
      </c>
    </row>
    <row r="15" spans="1:5" ht="14.25" customHeight="1">
      <c r="A15" s="33" t="s">
        <v>167</v>
      </c>
    </row>
    <row r="16" spans="1:5" ht="14.25" customHeight="1">
      <c r="A16" s="41"/>
    </row>
    <row r="17" spans="1:1" ht="14.25" customHeight="1">
      <c r="A17" s="41" t="s">
        <v>168</v>
      </c>
    </row>
    <row r="18" spans="1:1" ht="14.25" customHeight="1">
      <c r="A18" s="34"/>
    </row>
    <row r="19" spans="1:1" ht="14.25" customHeight="1">
      <c r="A19" s="35" t="s">
        <v>169</v>
      </c>
    </row>
    <row r="20" spans="1:1" ht="14.25" customHeight="1">
      <c r="A20" s="34"/>
    </row>
    <row r="21" spans="1:1" ht="14.25" customHeight="1">
      <c r="A21" s="34"/>
    </row>
    <row r="22" spans="1:1" ht="14.25" customHeight="1">
      <c r="A22" s="35" t="s">
        <v>170</v>
      </c>
    </row>
    <row r="23" spans="1:1" ht="14.25" customHeight="1">
      <c r="A23" s="35" t="s">
        <v>171</v>
      </c>
    </row>
    <row r="24" spans="1:1" ht="14.25" customHeight="1">
      <c r="A24" s="34"/>
    </row>
    <row r="25" spans="1:1" ht="14.25" customHeight="1">
      <c r="A25" s="35" t="s">
        <v>172</v>
      </c>
    </row>
    <row r="26" spans="1:1" ht="14.25" customHeight="1">
      <c r="A26" s="34"/>
    </row>
    <row r="27" spans="1:1" ht="14.25" customHeight="1">
      <c r="A27" s="34"/>
    </row>
    <row r="28" spans="1:1" ht="14.25" customHeight="1">
      <c r="A28" s="35" t="s">
        <v>173</v>
      </c>
    </row>
    <row r="29" spans="1:1" ht="14.25" customHeight="1">
      <c r="A29" s="35" t="s">
        <v>174</v>
      </c>
    </row>
    <row r="30" spans="1:1" ht="14.25" customHeight="1">
      <c r="A30" s="34"/>
    </row>
    <row r="31" spans="1:1" ht="14.25" customHeight="1">
      <c r="A31" s="35" t="s">
        <v>175</v>
      </c>
    </row>
    <row r="32" spans="1:1" ht="14.25" customHeight="1">
      <c r="A32" s="34"/>
    </row>
    <row r="33" spans="1:5" ht="14.25" customHeight="1">
      <c r="A33" s="34"/>
    </row>
    <row r="34" spans="1:5" ht="14.25" customHeight="1">
      <c r="A34" s="35" t="s">
        <v>176</v>
      </c>
    </row>
    <row r="35" spans="1:5" ht="14.25" customHeight="1">
      <c r="A35" s="35" t="s">
        <v>177</v>
      </c>
    </row>
    <row r="36" spans="1:5" ht="14.25" customHeight="1"/>
    <row r="37" spans="1:5" ht="14.25" customHeight="1">
      <c r="E37" s="6" t="s">
        <v>12</v>
      </c>
    </row>
    <row r="38" spans="1:5" ht="14.25" customHeight="1">
      <c r="A38" t="s">
        <v>74</v>
      </c>
    </row>
    <row r="39" spans="1:5" ht="14.25" customHeight="1">
      <c r="A39" s="33" t="s">
        <v>178</v>
      </c>
    </row>
    <row r="40" spans="1:5" ht="14.25" customHeight="1">
      <c r="A40" s="41"/>
    </row>
    <row r="41" spans="1:5" ht="14.25" customHeight="1">
      <c r="A41" s="6" t="s">
        <v>179</v>
      </c>
    </row>
    <row r="42" spans="1:5" ht="14.25" customHeight="1">
      <c r="A42" s="34"/>
    </row>
    <row r="43" spans="1:5" ht="14.25" customHeight="1">
      <c r="A43" s="34" t="s">
        <v>180</v>
      </c>
    </row>
    <row r="44" spans="1:5" ht="14.25" customHeight="1">
      <c r="A44" s="34" t="s">
        <v>181</v>
      </c>
    </row>
    <row r="45" spans="1:5" ht="14.25" customHeight="1">
      <c r="A45" s="41"/>
    </row>
    <row r="46" spans="1:5" ht="14.25" customHeight="1">
      <c r="A46" s="6" t="s">
        <v>182</v>
      </c>
    </row>
    <row r="47" spans="1:5" ht="14.25" customHeight="1">
      <c r="A47" s="34"/>
    </row>
    <row r="48" spans="1:5" ht="14.25" customHeight="1">
      <c r="A48" s="35" t="s">
        <v>183</v>
      </c>
    </row>
    <row r="49" spans="1:3" ht="14.25" customHeight="1">
      <c r="A49" s="35" t="s">
        <v>184</v>
      </c>
    </row>
    <row r="50" spans="1:3" ht="14.25" customHeight="1">
      <c r="A50" s="35" t="s">
        <v>185</v>
      </c>
    </row>
    <row r="51" spans="1:3" ht="14.25" customHeight="1">
      <c r="A51" s="41"/>
    </row>
    <row r="52" spans="1:3" ht="14.25" customHeight="1">
      <c r="A52" s="6" t="s">
        <v>186</v>
      </c>
    </row>
    <row r="53" spans="1:3" ht="14.25" customHeight="1">
      <c r="A53" s="34"/>
    </row>
    <row r="54" spans="1:3" ht="14.25" customHeight="1">
      <c r="A54" s="35" t="s">
        <v>187</v>
      </c>
    </row>
    <row r="55" spans="1:3" ht="14.25" customHeight="1">
      <c r="A55" s="35" t="s">
        <v>188</v>
      </c>
    </row>
    <row r="56" spans="1:3" ht="14.25" customHeight="1">
      <c r="A56" s="35" t="s">
        <v>189</v>
      </c>
    </row>
    <row r="57" spans="1:3" ht="14.25" customHeight="1">
      <c r="A57" s="41"/>
    </row>
    <row r="58" spans="1:3" ht="14.25" customHeight="1">
      <c r="A58" s="6" t="s">
        <v>190</v>
      </c>
    </row>
    <row r="59" spans="1:3" ht="14.25" customHeight="1">
      <c r="A59" s="41"/>
    </row>
    <row r="60" spans="1:3" ht="14.25" customHeight="1">
      <c r="A60" s="6" t="s">
        <v>191</v>
      </c>
    </row>
    <row r="61" spans="1:3" ht="14.25" customHeight="1">
      <c r="A61" s="6" t="s">
        <v>192</v>
      </c>
    </row>
    <row r="62" spans="1:3" ht="14.25" customHeight="1"/>
    <row r="63" spans="1:3" ht="14.25" customHeight="1"/>
    <row r="64" spans="1:3" ht="14.25" customHeight="1">
      <c r="C64" s="41" t="s">
        <v>193</v>
      </c>
    </row>
    <row r="65" spans="1:1" ht="14.25" customHeight="1">
      <c r="A65" s="36" t="s">
        <v>74</v>
      </c>
    </row>
    <row r="66" spans="1:1" ht="14.25" customHeight="1">
      <c r="A66" s="36" t="s">
        <v>194</v>
      </c>
    </row>
    <row r="67" spans="1:1" ht="14.25" customHeight="1">
      <c r="A67" s="41"/>
    </row>
    <row r="68" spans="1:1" ht="14.25" customHeight="1">
      <c r="A68" s="33" t="s">
        <v>195</v>
      </c>
    </row>
    <row r="69" spans="1:1" ht="14.25" customHeight="1">
      <c r="A69" s="34"/>
    </row>
    <row r="70" spans="1:1" ht="14.25" customHeight="1">
      <c r="A70" s="35" t="s">
        <v>196</v>
      </c>
    </row>
    <row r="71" spans="1:1" ht="14.25" customHeight="1">
      <c r="A71" s="34"/>
    </row>
    <row r="72" spans="1:1" ht="14.25" customHeight="1">
      <c r="A72" s="34"/>
    </row>
    <row r="73" spans="1:1" ht="14.25" customHeight="1">
      <c r="A73" s="35" t="s">
        <v>197</v>
      </c>
    </row>
    <row r="74" spans="1:1" ht="14.25" customHeight="1">
      <c r="A74" s="35" t="s">
        <v>198</v>
      </c>
    </row>
    <row r="75" spans="1:1" ht="14.25" customHeight="1">
      <c r="A75" s="35" t="s">
        <v>199</v>
      </c>
    </row>
    <row r="76" spans="1:1" ht="14.25" customHeight="1">
      <c r="A76" s="35" t="s">
        <v>200</v>
      </c>
    </row>
    <row r="77" spans="1:1" ht="14.25" customHeight="1">
      <c r="A77" s="34"/>
    </row>
    <row r="78" spans="1:1" ht="14.25" customHeight="1">
      <c r="A78" s="35" t="s">
        <v>201</v>
      </c>
    </row>
    <row r="79" spans="1:1" ht="14.25" customHeight="1">
      <c r="A79" s="41"/>
    </row>
    <row r="80" spans="1:1" ht="14.25" customHeight="1">
      <c r="A80" s="33" t="s">
        <v>202</v>
      </c>
    </row>
    <row r="81" spans="1:30" ht="14.25" customHeight="1">
      <c r="A81" s="34"/>
      <c r="AC81" s="105"/>
      <c r="AD81" s="105"/>
    </row>
    <row r="82" spans="1:30" ht="14.25" customHeight="1">
      <c r="A82" s="35" t="s">
        <v>203</v>
      </c>
      <c r="AC82" s="105"/>
      <c r="AD82" s="105"/>
    </row>
    <row r="83" spans="1:30" ht="14.25" customHeight="1">
      <c r="A83" s="34"/>
      <c r="AC83" s="105"/>
      <c r="AD83" s="105"/>
    </row>
    <row r="84" spans="1:30" ht="14.25" customHeight="1">
      <c r="A84" s="34"/>
      <c r="H84" t="s">
        <v>263</v>
      </c>
      <c r="I84" t="s">
        <v>264</v>
      </c>
      <c r="AC84" s="105"/>
      <c r="AD84" s="105"/>
    </row>
    <row r="85" spans="1:30" ht="14.25" customHeight="1">
      <c r="A85" s="35" t="s">
        <v>204</v>
      </c>
      <c r="I85" t="s">
        <v>265</v>
      </c>
      <c r="AC85" s="105"/>
      <c r="AD85" s="105"/>
    </row>
    <row r="86" spans="1:30" ht="14.25" customHeight="1">
      <c r="A86" s="35" t="s">
        <v>205</v>
      </c>
      <c r="I86" t="s">
        <v>266</v>
      </c>
      <c r="AC86" s="105"/>
      <c r="AD86" s="105"/>
    </row>
    <row r="87" spans="1:30" ht="14.25" customHeight="1">
      <c r="A87" s="35" t="s">
        <v>206</v>
      </c>
      <c r="I87" t="s">
        <v>267</v>
      </c>
      <c r="AC87" s="105"/>
      <c r="AD87" s="105"/>
    </row>
    <row r="88" spans="1:30" ht="14.25" customHeight="1">
      <c r="A88" s="35" t="s">
        <v>207</v>
      </c>
      <c r="I88" t="s">
        <v>268</v>
      </c>
      <c r="AC88" s="105"/>
      <c r="AD88" s="105"/>
    </row>
    <row r="89" spans="1:30" ht="14.25" customHeight="1">
      <c r="A89" s="34"/>
      <c r="I89" t="s">
        <v>269</v>
      </c>
      <c r="AC89" s="105"/>
      <c r="AD89" s="105"/>
    </row>
    <row r="90" spans="1:30" ht="14.25" customHeight="1">
      <c r="A90" s="35" t="s">
        <v>208</v>
      </c>
      <c r="AC90" s="105"/>
      <c r="AD90" s="105"/>
    </row>
    <row r="91" spans="1:30" ht="14.25" customHeight="1">
      <c r="A91" s="41"/>
      <c r="AC91" s="105"/>
      <c r="AD91" s="105"/>
    </row>
    <row r="92" spans="1:30" ht="14.25" customHeight="1">
      <c r="A92" s="33" t="s">
        <v>209</v>
      </c>
      <c r="AC92" s="105"/>
      <c r="AD92" s="105"/>
    </row>
    <row r="93" spans="1:30" ht="14.25" customHeight="1">
      <c r="A93" s="34"/>
      <c r="AC93" s="105"/>
      <c r="AD93" s="105"/>
    </row>
    <row r="94" spans="1:30" ht="14.25" customHeight="1">
      <c r="A94" s="35" t="s">
        <v>210</v>
      </c>
    </row>
    <row r="95" spans="1:30" ht="14.25" customHeight="1">
      <c r="A95" s="34"/>
    </row>
    <row r="96" spans="1:30" ht="14.25" customHeight="1">
      <c r="A96" s="34"/>
    </row>
    <row r="97" spans="1:17" ht="14.25" customHeight="1">
      <c r="A97" s="35" t="s">
        <v>211</v>
      </c>
    </row>
    <row r="98" spans="1:17" ht="14.25" customHeight="1">
      <c r="A98" s="35" t="s">
        <v>212</v>
      </c>
    </row>
    <row r="99" spans="1:17" ht="14.25" customHeight="1">
      <c r="A99" s="35" t="s">
        <v>213</v>
      </c>
      <c r="I99" t="s">
        <v>259</v>
      </c>
      <c r="P99" t="s">
        <v>253</v>
      </c>
    </row>
    <row r="100" spans="1:17" ht="14.25" customHeight="1">
      <c r="A100" s="35" t="s">
        <v>214</v>
      </c>
      <c r="I100">
        <v>0.5</v>
      </c>
      <c r="J100" t="s">
        <v>260</v>
      </c>
      <c r="P100" t="s">
        <v>254</v>
      </c>
      <c r="Q100" t="s">
        <v>255</v>
      </c>
    </row>
    <row r="101" spans="1:17" ht="14.25" customHeight="1">
      <c r="A101" s="34"/>
      <c r="J101" t="s">
        <v>261</v>
      </c>
      <c r="P101" t="s">
        <v>256</v>
      </c>
      <c r="Q101" t="s">
        <v>257</v>
      </c>
    </row>
    <row r="102" spans="1:17" ht="14.25" customHeight="1">
      <c r="A102" s="35" t="s">
        <v>215</v>
      </c>
      <c r="J102" t="s">
        <v>262</v>
      </c>
    </row>
    <row r="103" spans="1:17" ht="14.25" customHeight="1">
      <c r="A103" s="41"/>
    </row>
    <row r="104" spans="1:17" ht="14.25" customHeight="1">
      <c r="A104" s="33" t="s">
        <v>216</v>
      </c>
      <c r="P104" t="s">
        <v>272</v>
      </c>
    </row>
    <row r="105" spans="1:17" ht="14.25" customHeight="1">
      <c r="A105" s="34"/>
      <c r="I105">
        <f>IF(PREDICTION!I18&gt;=1,1,0)</f>
        <v>1</v>
      </c>
    </row>
    <row r="106" spans="1:17" ht="14.25" customHeight="1">
      <c r="A106" s="35" t="s">
        <v>217</v>
      </c>
    </row>
    <row r="107" spans="1:17" ht="14.25" customHeight="1">
      <c r="A107" s="34"/>
    </row>
    <row r="108" spans="1:17" ht="14.25" customHeight="1">
      <c r="A108" s="34"/>
    </row>
    <row r="109" spans="1:17" ht="14.25" customHeight="1">
      <c r="A109" s="35" t="s">
        <v>204</v>
      </c>
    </row>
    <row r="110" spans="1:17" ht="14.25" customHeight="1">
      <c r="A110" s="35" t="s">
        <v>205</v>
      </c>
    </row>
    <row r="111" spans="1:17" ht="14.25" customHeight="1">
      <c r="A111" s="35" t="s">
        <v>218</v>
      </c>
    </row>
    <row r="112" spans="1:17" ht="14.25" customHeight="1">
      <c r="A112" s="35" t="s">
        <v>219</v>
      </c>
    </row>
    <row r="113" spans="1:1" ht="14.25" customHeight="1">
      <c r="A113" s="34"/>
    </row>
    <row r="114" spans="1:1" ht="14.25" customHeight="1">
      <c r="A114" s="35" t="s">
        <v>220</v>
      </c>
    </row>
    <row r="115" spans="1:1" ht="14.25" customHeight="1">
      <c r="A115" s="41"/>
    </row>
    <row r="116" spans="1:1" ht="14.25" customHeight="1">
      <c r="A116" s="33" t="s">
        <v>221</v>
      </c>
    </row>
    <row r="117" spans="1:1" ht="14.25" customHeight="1">
      <c r="A117" s="34"/>
    </row>
    <row r="118" spans="1:1" ht="14.25" customHeight="1">
      <c r="A118" s="35" t="s">
        <v>222</v>
      </c>
    </row>
    <row r="119" spans="1:1" ht="14.25" customHeight="1">
      <c r="A119" s="34"/>
    </row>
    <row r="120" spans="1:1" ht="14.25" customHeight="1">
      <c r="A120" s="34"/>
    </row>
    <row r="121" spans="1:1" ht="14.25" customHeight="1">
      <c r="A121" s="35" t="s">
        <v>211</v>
      </c>
    </row>
    <row r="122" spans="1:1" ht="14.25" customHeight="1">
      <c r="A122" s="35" t="s">
        <v>212</v>
      </c>
    </row>
    <row r="123" spans="1:1" ht="14.25" customHeight="1">
      <c r="A123" s="35" t="s">
        <v>199</v>
      </c>
    </row>
    <row r="124" spans="1:1" ht="14.25" customHeight="1">
      <c r="A124" s="35" t="s">
        <v>214</v>
      </c>
    </row>
    <row r="125" spans="1:1" ht="14.25" customHeight="1">
      <c r="A125" s="34"/>
    </row>
    <row r="126" spans="1:1" ht="14.25" customHeight="1">
      <c r="A126" s="35" t="s">
        <v>223</v>
      </c>
    </row>
    <row r="127" spans="1:1" ht="14.25" customHeight="1">
      <c r="A127" s="41"/>
    </row>
    <row r="128" spans="1:1" ht="14.25" customHeight="1">
      <c r="A128" s="33" t="s">
        <v>224</v>
      </c>
    </row>
    <row r="129" spans="1:1" ht="14.25" customHeight="1">
      <c r="A129" s="34"/>
    </row>
    <row r="130" spans="1:1" ht="14.25" customHeight="1">
      <c r="A130" s="35" t="s">
        <v>225</v>
      </c>
    </row>
    <row r="131" spans="1:1" ht="14.25" customHeight="1">
      <c r="A131" s="34"/>
    </row>
    <row r="132" spans="1:1" ht="14.25" customHeight="1">
      <c r="A132" s="34"/>
    </row>
    <row r="133" spans="1:1" ht="14.25" customHeight="1">
      <c r="A133" s="35" t="s">
        <v>204</v>
      </c>
    </row>
    <row r="134" spans="1:1" ht="14.25" customHeight="1">
      <c r="A134" s="35" t="s">
        <v>205</v>
      </c>
    </row>
    <row r="135" spans="1:1" ht="14.25" customHeight="1">
      <c r="A135" s="35" t="s">
        <v>206</v>
      </c>
    </row>
    <row r="136" spans="1:1" ht="14.25" customHeight="1">
      <c r="A136" s="35" t="s">
        <v>219</v>
      </c>
    </row>
    <row r="137" spans="1:1" ht="14.25" customHeight="1">
      <c r="A137" s="34"/>
    </row>
    <row r="138" spans="1:1" ht="14.25" customHeight="1">
      <c r="A138" s="35" t="s">
        <v>226</v>
      </c>
    </row>
    <row r="139" spans="1:1" ht="14.25" customHeight="1">
      <c r="A139" s="41"/>
    </row>
    <row r="140" spans="1:1" ht="14.25" customHeight="1">
      <c r="A140" s="33" t="s">
        <v>227</v>
      </c>
    </row>
    <row r="141" spans="1:1" ht="14.25" customHeight="1">
      <c r="A141" s="34"/>
    </row>
    <row r="142" spans="1:1" ht="14.25" customHeight="1">
      <c r="A142" s="35" t="s">
        <v>228</v>
      </c>
    </row>
    <row r="143" spans="1:1" ht="14.25" customHeight="1">
      <c r="A143" s="34"/>
    </row>
    <row r="144" spans="1:1" ht="14.25" customHeight="1">
      <c r="A144" s="34"/>
    </row>
    <row r="145" spans="1:1" ht="14.25" customHeight="1">
      <c r="A145" s="35" t="s">
        <v>211</v>
      </c>
    </row>
    <row r="146" spans="1:1" ht="14.25" customHeight="1">
      <c r="A146" s="35" t="s">
        <v>229</v>
      </c>
    </row>
    <row r="147" spans="1:1" ht="14.25" customHeight="1">
      <c r="A147" s="35" t="s">
        <v>230</v>
      </c>
    </row>
    <row r="148" spans="1:1" ht="14.25" customHeight="1">
      <c r="A148" s="35" t="s">
        <v>231</v>
      </c>
    </row>
    <row r="149" spans="1:1" ht="14.25" customHeight="1">
      <c r="A149" s="34"/>
    </row>
    <row r="150" spans="1:1" ht="14.25" customHeight="1">
      <c r="A150" s="35" t="s">
        <v>232</v>
      </c>
    </row>
    <row r="151" spans="1:1" ht="14.25" customHeight="1">
      <c r="A151" s="41"/>
    </row>
    <row r="152" spans="1:1" ht="14.25" customHeight="1">
      <c r="A152" s="33" t="s">
        <v>233</v>
      </c>
    </row>
    <row r="153" spans="1:1" ht="14.25" customHeight="1">
      <c r="A153" s="34"/>
    </row>
    <row r="154" spans="1:1" ht="14.25" customHeight="1">
      <c r="A154" s="35" t="s">
        <v>234</v>
      </c>
    </row>
    <row r="155" spans="1:1" ht="14.25" customHeight="1">
      <c r="A155" s="34"/>
    </row>
    <row r="156" spans="1:1" ht="14.25" customHeight="1">
      <c r="A156" s="34"/>
    </row>
    <row r="157" spans="1:1" ht="14.25" customHeight="1">
      <c r="A157" s="35" t="s">
        <v>204</v>
      </c>
    </row>
    <row r="158" spans="1:1" ht="14.25" customHeight="1">
      <c r="A158" s="35" t="s">
        <v>235</v>
      </c>
    </row>
    <row r="159" spans="1:1" ht="14.25" customHeight="1">
      <c r="A159" s="35" t="s">
        <v>236</v>
      </c>
    </row>
    <row r="160" spans="1:1" ht="14.25" customHeight="1">
      <c r="A160" s="35" t="s">
        <v>207</v>
      </c>
    </row>
    <row r="161" spans="1:1" ht="14.25" customHeight="1">
      <c r="A161" s="34"/>
    </row>
    <row r="162" spans="1:1" ht="14.25" customHeight="1">
      <c r="A162" s="35" t="s">
        <v>237</v>
      </c>
    </row>
    <row r="163" spans="1:1" ht="14.25" customHeight="1"/>
    <row r="164" spans="1:1" ht="14.25" customHeight="1"/>
    <row r="165" spans="1:1" ht="14.25" customHeight="1"/>
    <row r="166" spans="1:1" ht="14.25" customHeight="1"/>
    <row r="167" spans="1:1" ht="14.25" customHeight="1"/>
    <row r="168" spans="1:1" ht="14.25" customHeight="1"/>
    <row r="169" spans="1:1" ht="14.25" customHeight="1"/>
    <row r="170" spans="1:1" ht="14.25" customHeight="1"/>
    <row r="171" spans="1:1" ht="14.25" customHeight="1"/>
    <row r="172" spans="1:1" ht="14.25" customHeight="1"/>
    <row r="173" spans="1:1" ht="14.25" customHeight="1"/>
    <row r="174" spans="1:1" ht="14.25" customHeight="1"/>
    <row r="175" spans="1:1" ht="14.25" customHeight="1"/>
    <row r="176" spans="1:1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  <tableParts count="3">
    <tablePart r:id="rId1"/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78B9-FAA2-46DA-8463-9723A7C5C2F2}">
  <dimension ref="A1:I24"/>
  <sheetViews>
    <sheetView workbookViewId="0">
      <selection activeCell="F2" sqref="F2:H12"/>
    </sheetView>
  </sheetViews>
  <sheetFormatPr defaultRowHeight="14.5"/>
  <cols>
    <col min="1" max="1" width="12.26953125" bestFit="1" customWidth="1"/>
    <col min="2" max="2" width="22.1796875" bestFit="1" customWidth="1"/>
    <col min="3" max="3" width="18.4531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518</v>
      </c>
      <c r="B2" t="s">
        <v>520</v>
      </c>
      <c r="C2" t="s">
        <v>287</v>
      </c>
      <c r="D2">
        <v>3</v>
      </c>
      <c r="E2">
        <v>2</v>
      </c>
      <c r="F2">
        <v>2</v>
      </c>
      <c r="G2">
        <v>3</v>
      </c>
      <c r="H2" t="s">
        <v>126</v>
      </c>
      <c r="I2">
        <v>1</v>
      </c>
    </row>
    <row r="3" spans="1:9">
      <c r="A3" t="s">
        <v>503</v>
      </c>
      <c r="B3" t="s">
        <v>287</v>
      </c>
      <c r="C3" t="s">
        <v>293</v>
      </c>
      <c r="D3">
        <v>4</v>
      </c>
      <c r="E3">
        <v>1</v>
      </c>
      <c r="F3">
        <v>4</v>
      </c>
      <c r="G3">
        <v>1</v>
      </c>
      <c r="H3" t="s">
        <v>125</v>
      </c>
      <c r="I3">
        <v>2</v>
      </c>
    </row>
    <row r="4" spans="1:9">
      <c r="A4" t="s">
        <v>460</v>
      </c>
      <c r="B4" t="s">
        <v>287</v>
      </c>
      <c r="C4" t="s">
        <v>292</v>
      </c>
      <c r="D4">
        <v>2</v>
      </c>
      <c r="E4">
        <v>1</v>
      </c>
      <c r="F4">
        <v>2</v>
      </c>
      <c r="G4">
        <v>1</v>
      </c>
      <c r="H4" t="s">
        <v>125</v>
      </c>
      <c r="I4">
        <v>3</v>
      </c>
    </row>
    <row r="5" spans="1:9">
      <c r="A5" t="s">
        <v>455</v>
      </c>
      <c r="B5" t="s">
        <v>63</v>
      </c>
      <c r="C5" t="s">
        <v>287</v>
      </c>
      <c r="D5">
        <v>1</v>
      </c>
      <c r="E5">
        <v>0</v>
      </c>
      <c r="F5">
        <v>0</v>
      </c>
      <c r="G5">
        <v>1</v>
      </c>
      <c r="H5" t="s">
        <v>126</v>
      </c>
      <c r="I5">
        <v>4</v>
      </c>
    </row>
    <row r="6" spans="1:9">
      <c r="A6" t="s">
        <v>412</v>
      </c>
      <c r="B6" t="s">
        <v>287</v>
      </c>
      <c r="C6" t="s">
        <v>422</v>
      </c>
      <c r="D6">
        <v>1</v>
      </c>
      <c r="E6">
        <v>0</v>
      </c>
      <c r="F6">
        <v>1</v>
      </c>
      <c r="G6">
        <v>0</v>
      </c>
      <c r="H6" t="s">
        <v>125</v>
      </c>
      <c r="I6">
        <v>5</v>
      </c>
    </row>
    <row r="7" spans="1:9">
      <c r="A7" t="s">
        <v>361</v>
      </c>
      <c r="B7" t="s">
        <v>287</v>
      </c>
      <c r="C7" t="s">
        <v>61</v>
      </c>
      <c r="D7">
        <v>4</v>
      </c>
      <c r="E7">
        <v>1</v>
      </c>
      <c r="F7">
        <v>4</v>
      </c>
      <c r="G7">
        <v>1</v>
      </c>
      <c r="H7" t="s">
        <v>125</v>
      </c>
      <c r="I7">
        <v>6</v>
      </c>
    </row>
    <row r="8" spans="1:9">
      <c r="A8" t="s">
        <v>304</v>
      </c>
      <c r="B8" t="s">
        <v>286</v>
      </c>
      <c r="C8" t="s">
        <v>287</v>
      </c>
      <c r="D8">
        <v>3</v>
      </c>
      <c r="E8">
        <v>2</v>
      </c>
      <c r="F8">
        <v>2</v>
      </c>
      <c r="G8">
        <v>3</v>
      </c>
      <c r="H8" t="s">
        <v>126</v>
      </c>
      <c r="I8">
        <v>7</v>
      </c>
    </row>
    <row r="9" spans="1:9">
      <c r="A9" t="s">
        <v>414</v>
      </c>
      <c r="B9" t="s">
        <v>288</v>
      </c>
      <c r="C9" t="s">
        <v>287</v>
      </c>
      <c r="D9">
        <v>1</v>
      </c>
      <c r="E9">
        <v>2</v>
      </c>
      <c r="F9">
        <v>2</v>
      </c>
      <c r="G9">
        <v>1</v>
      </c>
      <c r="H9" t="s">
        <v>126</v>
      </c>
      <c r="I9">
        <v>8</v>
      </c>
    </row>
    <row r="10" spans="1:9">
      <c r="A10" t="s">
        <v>306</v>
      </c>
      <c r="B10" t="s">
        <v>58</v>
      </c>
      <c r="C10" t="s">
        <v>287</v>
      </c>
      <c r="D10">
        <v>0</v>
      </c>
      <c r="E10">
        <v>3</v>
      </c>
      <c r="F10">
        <v>3</v>
      </c>
      <c r="G10">
        <v>0</v>
      </c>
      <c r="H10" t="s">
        <v>126</v>
      </c>
      <c r="I10">
        <v>9</v>
      </c>
    </row>
    <row r="11" spans="1:9">
      <c r="A11" t="s">
        <v>423</v>
      </c>
      <c r="B11" t="s">
        <v>287</v>
      </c>
      <c r="C11" t="s">
        <v>424</v>
      </c>
      <c r="D11">
        <v>3</v>
      </c>
      <c r="E11">
        <v>0</v>
      </c>
      <c r="F11">
        <v>3</v>
      </c>
      <c r="G11">
        <v>0</v>
      </c>
      <c r="H11" t="s">
        <v>125</v>
      </c>
      <c r="I11">
        <v>10</v>
      </c>
    </row>
    <row r="12" spans="1:9">
      <c r="A12" t="s">
        <v>308</v>
      </c>
      <c r="B12" t="s">
        <v>287</v>
      </c>
      <c r="C12" t="s">
        <v>59</v>
      </c>
      <c r="D12">
        <v>3</v>
      </c>
      <c r="E12">
        <v>1</v>
      </c>
      <c r="F12">
        <v>3</v>
      </c>
      <c r="G12">
        <v>1</v>
      </c>
      <c r="H12" t="s">
        <v>125</v>
      </c>
      <c r="I12">
        <v>11</v>
      </c>
    </row>
    <row r="13" spans="1:9">
      <c r="A13" t="s">
        <v>382</v>
      </c>
      <c r="B13" t="s">
        <v>411</v>
      </c>
      <c r="C13" t="s">
        <v>287</v>
      </c>
      <c r="D13">
        <v>1</v>
      </c>
      <c r="E13">
        <v>2</v>
      </c>
      <c r="F13">
        <v>2</v>
      </c>
      <c r="G13">
        <v>1</v>
      </c>
      <c r="H13" t="s">
        <v>126</v>
      </c>
      <c r="I13">
        <v>12</v>
      </c>
    </row>
    <row r="14" spans="1:9">
      <c r="A14" t="s">
        <v>394</v>
      </c>
      <c r="B14" t="s">
        <v>287</v>
      </c>
      <c r="C14" t="s">
        <v>46</v>
      </c>
      <c r="D14">
        <v>0</v>
      </c>
      <c r="E14">
        <v>1</v>
      </c>
      <c r="F14">
        <v>0</v>
      </c>
      <c r="G14">
        <v>1</v>
      </c>
      <c r="H14" t="s">
        <v>125</v>
      </c>
      <c r="I14">
        <v>13</v>
      </c>
    </row>
    <row r="15" spans="1:9">
      <c r="A15" t="s">
        <v>395</v>
      </c>
      <c r="B15" t="s">
        <v>53</v>
      </c>
      <c r="C15" t="s">
        <v>287</v>
      </c>
      <c r="D15">
        <v>2</v>
      </c>
      <c r="E15">
        <v>1</v>
      </c>
      <c r="F15">
        <v>1</v>
      </c>
      <c r="G15">
        <v>2</v>
      </c>
      <c r="H15" t="s">
        <v>126</v>
      </c>
      <c r="I15">
        <v>14</v>
      </c>
    </row>
    <row r="16" spans="1:9">
      <c r="A16" t="s">
        <v>312</v>
      </c>
      <c r="B16" t="s">
        <v>287</v>
      </c>
      <c r="C16" t="s">
        <v>67</v>
      </c>
      <c r="D16">
        <v>4</v>
      </c>
      <c r="E16">
        <v>0</v>
      </c>
      <c r="F16">
        <v>4</v>
      </c>
      <c r="G16">
        <v>0</v>
      </c>
      <c r="H16" t="s">
        <v>125</v>
      </c>
      <c r="I16">
        <v>15</v>
      </c>
    </row>
    <row r="17" spans="1:9">
      <c r="A17" t="s">
        <v>425</v>
      </c>
      <c r="B17" t="s">
        <v>62</v>
      </c>
      <c r="C17" t="s">
        <v>287</v>
      </c>
      <c r="D17">
        <v>1</v>
      </c>
      <c r="E17">
        <v>1</v>
      </c>
      <c r="F17">
        <v>1</v>
      </c>
      <c r="G17">
        <v>1</v>
      </c>
      <c r="H17" t="s">
        <v>126</v>
      </c>
      <c r="I17">
        <v>16</v>
      </c>
    </row>
    <row r="18" spans="1:9">
      <c r="A18" t="s">
        <v>314</v>
      </c>
      <c r="B18" t="s">
        <v>287</v>
      </c>
      <c r="C18" t="s">
        <v>289</v>
      </c>
      <c r="D18">
        <v>2</v>
      </c>
      <c r="E18">
        <v>3</v>
      </c>
      <c r="F18">
        <v>2</v>
      </c>
      <c r="G18">
        <v>3</v>
      </c>
      <c r="H18" t="s">
        <v>125</v>
      </c>
      <c r="I18">
        <v>17</v>
      </c>
    </row>
    <row r="19" spans="1:9">
      <c r="A19" t="s">
        <v>389</v>
      </c>
      <c r="B19" t="s">
        <v>289</v>
      </c>
      <c r="C19" t="s">
        <v>287</v>
      </c>
      <c r="D19">
        <v>2</v>
      </c>
      <c r="E19">
        <v>1</v>
      </c>
      <c r="F19">
        <v>1</v>
      </c>
      <c r="G19">
        <v>2</v>
      </c>
      <c r="H19" t="s">
        <v>126</v>
      </c>
      <c r="I19">
        <v>18</v>
      </c>
    </row>
    <row r="20" spans="1:9">
      <c r="A20" t="s">
        <v>405</v>
      </c>
      <c r="B20" t="s">
        <v>426</v>
      </c>
      <c r="C20" t="s">
        <v>287</v>
      </c>
      <c r="D20">
        <v>3</v>
      </c>
      <c r="E20">
        <v>4</v>
      </c>
      <c r="F20">
        <v>4</v>
      </c>
      <c r="G20">
        <v>3</v>
      </c>
      <c r="H20" t="s">
        <v>126</v>
      </c>
      <c r="I20">
        <v>19</v>
      </c>
    </row>
    <row r="21" spans="1:9">
      <c r="A21" t="s">
        <v>406</v>
      </c>
      <c r="B21" t="s">
        <v>427</v>
      </c>
      <c r="C21" t="s">
        <v>287</v>
      </c>
      <c r="D21">
        <v>2</v>
      </c>
      <c r="E21">
        <v>3</v>
      </c>
      <c r="F21">
        <v>3</v>
      </c>
      <c r="G21">
        <v>2</v>
      </c>
      <c r="H21" t="s">
        <v>126</v>
      </c>
      <c r="I21">
        <v>20</v>
      </c>
    </row>
    <row r="22" spans="1:9">
      <c r="A22" t="s">
        <v>373</v>
      </c>
      <c r="B22" t="s">
        <v>290</v>
      </c>
      <c r="C22" t="s">
        <v>287</v>
      </c>
      <c r="D22">
        <v>0</v>
      </c>
      <c r="E22">
        <v>2</v>
      </c>
      <c r="F22">
        <v>2</v>
      </c>
      <c r="G22">
        <v>0</v>
      </c>
      <c r="H22" t="s">
        <v>126</v>
      </c>
      <c r="I22">
        <v>21</v>
      </c>
    </row>
    <row r="23" spans="1:9">
      <c r="A23" t="s">
        <v>428</v>
      </c>
      <c r="B23" t="s">
        <v>429</v>
      </c>
      <c r="C23" t="s">
        <v>287</v>
      </c>
      <c r="D23">
        <v>1</v>
      </c>
      <c r="E23">
        <v>5</v>
      </c>
      <c r="F23">
        <v>5</v>
      </c>
      <c r="G23">
        <v>1</v>
      </c>
      <c r="H23" t="s">
        <v>126</v>
      </c>
      <c r="I23">
        <v>22</v>
      </c>
    </row>
    <row r="24" spans="1:9">
      <c r="A24" t="s">
        <v>396</v>
      </c>
      <c r="B24" t="s">
        <v>53</v>
      </c>
      <c r="C24" t="s">
        <v>287</v>
      </c>
      <c r="D24">
        <v>1</v>
      </c>
      <c r="E24">
        <v>1</v>
      </c>
      <c r="F24">
        <v>1</v>
      </c>
      <c r="G24">
        <v>1</v>
      </c>
      <c r="H24" t="s">
        <v>126</v>
      </c>
      <c r="I24">
        <v>23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9DA4-50FD-4CBC-BC3B-23B640A12A30}">
  <dimension ref="A1:I23"/>
  <sheetViews>
    <sheetView workbookViewId="0">
      <selection activeCell="F2" sqref="F2:H12"/>
    </sheetView>
  </sheetViews>
  <sheetFormatPr defaultRowHeight="14.5"/>
  <cols>
    <col min="1" max="1" width="11.81640625" bestFit="1" customWidth="1"/>
    <col min="2" max="2" width="22.1796875" bestFit="1" customWidth="1"/>
    <col min="3" max="3" width="18.4531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379</v>
      </c>
      <c r="I1" t="s">
        <v>320</v>
      </c>
    </row>
    <row r="2" spans="1:9">
      <c r="A2" t="s">
        <v>518</v>
      </c>
      <c r="B2" t="s">
        <v>58</v>
      </c>
      <c r="C2" t="s">
        <v>519</v>
      </c>
      <c r="D2">
        <v>2</v>
      </c>
      <c r="E2">
        <v>0</v>
      </c>
      <c r="F2">
        <v>2</v>
      </c>
      <c r="G2">
        <v>0</v>
      </c>
      <c r="H2" t="s">
        <v>125</v>
      </c>
      <c r="I2">
        <v>1</v>
      </c>
    </row>
    <row r="3" spans="1:9">
      <c r="A3" t="s">
        <v>503</v>
      </c>
      <c r="B3" t="s">
        <v>58</v>
      </c>
      <c r="C3" t="s">
        <v>51</v>
      </c>
      <c r="D3">
        <v>1</v>
      </c>
      <c r="E3">
        <v>1</v>
      </c>
      <c r="F3">
        <v>1</v>
      </c>
      <c r="G3">
        <v>1</v>
      </c>
      <c r="H3" t="s">
        <v>125</v>
      </c>
      <c r="I3">
        <v>2</v>
      </c>
    </row>
    <row r="4" spans="1:9">
      <c r="A4" t="s">
        <v>460</v>
      </c>
      <c r="B4" t="s">
        <v>58</v>
      </c>
      <c r="C4" t="s">
        <v>62</v>
      </c>
      <c r="D4">
        <v>5</v>
      </c>
      <c r="E4">
        <v>2</v>
      </c>
      <c r="F4">
        <v>5</v>
      </c>
      <c r="G4">
        <v>2</v>
      </c>
      <c r="H4" t="s">
        <v>125</v>
      </c>
      <c r="I4">
        <v>3</v>
      </c>
    </row>
    <row r="5" spans="1:9">
      <c r="A5" t="s">
        <v>455</v>
      </c>
      <c r="B5" t="s">
        <v>61</v>
      </c>
      <c r="C5" t="s">
        <v>58</v>
      </c>
      <c r="D5">
        <v>2</v>
      </c>
      <c r="E5">
        <v>1</v>
      </c>
      <c r="F5">
        <v>1</v>
      </c>
      <c r="G5">
        <v>2</v>
      </c>
      <c r="H5" t="s">
        <v>126</v>
      </c>
      <c r="I5">
        <v>4</v>
      </c>
    </row>
    <row r="6" spans="1:9">
      <c r="A6" t="s">
        <v>412</v>
      </c>
      <c r="B6" t="s">
        <v>413</v>
      </c>
      <c r="C6" t="s">
        <v>58</v>
      </c>
      <c r="D6">
        <v>1</v>
      </c>
      <c r="E6">
        <v>1</v>
      </c>
      <c r="F6">
        <v>1</v>
      </c>
      <c r="G6">
        <v>1</v>
      </c>
      <c r="H6" t="s">
        <v>126</v>
      </c>
      <c r="I6">
        <v>5</v>
      </c>
    </row>
    <row r="7" spans="1:9">
      <c r="A7" t="s">
        <v>361</v>
      </c>
      <c r="B7" t="s">
        <v>58</v>
      </c>
      <c r="C7" t="s">
        <v>59</v>
      </c>
      <c r="D7">
        <v>2</v>
      </c>
      <c r="E7">
        <v>1</v>
      </c>
      <c r="F7">
        <v>2</v>
      </c>
      <c r="G7">
        <v>1</v>
      </c>
      <c r="H7" t="s">
        <v>125</v>
      </c>
      <c r="I7">
        <v>6</v>
      </c>
    </row>
    <row r="8" spans="1:9">
      <c r="A8" t="s">
        <v>304</v>
      </c>
      <c r="B8" t="s">
        <v>293</v>
      </c>
      <c r="C8" t="s">
        <v>58</v>
      </c>
      <c r="D8">
        <v>0</v>
      </c>
      <c r="E8">
        <v>0</v>
      </c>
      <c r="F8">
        <v>0</v>
      </c>
      <c r="G8">
        <v>0</v>
      </c>
      <c r="H8" t="s">
        <v>126</v>
      </c>
      <c r="I8">
        <v>7</v>
      </c>
    </row>
    <row r="9" spans="1:9">
      <c r="A9" t="s">
        <v>414</v>
      </c>
      <c r="B9" t="s">
        <v>415</v>
      </c>
      <c r="C9" t="s">
        <v>58</v>
      </c>
      <c r="D9">
        <v>3</v>
      </c>
      <c r="E9">
        <v>3</v>
      </c>
      <c r="F9">
        <v>3</v>
      </c>
      <c r="G9">
        <v>3</v>
      </c>
      <c r="H9" t="s">
        <v>126</v>
      </c>
      <c r="I9">
        <v>8</v>
      </c>
    </row>
    <row r="10" spans="1:9">
      <c r="A10" t="s">
        <v>306</v>
      </c>
      <c r="B10" t="s">
        <v>58</v>
      </c>
      <c r="C10" t="s">
        <v>287</v>
      </c>
      <c r="D10">
        <v>0</v>
      </c>
      <c r="E10">
        <v>3</v>
      </c>
      <c r="F10">
        <v>0</v>
      </c>
      <c r="G10">
        <v>3</v>
      </c>
      <c r="H10" t="s">
        <v>125</v>
      </c>
      <c r="I10">
        <v>9</v>
      </c>
    </row>
    <row r="11" spans="1:9">
      <c r="A11" t="s">
        <v>398</v>
      </c>
      <c r="B11" t="s">
        <v>58</v>
      </c>
      <c r="C11" t="s">
        <v>416</v>
      </c>
      <c r="D11">
        <v>1</v>
      </c>
      <c r="E11">
        <v>1</v>
      </c>
      <c r="F11">
        <v>1</v>
      </c>
      <c r="G11">
        <v>1</v>
      </c>
      <c r="H11" t="s">
        <v>125</v>
      </c>
      <c r="I11">
        <v>10</v>
      </c>
    </row>
    <row r="12" spans="1:9">
      <c r="A12" t="s">
        <v>308</v>
      </c>
      <c r="B12" t="s">
        <v>63</v>
      </c>
      <c r="C12" t="s">
        <v>58</v>
      </c>
      <c r="D12">
        <v>0</v>
      </c>
      <c r="E12">
        <v>0</v>
      </c>
      <c r="F12">
        <v>0</v>
      </c>
      <c r="G12">
        <v>0</v>
      </c>
      <c r="H12" t="s">
        <v>126</v>
      </c>
      <c r="I12">
        <v>11</v>
      </c>
    </row>
    <row r="13" spans="1:9">
      <c r="A13" t="s">
        <v>309</v>
      </c>
      <c r="B13" t="s">
        <v>58</v>
      </c>
      <c r="C13" t="s">
        <v>417</v>
      </c>
      <c r="D13">
        <v>7</v>
      </c>
      <c r="E13">
        <v>0</v>
      </c>
      <c r="F13">
        <v>7</v>
      </c>
      <c r="G13">
        <v>0</v>
      </c>
      <c r="H13" t="s">
        <v>125</v>
      </c>
      <c r="I13">
        <v>12</v>
      </c>
    </row>
    <row r="14" spans="1:9">
      <c r="A14" t="s">
        <v>310</v>
      </c>
      <c r="B14" t="s">
        <v>65</v>
      </c>
      <c r="C14" t="s">
        <v>58</v>
      </c>
      <c r="D14">
        <v>0</v>
      </c>
      <c r="E14">
        <v>3</v>
      </c>
      <c r="F14">
        <v>3</v>
      </c>
      <c r="G14">
        <v>0</v>
      </c>
      <c r="H14" t="s">
        <v>126</v>
      </c>
      <c r="I14">
        <v>13</v>
      </c>
    </row>
    <row r="15" spans="1:9">
      <c r="A15" t="s">
        <v>395</v>
      </c>
      <c r="B15" t="s">
        <v>58</v>
      </c>
      <c r="C15" t="s">
        <v>44</v>
      </c>
      <c r="D15">
        <v>0</v>
      </c>
      <c r="E15">
        <v>3</v>
      </c>
      <c r="F15">
        <v>0</v>
      </c>
      <c r="G15">
        <v>3</v>
      </c>
      <c r="H15" t="s">
        <v>125</v>
      </c>
      <c r="I15">
        <v>14</v>
      </c>
    </row>
    <row r="16" spans="1:9">
      <c r="A16" t="s">
        <v>312</v>
      </c>
      <c r="B16" t="s">
        <v>286</v>
      </c>
      <c r="C16" t="s">
        <v>58</v>
      </c>
      <c r="D16">
        <v>2</v>
      </c>
      <c r="E16">
        <v>1</v>
      </c>
      <c r="F16">
        <v>1</v>
      </c>
      <c r="G16">
        <v>2</v>
      </c>
      <c r="H16" t="s">
        <v>126</v>
      </c>
      <c r="I16">
        <v>15</v>
      </c>
    </row>
    <row r="17" spans="1:9">
      <c r="A17" t="s">
        <v>418</v>
      </c>
      <c r="B17" t="s">
        <v>58</v>
      </c>
      <c r="C17" t="s">
        <v>56</v>
      </c>
      <c r="D17">
        <v>1</v>
      </c>
      <c r="E17">
        <v>0</v>
      </c>
      <c r="F17">
        <v>1</v>
      </c>
      <c r="G17">
        <v>0</v>
      </c>
      <c r="H17" t="s">
        <v>125</v>
      </c>
      <c r="I17">
        <v>16</v>
      </c>
    </row>
    <row r="18" spans="1:9">
      <c r="A18" t="s">
        <v>314</v>
      </c>
      <c r="B18" t="s">
        <v>292</v>
      </c>
      <c r="C18" t="s">
        <v>58</v>
      </c>
      <c r="D18">
        <v>1</v>
      </c>
      <c r="E18">
        <v>1</v>
      </c>
      <c r="F18">
        <v>1</v>
      </c>
      <c r="G18">
        <v>1</v>
      </c>
      <c r="H18" t="s">
        <v>126</v>
      </c>
      <c r="I18">
        <v>17</v>
      </c>
    </row>
    <row r="19" spans="1:9">
      <c r="A19" t="s">
        <v>389</v>
      </c>
      <c r="B19" t="s">
        <v>58</v>
      </c>
      <c r="C19" t="s">
        <v>44</v>
      </c>
      <c r="D19">
        <v>0</v>
      </c>
      <c r="E19">
        <v>3</v>
      </c>
      <c r="F19">
        <v>0</v>
      </c>
      <c r="G19">
        <v>3</v>
      </c>
      <c r="H19" t="s">
        <v>125</v>
      </c>
      <c r="I19">
        <v>18</v>
      </c>
    </row>
    <row r="20" spans="1:9">
      <c r="A20" t="s">
        <v>405</v>
      </c>
      <c r="B20" t="s">
        <v>58</v>
      </c>
      <c r="C20" t="s">
        <v>243</v>
      </c>
      <c r="D20">
        <v>3</v>
      </c>
      <c r="E20">
        <v>2</v>
      </c>
      <c r="F20">
        <v>3</v>
      </c>
      <c r="G20">
        <v>2</v>
      </c>
      <c r="H20" t="s">
        <v>125</v>
      </c>
      <c r="I20">
        <v>19</v>
      </c>
    </row>
    <row r="21" spans="1:9">
      <c r="A21" t="s">
        <v>406</v>
      </c>
      <c r="B21" t="s">
        <v>46</v>
      </c>
      <c r="C21" t="s">
        <v>58</v>
      </c>
      <c r="D21">
        <v>2</v>
      </c>
      <c r="E21">
        <v>1</v>
      </c>
      <c r="F21">
        <v>1</v>
      </c>
      <c r="G21">
        <v>2</v>
      </c>
      <c r="H21" t="s">
        <v>126</v>
      </c>
      <c r="I21">
        <v>20</v>
      </c>
    </row>
    <row r="22" spans="1:9">
      <c r="A22" t="s">
        <v>373</v>
      </c>
      <c r="B22" t="s">
        <v>419</v>
      </c>
      <c r="C22" t="s">
        <v>58</v>
      </c>
      <c r="D22">
        <v>0</v>
      </c>
      <c r="E22">
        <v>2</v>
      </c>
      <c r="F22">
        <v>2</v>
      </c>
      <c r="G22">
        <v>0</v>
      </c>
      <c r="H22" t="s">
        <v>126</v>
      </c>
      <c r="I22">
        <v>21</v>
      </c>
    </row>
    <row r="23" spans="1:9">
      <c r="A23" t="s">
        <v>420</v>
      </c>
      <c r="B23" t="s">
        <v>421</v>
      </c>
      <c r="C23" t="s">
        <v>58</v>
      </c>
      <c r="D23">
        <v>1</v>
      </c>
      <c r="E23">
        <v>0</v>
      </c>
      <c r="F23">
        <v>0</v>
      </c>
      <c r="G23">
        <v>1</v>
      </c>
      <c r="H23" t="s">
        <v>126</v>
      </c>
      <c r="I23">
        <v>22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2E7A8-3114-4A38-B88D-5F5AACC3BDB3}">
  <dimension ref="A1:N23"/>
  <sheetViews>
    <sheetView topLeftCell="B1" workbookViewId="0">
      <selection activeCell="F2" sqref="F2:H12"/>
    </sheetView>
  </sheetViews>
  <sheetFormatPr defaultRowHeight="14.5"/>
  <cols>
    <col min="1" max="1" width="10.453125" bestFit="1" customWidth="1"/>
    <col min="2" max="2" width="17.36328125" bestFit="1" customWidth="1"/>
    <col min="3" max="3" width="20.4531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90625" bestFit="1" customWidth="1"/>
    <col min="9" max="9" width="7.7265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544</v>
      </c>
      <c r="B2" t="s">
        <v>61</v>
      </c>
      <c r="C2" t="s">
        <v>67</v>
      </c>
      <c r="D2">
        <v>0</v>
      </c>
      <c r="E2">
        <v>0</v>
      </c>
      <c r="F2">
        <v>0</v>
      </c>
      <c r="G2">
        <v>0</v>
      </c>
      <c r="H2" t="s">
        <v>126</v>
      </c>
      <c r="I2">
        <v>1</v>
      </c>
    </row>
    <row r="3" spans="1:9">
      <c r="A3" t="s">
        <v>496</v>
      </c>
      <c r="B3" t="s">
        <v>65</v>
      </c>
      <c r="C3" t="s">
        <v>67</v>
      </c>
      <c r="D3">
        <v>1</v>
      </c>
      <c r="E3">
        <v>0</v>
      </c>
      <c r="F3">
        <v>0</v>
      </c>
      <c r="G3">
        <v>1</v>
      </c>
      <c r="H3" t="s">
        <v>126</v>
      </c>
      <c r="I3">
        <v>2</v>
      </c>
    </row>
    <row r="4" spans="1:9">
      <c r="A4" t="s">
        <v>407</v>
      </c>
      <c r="B4" t="s">
        <v>67</v>
      </c>
      <c r="C4" t="s">
        <v>56</v>
      </c>
      <c r="D4">
        <v>1</v>
      </c>
      <c r="E4">
        <v>1</v>
      </c>
      <c r="F4">
        <v>1</v>
      </c>
      <c r="G4">
        <v>1</v>
      </c>
      <c r="H4" t="s">
        <v>125</v>
      </c>
      <c r="I4">
        <v>3</v>
      </c>
    </row>
    <row r="5" spans="1:9">
      <c r="A5" t="s">
        <v>361</v>
      </c>
      <c r="B5" t="s">
        <v>64</v>
      </c>
      <c r="C5" t="s">
        <v>67</v>
      </c>
      <c r="D5">
        <v>0</v>
      </c>
      <c r="E5">
        <v>2</v>
      </c>
      <c r="F5">
        <v>2</v>
      </c>
      <c r="G5">
        <v>0</v>
      </c>
      <c r="H5" t="s">
        <v>126</v>
      </c>
      <c r="I5">
        <v>4</v>
      </c>
    </row>
    <row r="6" spans="1:9">
      <c r="A6" t="s">
        <v>368</v>
      </c>
      <c r="B6" t="s">
        <v>67</v>
      </c>
      <c r="C6" t="s">
        <v>53</v>
      </c>
      <c r="D6">
        <v>0</v>
      </c>
      <c r="E6">
        <v>0</v>
      </c>
      <c r="F6">
        <v>0</v>
      </c>
      <c r="G6">
        <v>0</v>
      </c>
      <c r="H6" t="s">
        <v>125</v>
      </c>
      <c r="I6">
        <v>5</v>
      </c>
    </row>
    <row r="7" spans="1:9">
      <c r="A7" t="s">
        <v>380</v>
      </c>
      <c r="B7" t="s">
        <v>67</v>
      </c>
      <c r="C7" t="s">
        <v>63</v>
      </c>
      <c r="D7">
        <v>2</v>
      </c>
      <c r="E7">
        <v>1</v>
      </c>
      <c r="F7">
        <v>2</v>
      </c>
      <c r="G7">
        <v>1</v>
      </c>
      <c r="H7" t="s">
        <v>125</v>
      </c>
      <c r="I7">
        <v>6</v>
      </c>
    </row>
    <row r="8" spans="1:9">
      <c r="A8" t="s">
        <v>308</v>
      </c>
      <c r="B8" t="s">
        <v>62</v>
      </c>
      <c r="C8" t="s">
        <v>67</v>
      </c>
      <c r="D8">
        <v>1</v>
      </c>
      <c r="E8">
        <v>1</v>
      </c>
      <c r="F8">
        <v>1</v>
      </c>
      <c r="G8">
        <v>1</v>
      </c>
      <c r="H8" t="s">
        <v>126</v>
      </c>
      <c r="I8">
        <v>7</v>
      </c>
    </row>
    <row r="9" spans="1:9">
      <c r="A9" t="s">
        <v>309</v>
      </c>
      <c r="B9" t="s">
        <v>67</v>
      </c>
      <c r="C9" t="s">
        <v>65</v>
      </c>
      <c r="D9">
        <v>1</v>
      </c>
      <c r="E9">
        <v>1</v>
      </c>
      <c r="F9">
        <v>1</v>
      </c>
      <c r="G9">
        <v>1</v>
      </c>
      <c r="H9" t="s">
        <v>125</v>
      </c>
      <c r="I9">
        <v>8</v>
      </c>
    </row>
    <row r="10" spans="1:9">
      <c r="A10" t="s">
        <v>310</v>
      </c>
      <c r="B10" t="s">
        <v>293</v>
      </c>
      <c r="C10" t="s">
        <v>67</v>
      </c>
      <c r="D10">
        <v>3</v>
      </c>
      <c r="E10">
        <v>2</v>
      </c>
      <c r="F10">
        <v>2</v>
      </c>
      <c r="G10">
        <v>3</v>
      </c>
      <c r="H10" t="s">
        <v>126</v>
      </c>
      <c r="I10">
        <v>9</v>
      </c>
    </row>
    <row r="11" spans="1:9">
      <c r="A11" t="s">
        <v>311</v>
      </c>
      <c r="B11" t="s">
        <v>67</v>
      </c>
      <c r="C11" t="s">
        <v>60</v>
      </c>
      <c r="D11">
        <v>2</v>
      </c>
      <c r="E11">
        <v>3</v>
      </c>
      <c r="F11">
        <v>2</v>
      </c>
      <c r="G11">
        <v>3</v>
      </c>
      <c r="H11" t="s">
        <v>125</v>
      </c>
      <c r="I11">
        <v>10</v>
      </c>
    </row>
    <row r="12" spans="1:9">
      <c r="A12" t="s">
        <v>383</v>
      </c>
      <c r="B12" t="s">
        <v>67</v>
      </c>
      <c r="C12" t="s">
        <v>408</v>
      </c>
      <c r="D12">
        <v>3</v>
      </c>
      <c r="E12">
        <v>0</v>
      </c>
      <c r="F12">
        <v>3</v>
      </c>
      <c r="G12">
        <v>0</v>
      </c>
      <c r="H12" t="s">
        <v>125</v>
      </c>
      <c r="I12">
        <v>11</v>
      </c>
    </row>
    <row r="13" spans="1:9">
      <c r="A13" t="s">
        <v>312</v>
      </c>
      <c r="B13" t="s">
        <v>287</v>
      </c>
      <c r="C13" t="s">
        <v>67</v>
      </c>
      <c r="D13">
        <v>4</v>
      </c>
      <c r="E13">
        <v>0</v>
      </c>
      <c r="F13">
        <v>0</v>
      </c>
      <c r="G13">
        <v>4</v>
      </c>
      <c r="H13" t="s">
        <v>126</v>
      </c>
      <c r="I13">
        <v>12</v>
      </c>
    </row>
    <row r="14" spans="1:9">
      <c r="A14" t="s">
        <v>313</v>
      </c>
      <c r="B14" t="s">
        <v>67</v>
      </c>
      <c r="C14" t="s">
        <v>286</v>
      </c>
      <c r="D14">
        <v>0</v>
      </c>
      <c r="E14">
        <v>3</v>
      </c>
      <c r="F14">
        <v>0</v>
      </c>
      <c r="G14">
        <v>3</v>
      </c>
      <c r="H14" t="s">
        <v>125</v>
      </c>
      <c r="I14">
        <v>13</v>
      </c>
    </row>
    <row r="15" spans="1:9">
      <c r="A15" t="s">
        <v>314</v>
      </c>
      <c r="B15" t="s">
        <v>67</v>
      </c>
      <c r="C15" t="s">
        <v>409</v>
      </c>
      <c r="D15">
        <v>1</v>
      </c>
      <c r="E15">
        <v>1</v>
      </c>
      <c r="F15">
        <v>1</v>
      </c>
      <c r="G15">
        <v>1</v>
      </c>
      <c r="H15" t="s">
        <v>125</v>
      </c>
      <c r="I15">
        <v>14</v>
      </c>
    </row>
    <row r="16" spans="1:9">
      <c r="A16" t="s">
        <v>410</v>
      </c>
      <c r="B16" t="s">
        <v>67</v>
      </c>
      <c r="C16" t="s">
        <v>411</v>
      </c>
      <c r="D16">
        <v>0</v>
      </c>
      <c r="E16">
        <v>3</v>
      </c>
      <c r="F16">
        <v>0</v>
      </c>
      <c r="G16">
        <v>3</v>
      </c>
      <c r="H16" t="s">
        <v>125</v>
      </c>
      <c r="I16">
        <v>15</v>
      </c>
    </row>
    <row r="23" spans="14:14">
      <c r="N23" s="142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DA0D5-1DD1-4C29-9470-2E1F0DA80B44}">
  <dimension ref="A1:I23"/>
  <sheetViews>
    <sheetView workbookViewId="0">
      <selection activeCell="F2" sqref="F2:H12"/>
    </sheetView>
  </sheetViews>
  <sheetFormatPr defaultRowHeight="14.5"/>
  <cols>
    <col min="1" max="1" width="11.08984375" bestFit="1" customWidth="1"/>
    <col min="2" max="2" width="17.36328125" bestFit="1" customWidth="1"/>
    <col min="3" max="3" width="24.4531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90625" bestFit="1" customWidth="1"/>
    <col min="9" max="9" width="7.7265625" bestFit="1" customWidth="1"/>
    <col min="10" max="10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543</v>
      </c>
      <c r="B2" t="s">
        <v>51</v>
      </c>
      <c r="C2" t="s">
        <v>46</v>
      </c>
      <c r="D2">
        <v>1</v>
      </c>
      <c r="E2">
        <v>1</v>
      </c>
      <c r="F2">
        <v>1</v>
      </c>
      <c r="G2">
        <v>1</v>
      </c>
      <c r="H2" t="s">
        <v>126</v>
      </c>
      <c r="I2">
        <v>1</v>
      </c>
    </row>
    <row r="3" spans="1:9">
      <c r="A3" t="s">
        <v>501</v>
      </c>
      <c r="B3" t="s">
        <v>324</v>
      </c>
      <c r="C3" t="s">
        <v>46</v>
      </c>
      <c r="D3">
        <v>1</v>
      </c>
      <c r="E3">
        <v>0</v>
      </c>
      <c r="F3">
        <v>0</v>
      </c>
      <c r="G3">
        <v>1</v>
      </c>
      <c r="H3" t="s">
        <v>126</v>
      </c>
      <c r="I3">
        <v>2</v>
      </c>
    </row>
    <row r="4" spans="1:9">
      <c r="A4" t="s">
        <v>496</v>
      </c>
      <c r="B4" t="s">
        <v>53</v>
      </c>
      <c r="C4" t="s">
        <v>46</v>
      </c>
      <c r="D4">
        <v>1</v>
      </c>
      <c r="E4">
        <v>0</v>
      </c>
      <c r="F4">
        <v>0</v>
      </c>
      <c r="G4">
        <v>1</v>
      </c>
      <c r="H4" t="s">
        <v>126</v>
      </c>
      <c r="I4">
        <v>3</v>
      </c>
    </row>
    <row r="5" spans="1:9">
      <c r="A5" t="s">
        <v>460</v>
      </c>
      <c r="B5" t="s">
        <v>296</v>
      </c>
      <c r="C5" t="s">
        <v>46</v>
      </c>
      <c r="D5">
        <v>0</v>
      </c>
      <c r="E5">
        <v>3</v>
      </c>
      <c r="F5">
        <v>3</v>
      </c>
      <c r="G5">
        <v>0</v>
      </c>
      <c r="H5" t="s">
        <v>126</v>
      </c>
      <c r="I5">
        <v>4</v>
      </c>
    </row>
    <row r="6" spans="1:9">
      <c r="A6" t="s">
        <v>455</v>
      </c>
      <c r="B6" t="s">
        <v>46</v>
      </c>
      <c r="C6" t="s">
        <v>44</v>
      </c>
      <c r="D6">
        <v>2</v>
      </c>
      <c r="E6">
        <v>2</v>
      </c>
      <c r="F6">
        <v>2</v>
      </c>
      <c r="G6">
        <v>2</v>
      </c>
      <c r="H6" t="s">
        <v>125</v>
      </c>
      <c r="I6">
        <v>5</v>
      </c>
    </row>
    <row r="7" spans="1:9">
      <c r="A7" t="s">
        <v>360</v>
      </c>
      <c r="B7" t="s">
        <v>46</v>
      </c>
      <c r="C7" t="s">
        <v>475</v>
      </c>
      <c r="D7">
        <v>1</v>
      </c>
      <c r="E7">
        <v>0</v>
      </c>
      <c r="F7">
        <v>1</v>
      </c>
      <c r="G7">
        <v>0</v>
      </c>
      <c r="H7" t="s">
        <v>125</v>
      </c>
      <c r="I7">
        <v>6</v>
      </c>
    </row>
    <row r="8" spans="1:9">
      <c r="A8" t="s">
        <v>361</v>
      </c>
      <c r="B8" t="s">
        <v>60</v>
      </c>
      <c r="C8" t="s">
        <v>46</v>
      </c>
      <c r="D8">
        <v>2</v>
      </c>
      <c r="E8">
        <v>0</v>
      </c>
      <c r="F8">
        <v>0</v>
      </c>
      <c r="G8">
        <v>2</v>
      </c>
      <c r="H8" t="s">
        <v>126</v>
      </c>
      <c r="I8">
        <v>7</v>
      </c>
    </row>
    <row r="9" spans="1:9">
      <c r="A9" t="s">
        <v>368</v>
      </c>
      <c r="B9" t="s">
        <v>46</v>
      </c>
      <c r="C9" t="s">
        <v>65</v>
      </c>
      <c r="D9">
        <v>3</v>
      </c>
      <c r="E9">
        <v>1</v>
      </c>
      <c r="F9">
        <v>3</v>
      </c>
      <c r="G9">
        <v>1</v>
      </c>
      <c r="H9" t="s">
        <v>125</v>
      </c>
      <c r="I9">
        <v>8</v>
      </c>
    </row>
    <row r="10" spans="1:9">
      <c r="A10" t="s">
        <v>393</v>
      </c>
      <c r="B10" t="s">
        <v>46</v>
      </c>
      <c r="C10" t="s">
        <v>397</v>
      </c>
      <c r="D10">
        <v>2</v>
      </c>
      <c r="E10">
        <v>0</v>
      </c>
      <c r="F10">
        <v>2</v>
      </c>
      <c r="G10">
        <v>0</v>
      </c>
      <c r="H10" t="s">
        <v>125</v>
      </c>
      <c r="I10">
        <v>9</v>
      </c>
    </row>
    <row r="11" spans="1:9">
      <c r="A11" t="s">
        <v>380</v>
      </c>
      <c r="B11" t="s">
        <v>46</v>
      </c>
      <c r="C11" t="s">
        <v>62</v>
      </c>
      <c r="D11">
        <v>4</v>
      </c>
      <c r="E11">
        <v>2</v>
      </c>
      <c r="F11">
        <v>4</v>
      </c>
      <c r="G11">
        <v>2</v>
      </c>
      <c r="H11" t="s">
        <v>125</v>
      </c>
      <c r="I11">
        <v>10</v>
      </c>
    </row>
    <row r="12" spans="1:9">
      <c r="A12" t="s">
        <v>398</v>
      </c>
      <c r="B12" t="s">
        <v>46</v>
      </c>
      <c r="C12" t="s">
        <v>399</v>
      </c>
      <c r="D12">
        <v>5</v>
      </c>
      <c r="E12">
        <v>1</v>
      </c>
      <c r="F12">
        <v>5</v>
      </c>
      <c r="G12">
        <v>1</v>
      </c>
      <c r="H12" t="s">
        <v>125</v>
      </c>
      <c r="I12">
        <v>11</v>
      </c>
    </row>
    <row r="13" spans="1:9">
      <c r="A13" t="s">
        <v>381</v>
      </c>
      <c r="B13" t="s">
        <v>292</v>
      </c>
      <c r="C13" t="s">
        <v>46</v>
      </c>
      <c r="D13">
        <v>2</v>
      </c>
      <c r="E13">
        <v>2</v>
      </c>
      <c r="F13">
        <v>2</v>
      </c>
      <c r="G13">
        <v>2</v>
      </c>
      <c r="H13" t="s">
        <v>126</v>
      </c>
      <c r="I13">
        <v>12</v>
      </c>
    </row>
    <row r="14" spans="1:9">
      <c r="A14" t="s">
        <v>400</v>
      </c>
      <c r="B14" t="s">
        <v>401</v>
      </c>
      <c r="C14" t="s">
        <v>46</v>
      </c>
      <c r="D14">
        <v>0</v>
      </c>
      <c r="E14">
        <v>0</v>
      </c>
      <c r="F14">
        <v>0</v>
      </c>
      <c r="G14">
        <v>0</v>
      </c>
      <c r="H14" t="s">
        <v>126</v>
      </c>
      <c r="I14">
        <v>13</v>
      </c>
    </row>
    <row r="15" spans="1:9">
      <c r="A15" t="s">
        <v>394</v>
      </c>
      <c r="B15" t="s">
        <v>287</v>
      </c>
      <c r="C15" t="s">
        <v>46</v>
      </c>
      <c r="D15">
        <v>0</v>
      </c>
      <c r="E15">
        <v>1</v>
      </c>
      <c r="F15">
        <v>1</v>
      </c>
      <c r="G15">
        <v>0</v>
      </c>
      <c r="H15" t="s">
        <v>126</v>
      </c>
      <c r="I15">
        <v>14</v>
      </c>
    </row>
    <row r="16" spans="1:9">
      <c r="A16" t="s">
        <v>311</v>
      </c>
      <c r="B16" t="s">
        <v>46</v>
      </c>
      <c r="C16" t="s">
        <v>286</v>
      </c>
      <c r="D16">
        <v>1</v>
      </c>
      <c r="E16">
        <v>1</v>
      </c>
      <c r="F16">
        <v>1</v>
      </c>
      <c r="G16">
        <v>1</v>
      </c>
      <c r="H16" t="s">
        <v>125</v>
      </c>
      <c r="I16">
        <v>15</v>
      </c>
    </row>
    <row r="17" spans="1:9">
      <c r="A17" t="s">
        <v>312</v>
      </c>
      <c r="B17" t="s">
        <v>293</v>
      </c>
      <c r="C17" t="s">
        <v>46</v>
      </c>
      <c r="D17">
        <v>0</v>
      </c>
      <c r="E17">
        <v>2</v>
      </c>
      <c r="F17">
        <v>2</v>
      </c>
      <c r="G17">
        <v>0</v>
      </c>
      <c r="H17" t="s">
        <v>126</v>
      </c>
      <c r="I17">
        <v>16</v>
      </c>
    </row>
    <row r="18" spans="1:9">
      <c r="A18" t="s">
        <v>313</v>
      </c>
      <c r="B18" t="s">
        <v>46</v>
      </c>
      <c r="C18" t="s">
        <v>66</v>
      </c>
      <c r="D18">
        <v>2</v>
      </c>
      <c r="E18">
        <v>0</v>
      </c>
      <c r="F18">
        <v>2</v>
      </c>
      <c r="G18">
        <v>0</v>
      </c>
      <c r="H18" t="s">
        <v>125</v>
      </c>
      <c r="I18">
        <v>17</v>
      </c>
    </row>
    <row r="19" spans="1:9">
      <c r="A19" t="s">
        <v>402</v>
      </c>
      <c r="B19" t="s">
        <v>46</v>
      </c>
      <c r="C19" t="s">
        <v>403</v>
      </c>
      <c r="D19">
        <v>2</v>
      </c>
      <c r="E19">
        <v>0</v>
      </c>
      <c r="F19">
        <v>2</v>
      </c>
      <c r="G19">
        <v>0</v>
      </c>
      <c r="H19" t="s">
        <v>125</v>
      </c>
      <c r="I19">
        <v>18</v>
      </c>
    </row>
    <row r="20" spans="1:9">
      <c r="A20" t="s">
        <v>377</v>
      </c>
      <c r="B20" t="s">
        <v>46</v>
      </c>
      <c r="C20" t="s">
        <v>404</v>
      </c>
      <c r="D20">
        <v>4</v>
      </c>
      <c r="E20">
        <v>1</v>
      </c>
      <c r="F20">
        <v>4</v>
      </c>
      <c r="G20">
        <v>1</v>
      </c>
      <c r="H20" t="s">
        <v>125</v>
      </c>
      <c r="I20">
        <v>19</v>
      </c>
    </row>
    <row r="21" spans="1:9">
      <c r="A21" t="s">
        <v>405</v>
      </c>
      <c r="B21" t="s">
        <v>44</v>
      </c>
      <c r="C21" t="s">
        <v>46</v>
      </c>
      <c r="D21">
        <v>2</v>
      </c>
      <c r="E21">
        <v>1</v>
      </c>
      <c r="F21">
        <v>1</v>
      </c>
      <c r="G21">
        <v>2</v>
      </c>
      <c r="H21" t="s">
        <v>126</v>
      </c>
      <c r="I21">
        <v>20</v>
      </c>
    </row>
    <row r="22" spans="1:9">
      <c r="A22" t="s">
        <v>406</v>
      </c>
      <c r="B22" t="s">
        <v>46</v>
      </c>
      <c r="C22" t="s">
        <v>58</v>
      </c>
      <c r="D22">
        <v>2</v>
      </c>
      <c r="E22">
        <v>1</v>
      </c>
      <c r="F22">
        <v>2</v>
      </c>
      <c r="G22">
        <v>1</v>
      </c>
      <c r="H22" t="s">
        <v>125</v>
      </c>
      <c r="I22">
        <v>21</v>
      </c>
    </row>
    <row r="23" spans="1:9">
      <c r="A23" t="s">
        <v>372</v>
      </c>
      <c r="B23" t="s">
        <v>46</v>
      </c>
      <c r="C23" t="s">
        <v>60</v>
      </c>
      <c r="D23">
        <v>1</v>
      </c>
      <c r="E23">
        <v>1</v>
      </c>
      <c r="F23">
        <v>1</v>
      </c>
      <c r="G23">
        <v>1</v>
      </c>
      <c r="H23" t="s">
        <v>125</v>
      </c>
      <c r="I23">
        <v>22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1122E-31A0-4380-A1A8-A7A400E03745}">
  <dimension ref="A1:I16"/>
  <sheetViews>
    <sheetView workbookViewId="0">
      <selection activeCell="F2" sqref="F2:H12"/>
    </sheetView>
  </sheetViews>
  <sheetFormatPr defaultRowHeight="14.5"/>
  <cols>
    <col min="1" max="1" width="11.7265625" bestFit="1" customWidth="1"/>
    <col min="2" max="2" width="24.453125" bestFit="1" customWidth="1"/>
    <col min="3" max="3" width="20.4531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453125" bestFit="1" customWidth="1"/>
    <col min="9" max="9" width="7.7265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379</v>
      </c>
      <c r="I1" t="s">
        <v>320</v>
      </c>
    </row>
    <row r="2" spans="1:9">
      <c r="A2" t="s">
        <v>543</v>
      </c>
      <c r="B2" t="s">
        <v>55</v>
      </c>
      <c r="C2" t="s">
        <v>53</v>
      </c>
      <c r="D2">
        <v>1</v>
      </c>
      <c r="E2">
        <v>3</v>
      </c>
      <c r="F2">
        <v>3</v>
      </c>
      <c r="G2">
        <v>1</v>
      </c>
      <c r="H2" t="s">
        <v>126</v>
      </c>
      <c r="I2">
        <v>1</v>
      </c>
    </row>
    <row r="3" spans="1:9">
      <c r="A3" t="s">
        <v>496</v>
      </c>
      <c r="B3" t="s">
        <v>53</v>
      </c>
      <c r="C3" t="s">
        <v>46</v>
      </c>
      <c r="D3">
        <v>1</v>
      </c>
      <c r="E3">
        <v>0</v>
      </c>
      <c r="F3">
        <v>1</v>
      </c>
      <c r="G3">
        <v>0</v>
      </c>
      <c r="H3" t="s">
        <v>125</v>
      </c>
      <c r="I3">
        <v>2</v>
      </c>
    </row>
    <row r="4" spans="1:9">
      <c r="A4" t="s">
        <v>460</v>
      </c>
      <c r="B4" t="s">
        <v>53</v>
      </c>
      <c r="C4" t="s">
        <v>51</v>
      </c>
      <c r="D4">
        <v>2</v>
      </c>
      <c r="E4">
        <v>0</v>
      </c>
      <c r="F4">
        <v>2</v>
      </c>
      <c r="G4">
        <v>0</v>
      </c>
      <c r="H4" t="s">
        <v>125</v>
      </c>
      <c r="I4">
        <v>3</v>
      </c>
    </row>
    <row r="5" spans="1:9">
      <c r="A5" t="s">
        <v>455</v>
      </c>
      <c r="B5" t="s">
        <v>51</v>
      </c>
      <c r="C5" t="s">
        <v>53</v>
      </c>
      <c r="D5">
        <v>2</v>
      </c>
      <c r="E5">
        <v>1</v>
      </c>
      <c r="F5">
        <v>1</v>
      </c>
      <c r="G5">
        <v>2</v>
      </c>
      <c r="H5" t="s">
        <v>126</v>
      </c>
      <c r="I5">
        <v>4</v>
      </c>
    </row>
    <row r="6" spans="1:9">
      <c r="A6" t="s">
        <v>361</v>
      </c>
      <c r="B6" t="s">
        <v>53</v>
      </c>
      <c r="C6" t="s">
        <v>286</v>
      </c>
      <c r="D6">
        <v>0</v>
      </c>
      <c r="E6">
        <v>1</v>
      </c>
      <c r="F6">
        <v>0</v>
      </c>
      <c r="G6">
        <v>1</v>
      </c>
      <c r="H6" t="s">
        <v>125</v>
      </c>
      <c r="I6">
        <v>5</v>
      </c>
    </row>
    <row r="7" spans="1:9">
      <c r="A7" t="s">
        <v>368</v>
      </c>
      <c r="B7" t="s">
        <v>67</v>
      </c>
      <c r="C7" t="s">
        <v>53</v>
      </c>
      <c r="D7">
        <v>0</v>
      </c>
      <c r="E7">
        <v>0</v>
      </c>
      <c r="F7">
        <v>0</v>
      </c>
      <c r="G7">
        <v>0</v>
      </c>
      <c r="H7" t="s">
        <v>126</v>
      </c>
      <c r="I7">
        <v>6</v>
      </c>
    </row>
    <row r="8" spans="1:9">
      <c r="A8" t="s">
        <v>393</v>
      </c>
      <c r="B8" t="s">
        <v>53</v>
      </c>
      <c r="C8" t="s">
        <v>392</v>
      </c>
      <c r="D8">
        <v>1</v>
      </c>
      <c r="E8">
        <v>0</v>
      </c>
      <c r="F8">
        <v>1</v>
      </c>
      <c r="G8">
        <v>0</v>
      </c>
      <c r="H8" t="s">
        <v>125</v>
      </c>
      <c r="I8">
        <v>7</v>
      </c>
    </row>
    <row r="9" spans="1:9">
      <c r="A9" t="s">
        <v>380</v>
      </c>
      <c r="B9" t="s">
        <v>53</v>
      </c>
      <c r="C9" t="s">
        <v>292</v>
      </c>
      <c r="D9">
        <v>1</v>
      </c>
      <c r="E9">
        <v>1</v>
      </c>
      <c r="F9">
        <v>1</v>
      </c>
      <c r="G9">
        <v>1</v>
      </c>
      <c r="H9" t="s">
        <v>125</v>
      </c>
      <c r="I9">
        <v>8</v>
      </c>
    </row>
    <row r="10" spans="1:9">
      <c r="A10" t="s">
        <v>308</v>
      </c>
      <c r="B10" t="s">
        <v>56</v>
      </c>
      <c r="C10" t="s">
        <v>53</v>
      </c>
      <c r="D10">
        <v>3</v>
      </c>
      <c r="E10">
        <v>1</v>
      </c>
      <c r="F10">
        <v>1</v>
      </c>
      <c r="G10">
        <v>3</v>
      </c>
      <c r="H10" t="s">
        <v>126</v>
      </c>
      <c r="I10">
        <v>9</v>
      </c>
    </row>
    <row r="11" spans="1:9">
      <c r="A11" t="s">
        <v>394</v>
      </c>
      <c r="B11" t="s">
        <v>66</v>
      </c>
      <c r="C11" t="s">
        <v>53</v>
      </c>
      <c r="D11">
        <v>1</v>
      </c>
      <c r="E11">
        <v>2</v>
      </c>
      <c r="F11">
        <v>2</v>
      </c>
      <c r="G11">
        <v>1</v>
      </c>
      <c r="H11" t="s">
        <v>126</v>
      </c>
      <c r="I11">
        <v>10</v>
      </c>
    </row>
    <row r="12" spans="1:9">
      <c r="A12" t="s">
        <v>395</v>
      </c>
      <c r="B12" t="s">
        <v>53</v>
      </c>
      <c r="C12" t="s">
        <v>287</v>
      </c>
      <c r="D12">
        <v>2</v>
      </c>
      <c r="E12">
        <v>1</v>
      </c>
      <c r="F12">
        <v>2</v>
      </c>
      <c r="G12">
        <v>1</v>
      </c>
      <c r="H12" t="s">
        <v>125</v>
      </c>
      <c r="I12">
        <v>11</v>
      </c>
    </row>
    <row r="13" spans="1:9">
      <c r="A13" t="s">
        <v>370</v>
      </c>
      <c r="B13" t="s">
        <v>55</v>
      </c>
      <c r="C13" t="s">
        <v>53</v>
      </c>
      <c r="D13">
        <v>1</v>
      </c>
      <c r="E13">
        <v>1</v>
      </c>
      <c r="F13">
        <v>1</v>
      </c>
      <c r="G13">
        <v>1</v>
      </c>
      <c r="H13" t="s">
        <v>126</v>
      </c>
      <c r="I13">
        <v>12</v>
      </c>
    </row>
    <row r="14" spans="1:9">
      <c r="A14" t="s">
        <v>371</v>
      </c>
      <c r="B14" t="s">
        <v>60</v>
      </c>
      <c r="C14" t="s">
        <v>53</v>
      </c>
      <c r="D14">
        <v>1</v>
      </c>
      <c r="E14">
        <v>1</v>
      </c>
      <c r="F14">
        <v>1</v>
      </c>
      <c r="G14">
        <v>1</v>
      </c>
      <c r="H14" t="s">
        <v>126</v>
      </c>
      <c r="I14">
        <v>13</v>
      </c>
    </row>
    <row r="15" spans="1:9">
      <c r="A15" t="s">
        <v>313</v>
      </c>
      <c r="B15" t="s">
        <v>53</v>
      </c>
      <c r="C15" t="s">
        <v>65</v>
      </c>
      <c r="D15">
        <v>1</v>
      </c>
      <c r="E15">
        <v>0</v>
      </c>
      <c r="F15">
        <v>1</v>
      </c>
      <c r="G15">
        <v>0</v>
      </c>
      <c r="H15" t="s">
        <v>125</v>
      </c>
      <c r="I15">
        <v>14</v>
      </c>
    </row>
    <row r="16" spans="1:9">
      <c r="A16" t="s">
        <v>396</v>
      </c>
      <c r="B16" t="s">
        <v>53</v>
      </c>
      <c r="C16" t="s">
        <v>287</v>
      </c>
      <c r="D16">
        <v>1</v>
      </c>
      <c r="E16">
        <v>1</v>
      </c>
      <c r="F16">
        <v>1</v>
      </c>
      <c r="G16">
        <v>1</v>
      </c>
      <c r="H16" t="s">
        <v>125</v>
      </c>
      <c r="I16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FCA2-B424-4207-B8B6-DB407C4AB17C}">
  <dimension ref="A3:AI179"/>
  <sheetViews>
    <sheetView tabSelected="1" topLeftCell="W138" zoomScale="93" zoomScaleNormal="55" workbookViewId="0">
      <selection activeCell="W142" sqref="W142:AD166"/>
    </sheetView>
  </sheetViews>
  <sheetFormatPr defaultRowHeight="14.5"/>
  <cols>
    <col min="1" max="2" width="24.54296875" bestFit="1" customWidth="1"/>
    <col min="3" max="3" width="13.36328125" bestFit="1" customWidth="1"/>
    <col min="4" max="4" width="13.08984375" bestFit="1" customWidth="1"/>
    <col min="5" max="5" width="11.1796875" bestFit="1" customWidth="1"/>
    <col min="6" max="6" width="12.6328125" bestFit="1" customWidth="1"/>
    <col min="7" max="7" width="10.08984375" bestFit="1" customWidth="1"/>
    <col min="8" max="8" width="9.7265625" bestFit="1" customWidth="1"/>
    <col min="9" max="9" width="8.453125" bestFit="1" customWidth="1"/>
    <col min="10" max="10" width="20.453125" bestFit="1" customWidth="1"/>
    <col min="11" max="11" width="11.81640625" bestFit="1" customWidth="1"/>
    <col min="12" max="12" width="19.26953125" bestFit="1" customWidth="1"/>
    <col min="13" max="13" width="24.54296875" bestFit="1" customWidth="1"/>
    <col min="14" max="14" width="13.36328125" bestFit="1" customWidth="1"/>
    <col min="15" max="15" width="13.08984375" bestFit="1" customWidth="1"/>
    <col min="16" max="16" width="11.1796875" bestFit="1" customWidth="1"/>
    <col min="17" max="17" width="12.6328125" bestFit="1" customWidth="1"/>
    <col min="18" max="18" width="10.08984375" bestFit="1" customWidth="1"/>
    <col min="19" max="19" width="8.08984375" bestFit="1" customWidth="1"/>
    <col min="20" max="21" width="8.453125" bestFit="1" customWidth="1"/>
    <col min="22" max="22" width="11.81640625" bestFit="1" customWidth="1"/>
    <col min="23" max="23" width="24.54296875" bestFit="1" customWidth="1"/>
    <col min="24" max="24" width="20.7265625" bestFit="1" customWidth="1"/>
    <col min="25" max="25" width="13.36328125" bestFit="1" customWidth="1"/>
    <col min="26" max="26" width="13.08984375" bestFit="1" customWidth="1"/>
    <col min="27" max="27" width="11.1796875" bestFit="1" customWidth="1"/>
    <col min="28" max="28" width="12.6328125" bestFit="1" customWidth="1"/>
    <col min="29" max="29" width="10.08984375" bestFit="1" customWidth="1"/>
    <col min="30" max="30" width="8.08984375" bestFit="1" customWidth="1"/>
    <col min="31" max="31" width="15.7265625" bestFit="1" customWidth="1"/>
    <col min="32" max="32" width="13.1796875" bestFit="1" customWidth="1"/>
    <col min="33" max="33" width="15.7265625" bestFit="1" customWidth="1"/>
    <col min="34" max="34" width="12.1796875" bestFit="1" customWidth="1"/>
    <col min="35" max="35" width="8.453125" bestFit="1" customWidth="1"/>
  </cols>
  <sheetData>
    <row r="3" spans="28:35">
      <c r="AB3" t="s">
        <v>238</v>
      </c>
      <c r="AC3" t="s">
        <v>239</v>
      </c>
      <c r="AD3" t="s">
        <v>302</v>
      </c>
      <c r="AE3" t="s">
        <v>303</v>
      </c>
      <c r="AF3" t="s">
        <v>285</v>
      </c>
      <c r="AG3" t="s">
        <v>291</v>
      </c>
      <c r="AH3" t="s">
        <v>240</v>
      </c>
      <c r="AI3" t="s">
        <v>320</v>
      </c>
    </row>
    <row r="4" spans="28:35">
      <c r="AB4" t="s">
        <v>66</v>
      </c>
      <c r="AC4" t="s">
        <v>292</v>
      </c>
      <c r="AD4">
        <v>1</v>
      </c>
      <c r="AE4">
        <v>2</v>
      </c>
      <c r="AF4">
        <v>1</v>
      </c>
      <c r="AG4">
        <v>2</v>
      </c>
      <c r="AH4" t="s">
        <v>125</v>
      </c>
      <c r="AI4">
        <v>1</v>
      </c>
    </row>
    <row r="5" spans="28:35">
      <c r="AB5" t="s">
        <v>59</v>
      </c>
      <c r="AC5" t="s">
        <v>66</v>
      </c>
      <c r="AD5">
        <v>5</v>
      </c>
      <c r="AE5">
        <v>3</v>
      </c>
      <c r="AF5">
        <v>3</v>
      </c>
      <c r="AG5">
        <v>5</v>
      </c>
      <c r="AH5" t="s">
        <v>126</v>
      </c>
      <c r="AI5">
        <v>2</v>
      </c>
    </row>
    <row r="6" spans="28:35">
      <c r="AB6" t="s">
        <v>66</v>
      </c>
      <c r="AC6" t="s">
        <v>44</v>
      </c>
      <c r="AD6">
        <v>1</v>
      </c>
      <c r="AE6">
        <v>2</v>
      </c>
      <c r="AF6">
        <v>1</v>
      </c>
      <c r="AG6">
        <v>2</v>
      </c>
      <c r="AH6" t="s">
        <v>125</v>
      </c>
      <c r="AI6">
        <v>3</v>
      </c>
    </row>
    <row r="7" spans="28:35">
      <c r="AB7" t="s">
        <v>293</v>
      </c>
      <c r="AC7" t="s">
        <v>66</v>
      </c>
      <c r="AD7">
        <v>3</v>
      </c>
      <c r="AE7">
        <v>1</v>
      </c>
      <c r="AF7">
        <v>1</v>
      </c>
      <c r="AG7">
        <v>3</v>
      </c>
      <c r="AH7" t="s">
        <v>126</v>
      </c>
      <c r="AI7">
        <v>4</v>
      </c>
    </row>
    <row r="8" spans="28:35">
      <c r="AB8" t="s">
        <v>286</v>
      </c>
      <c r="AC8" t="s">
        <v>66</v>
      </c>
      <c r="AD8">
        <v>3</v>
      </c>
      <c r="AE8">
        <v>2</v>
      </c>
      <c r="AF8">
        <v>2</v>
      </c>
      <c r="AG8">
        <v>3</v>
      </c>
      <c r="AH8" t="s">
        <v>126</v>
      </c>
      <c r="AI8">
        <v>5</v>
      </c>
    </row>
    <row r="9" spans="28:35">
      <c r="AB9" t="s">
        <v>66</v>
      </c>
      <c r="AC9" t="s">
        <v>53</v>
      </c>
      <c r="AD9">
        <v>1</v>
      </c>
      <c r="AE9">
        <v>2</v>
      </c>
      <c r="AF9">
        <v>1</v>
      </c>
      <c r="AG9">
        <v>2</v>
      </c>
      <c r="AH9" t="s">
        <v>125</v>
      </c>
      <c r="AI9">
        <v>6</v>
      </c>
    </row>
    <row r="10" spans="28:35">
      <c r="AB10" t="s">
        <v>55</v>
      </c>
      <c r="AC10" t="s">
        <v>66</v>
      </c>
      <c r="AD10">
        <v>1</v>
      </c>
      <c r="AE10">
        <v>1</v>
      </c>
      <c r="AF10">
        <v>1</v>
      </c>
      <c r="AG10">
        <v>1</v>
      </c>
      <c r="AH10" t="s">
        <v>126</v>
      </c>
      <c r="AI10">
        <v>7</v>
      </c>
    </row>
    <row r="11" spans="28:35">
      <c r="AB11" t="s">
        <v>66</v>
      </c>
      <c r="AC11" t="s">
        <v>321</v>
      </c>
      <c r="AD11">
        <v>2</v>
      </c>
      <c r="AE11">
        <v>0</v>
      </c>
      <c r="AF11">
        <v>2</v>
      </c>
      <c r="AG11">
        <v>0</v>
      </c>
      <c r="AH11" t="s">
        <v>125</v>
      </c>
      <c r="AI11">
        <v>8</v>
      </c>
    </row>
    <row r="12" spans="28:35">
      <c r="AB12" t="s">
        <v>66</v>
      </c>
      <c r="AC12" t="s">
        <v>51</v>
      </c>
      <c r="AD12">
        <v>2</v>
      </c>
      <c r="AE12">
        <v>6</v>
      </c>
      <c r="AF12">
        <v>2</v>
      </c>
      <c r="AG12">
        <v>6</v>
      </c>
      <c r="AH12" t="s">
        <v>125</v>
      </c>
      <c r="AI12">
        <v>9</v>
      </c>
    </row>
    <row r="13" spans="28:35">
      <c r="AB13" t="s">
        <v>46</v>
      </c>
      <c r="AC13" t="s">
        <v>66</v>
      </c>
      <c r="AD13">
        <v>2</v>
      </c>
      <c r="AE13">
        <v>0</v>
      </c>
      <c r="AF13">
        <v>0</v>
      </c>
      <c r="AG13">
        <v>2</v>
      </c>
      <c r="AH13" t="s">
        <v>126</v>
      </c>
      <c r="AI13">
        <v>10</v>
      </c>
    </row>
    <row r="14" spans="28:35">
      <c r="AB14" t="s">
        <v>66</v>
      </c>
      <c r="AC14" t="s">
        <v>252</v>
      </c>
      <c r="AD14">
        <v>0</v>
      </c>
      <c r="AE14">
        <v>1</v>
      </c>
      <c r="AF14">
        <v>0</v>
      </c>
      <c r="AG14">
        <v>1</v>
      </c>
      <c r="AH14" t="s">
        <v>125</v>
      </c>
      <c r="AI14">
        <v>11</v>
      </c>
    </row>
    <row r="15" spans="28:35">
      <c r="AB15" t="s">
        <v>63</v>
      </c>
      <c r="AC15" t="s">
        <v>66</v>
      </c>
      <c r="AD15">
        <v>3</v>
      </c>
      <c r="AE15">
        <v>1</v>
      </c>
      <c r="AF15">
        <v>1</v>
      </c>
      <c r="AG15">
        <v>3</v>
      </c>
      <c r="AH15" t="s">
        <v>126</v>
      </c>
      <c r="AI15">
        <v>12</v>
      </c>
    </row>
    <row r="47" spans="1:19">
      <c r="A47" t="s">
        <v>238</v>
      </c>
      <c r="B47" t="s">
        <v>239</v>
      </c>
      <c r="C47" t="s">
        <v>302</v>
      </c>
      <c r="D47" t="s">
        <v>303</v>
      </c>
      <c r="E47" t="s">
        <v>285</v>
      </c>
      <c r="F47" t="s">
        <v>291</v>
      </c>
      <c r="G47" t="s">
        <v>240</v>
      </c>
      <c r="H47" t="s">
        <v>320</v>
      </c>
      <c r="K47" t="s">
        <v>301</v>
      </c>
      <c r="L47" t="s">
        <v>238</v>
      </c>
      <c r="M47" t="s">
        <v>239</v>
      </c>
      <c r="N47" t="s">
        <v>302</v>
      </c>
      <c r="O47" t="s">
        <v>303</v>
      </c>
      <c r="P47" t="s">
        <v>285</v>
      </c>
      <c r="Q47" t="s">
        <v>291</v>
      </c>
      <c r="R47" t="s">
        <v>240</v>
      </c>
      <c r="S47" t="s">
        <v>320</v>
      </c>
    </row>
    <row r="48" spans="1:19">
      <c r="A48" t="s">
        <v>500</v>
      </c>
      <c r="B48" t="s">
        <v>292</v>
      </c>
      <c r="C48">
        <v>4</v>
      </c>
      <c r="D48">
        <v>1</v>
      </c>
      <c r="E48">
        <v>1</v>
      </c>
      <c r="F48">
        <v>4</v>
      </c>
      <c r="G48" t="s">
        <v>126</v>
      </c>
      <c r="H48">
        <v>1</v>
      </c>
      <c r="K48" s="170" t="s">
        <v>546</v>
      </c>
      <c r="L48" s="170" t="s">
        <v>293</v>
      </c>
      <c r="M48" s="170" t="s">
        <v>472</v>
      </c>
      <c r="N48">
        <v>0</v>
      </c>
      <c r="O48">
        <v>0</v>
      </c>
      <c r="P48">
        <v>0</v>
      </c>
      <c r="Q48">
        <v>0</v>
      </c>
      <c r="R48" t="s">
        <v>125</v>
      </c>
      <c r="S48">
        <v>1</v>
      </c>
    </row>
    <row r="49" spans="1:19">
      <c r="A49" t="s">
        <v>60</v>
      </c>
      <c r="B49" t="s">
        <v>292</v>
      </c>
      <c r="C49">
        <v>2</v>
      </c>
      <c r="D49">
        <v>1</v>
      </c>
      <c r="E49">
        <v>1</v>
      </c>
      <c r="F49">
        <v>2</v>
      </c>
      <c r="G49" t="s">
        <v>126</v>
      </c>
      <c r="H49">
        <v>2</v>
      </c>
      <c r="K49" s="170" t="s">
        <v>547</v>
      </c>
      <c r="L49" s="170" t="s">
        <v>293</v>
      </c>
      <c r="M49" s="170" t="s">
        <v>63</v>
      </c>
      <c r="N49">
        <v>2</v>
      </c>
      <c r="O49">
        <v>2</v>
      </c>
      <c r="P49">
        <v>2</v>
      </c>
      <c r="Q49">
        <v>2</v>
      </c>
      <c r="R49" t="s">
        <v>125</v>
      </c>
      <c r="S49">
        <v>2</v>
      </c>
    </row>
    <row r="50" spans="1:19">
      <c r="A50" t="s">
        <v>287</v>
      </c>
      <c r="B50" t="s">
        <v>292</v>
      </c>
      <c r="C50">
        <v>2</v>
      </c>
      <c r="D50">
        <v>1</v>
      </c>
      <c r="E50">
        <v>1</v>
      </c>
      <c r="F50">
        <v>2</v>
      </c>
      <c r="G50" t="s">
        <v>126</v>
      </c>
      <c r="H50">
        <v>3</v>
      </c>
      <c r="K50" s="170" t="s">
        <v>544</v>
      </c>
      <c r="L50" s="170" t="s">
        <v>44</v>
      </c>
      <c r="M50" s="170" t="s">
        <v>293</v>
      </c>
      <c r="N50">
        <v>2</v>
      </c>
      <c r="O50">
        <v>0</v>
      </c>
      <c r="P50">
        <v>0</v>
      </c>
      <c r="Q50">
        <v>2</v>
      </c>
      <c r="R50" t="s">
        <v>126</v>
      </c>
      <c r="S50">
        <v>3</v>
      </c>
    </row>
    <row r="51" spans="1:19">
      <c r="A51" t="s">
        <v>292</v>
      </c>
      <c r="B51" t="s">
        <v>65</v>
      </c>
      <c r="C51">
        <v>1</v>
      </c>
      <c r="D51">
        <v>0</v>
      </c>
      <c r="E51">
        <v>1</v>
      </c>
      <c r="F51">
        <v>0</v>
      </c>
      <c r="G51" t="s">
        <v>125</v>
      </c>
      <c r="H51">
        <v>4</v>
      </c>
      <c r="K51" s="170" t="s">
        <v>501</v>
      </c>
      <c r="L51" s="170" t="s">
        <v>502</v>
      </c>
      <c r="M51" s="170" t="s">
        <v>293</v>
      </c>
      <c r="N51">
        <v>1</v>
      </c>
      <c r="O51">
        <v>0</v>
      </c>
      <c r="P51">
        <v>0</v>
      </c>
      <c r="Q51">
        <v>1</v>
      </c>
      <c r="R51" t="s">
        <v>126</v>
      </c>
      <c r="S51">
        <v>4</v>
      </c>
    </row>
    <row r="52" spans="1:19">
      <c r="A52" t="s">
        <v>292</v>
      </c>
      <c r="B52" t="s">
        <v>359</v>
      </c>
      <c r="C52">
        <v>5</v>
      </c>
      <c r="D52">
        <v>0</v>
      </c>
      <c r="E52">
        <v>5</v>
      </c>
      <c r="F52">
        <v>0</v>
      </c>
      <c r="G52" t="s">
        <v>125</v>
      </c>
      <c r="H52">
        <v>5</v>
      </c>
      <c r="K52" s="170" t="s">
        <v>503</v>
      </c>
      <c r="L52" s="170" t="s">
        <v>287</v>
      </c>
      <c r="M52" s="170" t="s">
        <v>293</v>
      </c>
      <c r="N52">
        <v>4</v>
      </c>
      <c r="O52">
        <v>1</v>
      </c>
      <c r="P52">
        <v>1</v>
      </c>
      <c r="Q52">
        <v>4</v>
      </c>
      <c r="R52" t="s">
        <v>126</v>
      </c>
      <c r="S52">
        <v>5</v>
      </c>
    </row>
    <row r="53" spans="1:19">
      <c r="A53" t="s">
        <v>66</v>
      </c>
      <c r="B53" t="s">
        <v>292</v>
      </c>
      <c r="C53">
        <v>1</v>
      </c>
      <c r="D53">
        <v>2</v>
      </c>
      <c r="E53">
        <v>2</v>
      </c>
      <c r="F53">
        <v>1</v>
      </c>
      <c r="G53" t="s">
        <v>126</v>
      </c>
      <c r="H53">
        <v>6</v>
      </c>
      <c r="K53" s="170" t="s">
        <v>460</v>
      </c>
      <c r="L53" s="170" t="s">
        <v>293</v>
      </c>
      <c r="M53" s="170" t="s">
        <v>63</v>
      </c>
      <c r="N53">
        <v>1</v>
      </c>
      <c r="O53">
        <v>2</v>
      </c>
      <c r="P53">
        <v>1</v>
      </c>
      <c r="Q53">
        <v>2</v>
      </c>
      <c r="R53" t="s">
        <v>125</v>
      </c>
      <c r="S53">
        <v>6</v>
      </c>
    </row>
    <row r="54" spans="1:19">
      <c r="A54" t="s">
        <v>292</v>
      </c>
      <c r="B54" t="s">
        <v>56</v>
      </c>
      <c r="C54">
        <v>3</v>
      </c>
      <c r="D54">
        <v>2</v>
      </c>
      <c r="E54">
        <v>3</v>
      </c>
      <c r="F54">
        <v>2</v>
      </c>
      <c r="G54" t="s">
        <v>125</v>
      </c>
      <c r="H54">
        <v>7</v>
      </c>
      <c r="K54" s="170" t="s">
        <v>407</v>
      </c>
      <c r="L54" s="170" t="s">
        <v>293</v>
      </c>
      <c r="M54" s="170" t="s">
        <v>60</v>
      </c>
      <c r="N54">
        <v>1</v>
      </c>
      <c r="O54">
        <v>1</v>
      </c>
      <c r="P54">
        <v>1</v>
      </c>
      <c r="Q54">
        <v>1</v>
      </c>
      <c r="R54" t="s">
        <v>125</v>
      </c>
      <c r="S54">
        <v>7</v>
      </c>
    </row>
    <row r="55" spans="1:19">
      <c r="A55" t="s">
        <v>322</v>
      </c>
      <c r="B55" t="s">
        <v>292</v>
      </c>
      <c r="C55">
        <v>0</v>
      </c>
      <c r="D55">
        <v>4</v>
      </c>
      <c r="E55">
        <v>4</v>
      </c>
      <c r="F55">
        <v>0</v>
      </c>
      <c r="G55" t="s">
        <v>126</v>
      </c>
      <c r="H55">
        <v>8</v>
      </c>
      <c r="K55" s="170" t="s">
        <v>360</v>
      </c>
      <c r="L55" s="170" t="s">
        <v>293</v>
      </c>
      <c r="M55" s="170" t="s">
        <v>329</v>
      </c>
      <c r="N55">
        <v>2</v>
      </c>
      <c r="O55">
        <v>0</v>
      </c>
      <c r="P55">
        <v>2</v>
      </c>
      <c r="Q55">
        <v>0</v>
      </c>
      <c r="R55" t="s">
        <v>125</v>
      </c>
      <c r="S55">
        <v>8</v>
      </c>
    </row>
    <row r="56" spans="1:19">
      <c r="A56" t="s">
        <v>53</v>
      </c>
      <c r="B56" t="s">
        <v>292</v>
      </c>
      <c r="C56">
        <v>1</v>
      </c>
      <c r="D56">
        <v>1</v>
      </c>
      <c r="E56">
        <v>1</v>
      </c>
      <c r="F56">
        <v>1</v>
      </c>
      <c r="G56" t="s">
        <v>126</v>
      </c>
      <c r="H56">
        <v>9</v>
      </c>
      <c r="K56" s="170" t="s">
        <v>361</v>
      </c>
      <c r="L56" s="170" t="s">
        <v>56</v>
      </c>
      <c r="M56" s="170" t="s">
        <v>293</v>
      </c>
      <c r="N56">
        <v>1</v>
      </c>
      <c r="O56">
        <v>3</v>
      </c>
      <c r="P56">
        <v>3</v>
      </c>
      <c r="Q56">
        <v>1</v>
      </c>
      <c r="R56" t="s">
        <v>126</v>
      </c>
      <c r="S56">
        <v>9</v>
      </c>
    </row>
    <row r="57" spans="1:19">
      <c r="A57" t="s">
        <v>292</v>
      </c>
      <c r="B57" t="s">
        <v>323</v>
      </c>
      <c r="C57">
        <v>2</v>
      </c>
      <c r="D57">
        <v>1</v>
      </c>
      <c r="E57">
        <v>2</v>
      </c>
      <c r="F57">
        <v>1</v>
      </c>
      <c r="G57" t="s">
        <v>125</v>
      </c>
      <c r="H57">
        <v>10</v>
      </c>
      <c r="K57" s="170" t="s">
        <v>304</v>
      </c>
      <c r="L57" s="170" t="s">
        <v>293</v>
      </c>
      <c r="M57" s="170" t="s">
        <v>58</v>
      </c>
      <c r="N57">
        <v>0</v>
      </c>
      <c r="O57">
        <v>0</v>
      </c>
      <c r="P57">
        <v>0</v>
      </c>
      <c r="Q57">
        <v>0</v>
      </c>
      <c r="R57" t="s">
        <v>125</v>
      </c>
      <c r="S57">
        <v>10</v>
      </c>
    </row>
    <row r="58" spans="1:19">
      <c r="A58" t="s">
        <v>292</v>
      </c>
      <c r="B58" t="s">
        <v>46</v>
      </c>
      <c r="C58">
        <v>2</v>
      </c>
      <c r="D58">
        <v>2</v>
      </c>
      <c r="E58">
        <v>2</v>
      </c>
      <c r="F58">
        <v>2</v>
      </c>
      <c r="G58" t="s">
        <v>125</v>
      </c>
      <c r="H58">
        <v>11</v>
      </c>
      <c r="K58" s="170" t="s">
        <v>305</v>
      </c>
      <c r="L58" s="170" t="s">
        <v>293</v>
      </c>
      <c r="M58" s="170" t="s">
        <v>289</v>
      </c>
      <c r="N58">
        <v>1</v>
      </c>
      <c r="O58">
        <v>0</v>
      </c>
      <c r="P58">
        <v>1</v>
      </c>
      <c r="Q58">
        <v>0</v>
      </c>
      <c r="R58" t="s">
        <v>125</v>
      </c>
      <c r="S58">
        <v>11</v>
      </c>
    </row>
    <row r="59" spans="1:19">
      <c r="A59" t="s">
        <v>292</v>
      </c>
      <c r="B59" t="s">
        <v>324</v>
      </c>
      <c r="C59">
        <v>0</v>
      </c>
      <c r="D59">
        <v>0</v>
      </c>
      <c r="E59">
        <v>0</v>
      </c>
      <c r="F59">
        <v>0</v>
      </c>
      <c r="G59" t="s">
        <v>125</v>
      </c>
      <c r="H59">
        <v>12</v>
      </c>
      <c r="K59" s="170" t="s">
        <v>306</v>
      </c>
      <c r="L59" s="170" t="s">
        <v>64</v>
      </c>
      <c r="M59" s="170" t="s">
        <v>293</v>
      </c>
      <c r="N59">
        <v>2</v>
      </c>
      <c r="O59">
        <v>2</v>
      </c>
      <c r="P59">
        <v>2</v>
      </c>
      <c r="Q59">
        <v>2</v>
      </c>
      <c r="R59" t="s">
        <v>126</v>
      </c>
      <c r="S59">
        <v>12</v>
      </c>
    </row>
    <row r="60" spans="1:19">
      <c r="A60" t="s">
        <v>292</v>
      </c>
      <c r="B60" t="s">
        <v>59</v>
      </c>
      <c r="C60">
        <v>2</v>
      </c>
      <c r="D60">
        <v>1</v>
      </c>
      <c r="E60">
        <v>2</v>
      </c>
      <c r="F60">
        <v>1</v>
      </c>
      <c r="G60" t="s">
        <v>125</v>
      </c>
      <c r="H60">
        <v>13</v>
      </c>
      <c r="K60" s="170" t="s">
        <v>307</v>
      </c>
      <c r="L60" s="170" t="s">
        <v>298</v>
      </c>
      <c r="M60" s="170" t="s">
        <v>293</v>
      </c>
      <c r="N60">
        <v>1</v>
      </c>
      <c r="O60">
        <v>2</v>
      </c>
      <c r="P60">
        <v>2</v>
      </c>
      <c r="Q60">
        <v>1</v>
      </c>
      <c r="R60" t="s">
        <v>126</v>
      </c>
      <c r="S60">
        <v>13</v>
      </c>
    </row>
    <row r="61" spans="1:19">
      <c r="A61" t="s">
        <v>61</v>
      </c>
      <c r="B61" t="s">
        <v>292</v>
      </c>
      <c r="C61">
        <v>1</v>
      </c>
      <c r="D61">
        <v>3</v>
      </c>
      <c r="E61">
        <v>3</v>
      </c>
      <c r="F61">
        <v>1</v>
      </c>
      <c r="G61" t="s">
        <v>126</v>
      </c>
      <c r="H61">
        <v>14</v>
      </c>
      <c r="K61" s="170" t="s">
        <v>308</v>
      </c>
      <c r="L61" s="170" t="s">
        <v>293</v>
      </c>
      <c r="M61" s="170" t="s">
        <v>66</v>
      </c>
      <c r="N61">
        <v>3</v>
      </c>
      <c r="O61">
        <v>1</v>
      </c>
      <c r="P61">
        <v>3</v>
      </c>
      <c r="Q61">
        <v>1</v>
      </c>
      <c r="R61" t="s">
        <v>125</v>
      </c>
      <c r="S61">
        <v>14</v>
      </c>
    </row>
    <row r="62" spans="1:19">
      <c r="A62" t="s">
        <v>292</v>
      </c>
      <c r="B62" t="s">
        <v>64</v>
      </c>
      <c r="C62">
        <v>4</v>
      </c>
      <c r="D62">
        <v>1</v>
      </c>
      <c r="E62">
        <v>4</v>
      </c>
      <c r="F62">
        <v>1</v>
      </c>
      <c r="G62" t="s">
        <v>125</v>
      </c>
      <c r="H62">
        <v>15</v>
      </c>
      <c r="K62" s="170" t="s">
        <v>309</v>
      </c>
      <c r="L62" s="170" t="s">
        <v>299</v>
      </c>
      <c r="M62" s="170" t="s">
        <v>293</v>
      </c>
      <c r="N62">
        <v>0</v>
      </c>
      <c r="O62">
        <v>3</v>
      </c>
      <c r="P62">
        <v>3</v>
      </c>
      <c r="Q62">
        <v>0</v>
      </c>
      <c r="R62" t="s">
        <v>126</v>
      </c>
      <c r="S62">
        <v>15</v>
      </c>
    </row>
    <row r="63" spans="1:19">
      <c r="A63" t="s">
        <v>51</v>
      </c>
      <c r="B63" t="s">
        <v>292</v>
      </c>
      <c r="C63">
        <v>0</v>
      </c>
      <c r="D63">
        <v>2</v>
      </c>
      <c r="E63">
        <v>2</v>
      </c>
      <c r="F63">
        <v>0</v>
      </c>
      <c r="G63" t="s">
        <v>126</v>
      </c>
      <c r="H63">
        <v>16</v>
      </c>
      <c r="K63" s="170" t="s">
        <v>310</v>
      </c>
      <c r="L63" s="170" t="s">
        <v>293</v>
      </c>
      <c r="M63" s="170" t="s">
        <v>67</v>
      </c>
      <c r="N63">
        <v>3</v>
      </c>
      <c r="O63">
        <v>2</v>
      </c>
      <c r="P63">
        <v>3</v>
      </c>
      <c r="Q63">
        <v>2</v>
      </c>
      <c r="R63" t="s">
        <v>125</v>
      </c>
      <c r="S63">
        <v>16</v>
      </c>
    </row>
    <row r="64" spans="1:19">
      <c r="A64" t="s">
        <v>292</v>
      </c>
      <c r="B64" t="s">
        <v>58</v>
      </c>
      <c r="C64">
        <v>1</v>
      </c>
      <c r="D64">
        <v>1</v>
      </c>
      <c r="E64">
        <v>1</v>
      </c>
      <c r="F64">
        <v>1</v>
      </c>
      <c r="G64" t="s">
        <v>125</v>
      </c>
      <c r="H64">
        <v>17</v>
      </c>
      <c r="K64" s="170" t="s">
        <v>311</v>
      </c>
      <c r="L64" s="170" t="s">
        <v>62</v>
      </c>
      <c r="M64" s="170" t="s">
        <v>293</v>
      </c>
      <c r="N64">
        <v>1</v>
      </c>
      <c r="O64">
        <v>2</v>
      </c>
      <c r="P64">
        <v>2</v>
      </c>
      <c r="Q64">
        <v>1</v>
      </c>
      <c r="R64" t="s">
        <v>126</v>
      </c>
      <c r="S64">
        <v>17</v>
      </c>
    </row>
    <row r="65" spans="1:19">
      <c r="A65" t="s">
        <v>292</v>
      </c>
      <c r="B65" t="s">
        <v>51</v>
      </c>
      <c r="C65">
        <v>4</v>
      </c>
      <c r="D65">
        <v>2</v>
      </c>
      <c r="E65">
        <v>4</v>
      </c>
      <c r="F65">
        <v>2</v>
      </c>
      <c r="G65" t="s">
        <v>125</v>
      </c>
      <c r="H65">
        <v>18</v>
      </c>
      <c r="K65" s="170" t="s">
        <v>312</v>
      </c>
      <c r="L65" s="170" t="s">
        <v>293</v>
      </c>
      <c r="M65" s="170" t="s">
        <v>46</v>
      </c>
      <c r="N65">
        <v>0</v>
      </c>
      <c r="O65">
        <v>2</v>
      </c>
      <c r="P65">
        <v>0</v>
      </c>
      <c r="Q65">
        <v>2</v>
      </c>
      <c r="R65" t="s">
        <v>125</v>
      </c>
      <c r="S65">
        <v>18</v>
      </c>
    </row>
    <row r="66" spans="1:19">
      <c r="A66" t="s">
        <v>276</v>
      </c>
      <c r="B66" t="s">
        <v>292</v>
      </c>
      <c r="C66">
        <v>2</v>
      </c>
      <c r="D66">
        <v>2</v>
      </c>
      <c r="E66">
        <v>2</v>
      </c>
      <c r="F66">
        <v>2</v>
      </c>
      <c r="G66" t="s">
        <v>126</v>
      </c>
      <c r="H66">
        <v>19</v>
      </c>
      <c r="K66" s="170" t="s">
        <v>313</v>
      </c>
      <c r="L66" s="170" t="s">
        <v>61</v>
      </c>
      <c r="M66" s="170" t="s">
        <v>293</v>
      </c>
      <c r="N66">
        <v>1</v>
      </c>
      <c r="O66">
        <v>2</v>
      </c>
      <c r="P66">
        <v>2</v>
      </c>
      <c r="Q66">
        <v>1</v>
      </c>
      <c r="R66" t="s">
        <v>126</v>
      </c>
      <c r="S66">
        <v>19</v>
      </c>
    </row>
    <row r="67" spans="1:19">
      <c r="A67" t="s">
        <v>292</v>
      </c>
      <c r="B67" t="s">
        <v>325</v>
      </c>
      <c r="C67">
        <v>2</v>
      </c>
      <c r="D67">
        <v>3</v>
      </c>
      <c r="E67">
        <v>2</v>
      </c>
      <c r="F67">
        <v>3</v>
      </c>
      <c r="G67" t="s">
        <v>125</v>
      </c>
      <c r="H67">
        <v>20</v>
      </c>
      <c r="K67" s="170" t="s">
        <v>314</v>
      </c>
      <c r="L67" s="170" t="s">
        <v>300</v>
      </c>
      <c r="M67" s="170" t="s">
        <v>293</v>
      </c>
      <c r="N67">
        <v>2</v>
      </c>
      <c r="O67">
        <v>0</v>
      </c>
      <c r="P67">
        <v>0</v>
      </c>
      <c r="Q67">
        <v>2</v>
      </c>
      <c r="R67" t="s">
        <v>126</v>
      </c>
      <c r="S67">
        <v>20</v>
      </c>
    </row>
    <row r="68" spans="1:19">
      <c r="A68" t="s">
        <v>292</v>
      </c>
      <c r="B68" t="s">
        <v>326</v>
      </c>
      <c r="C68">
        <v>3</v>
      </c>
      <c r="D68">
        <v>4</v>
      </c>
      <c r="E68">
        <v>3</v>
      </c>
      <c r="F68">
        <v>4</v>
      </c>
      <c r="G68" t="s">
        <v>125</v>
      </c>
      <c r="H68">
        <v>21</v>
      </c>
    </row>
    <row r="102" spans="1:17">
      <c r="A102" t="s">
        <v>238</v>
      </c>
      <c r="B102" t="s">
        <v>239</v>
      </c>
      <c r="C102" t="s">
        <v>302</v>
      </c>
      <c r="D102" t="s">
        <v>303</v>
      </c>
      <c r="E102" t="s">
        <v>285</v>
      </c>
      <c r="F102" t="s">
        <v>291</v>
      </c>
      <c r="G102" t="s">
        <v>240</v>
      </c>
      <c r="H102" t="s">
        <v>320</v>
      </c>
    </row>
    <row r="103" spans="1:17">
      <c r="A103" t="s">
        <v>55</v>
      </c>
      <c r="B103" t="s">
        <v>53</v>
      </c>
      <c r="C103">
        <v>1</v>
      </c>
      <c r="D103">
        <v>3</v>
      </c>
      <c r="E103">
        <v>1</v>
      </c>
      <c r="F103">
        <v>3</v>
      </c>
      <c r="G103" t="s">
        <v>125</v>
      </c>
      <c r="H103">
        <v>1</v>
      </c>
    </row>
    <row r="104" spans="1:17">
      <c r="A104" t="s">
        <v>55</v>
      </c>
      <c r="B104" t="s">
        <v>61</v>
      </c>
      <c r="C104">
        <v>3</v>
      </c>
      <c r="D104">
        <v>0</v>
      </c>
      <c r="E104">
        <v>3</v>
      </c>
      <c r="F104">
        <v>0</v>
      </c>
      <c r="G104" t="s">
        <v>125</v>
      </c>
      <c r="H104">
        <v>2</v>
      </c>
    </row>
    <row r="105" spans="1:17">
      <c r="A105" t="s">
        <v>62</v>
      </c>
      <c r="B105" t="s">
        <v>55</v>
      </c>
      <c r="C105">
        <v>1</v>
      </c>
      <c r="D105">
        <v>3</v>
      </c>
      <c r="E105">
        <v>3</v>
      </c>
      <c r="F105">
        <v>1</v>
      </c>
      <c r="G105" t="s">
        <v>126</v>
      </c>
      <c r="H105">
        <v>3</v>
      </c>
    </row>
    <row r="106" spans="1:17">
      <c r="A106" t="s">
        <v>55</v>
      </c>
      <c r="B106" t="s">
        <v>63</v>
      </c>
      <c r="C106">
        <v>1</v>
      </c>
      <c r="D106">
        <v>0</v>
      </c>
      <c r="E106">
        <v>1</v>
      </c>
      <c r="F106">
        <v>0</v>
      </c>
      <c r="G106" t="s">
        <v>125</v>
      </c>
      <c r="H106">
        <v>4</v>
      </c>
    </row>
    <row r="107" spans="1:17">
      <c r="A107" t="s">
        <v>51</v>
      </c>
      <c r="B107" t="s">
        <v>55</v>
      </c>
      <c r="C107">
        <v>1</v>
      </c>
      <c r="D107">
        <v>1</v>
      </c>
      <c r="E107">
        <v>1</v>
      </c>
      <c r="F107">
        <v>1</v>
      </c>
      <c r="G107" t="s">
        <v>126</v>
      </c>
      <c r="H107">
        <v>5</v>
      </c>
      <c r="L107" t="s">
        <v>238</v>
      </c>
      <c r="M107" t="s">
        <v>239</v>
      </c>
      <c r="N107" t="s">
        <v>294</v>
      </c>
      <c r="O107" t="s">
        <v>295</v>
      </c>
      <c r="P107" t="s">
        <v>240</v>
      </c>
      <c r="Q107" t="s">
        <v>320</v>
      </c>
    </row>
    <row r="108" spans="1:17">
      <c r="A108" t="s">
        <v>55</v>
      </c>
      <c r="B108" t="s">
        <v>56</v>
      </c>
      <c r="C108">
        <v>0</v>
      </c>
      <c r="D108">
        <v>1</v>
      </c>
      <c r="E108">
        <v>0</v>
      </c>
      <c r="F108">
        <v>1</v>
      </c>
      <c r="G108" t="s">
        <v>125</v>
      </c>
      <c r="H108">
        <v>6</v>
      </c>
      <c r="L108" t="s">
        <v>56</v>
      </c>
      <c r="M108" t="s">
        <v>59</v>
      </c>
      <c r="N108">
        <v>2</v>
      </c>
      <c r="O108">
        <v>1</v>
      </c>
      <c r="P108" t="s">
        <v>125</v>
      </c>
      <c r="Q108">
        <v>1</v>
      </c>
    </row>
    <row r="109" spans="1:17">
      <c r="A109" t="s">
        <v>286</v>
      </c>
      <c r="B109" t="s">
        <v>55</v>
      </c>
      <c r="C109">
        <v>2</v>
      </c>
      <c r="D109">
        <v>2</v>
      </c>
      <c r="E109">
        <v>2</v>
      </c>
      <c r="F109">
        <v>2</v>
      </c>
      <c r="G109" t="s">
        <v>126</v>
      </c>
      <c r="H109">
        <v>7</v>
      </c>
      <c r="L109" t="s">
        <v>67</v>
      </c>
      <c r="M109" t="s">
        <v>56</v>
      </c>
      <c r="N109">
        <v>1</v>
      </c>
      <c r="O109">
        <v>1</v>
      </c>
      <c r="P109" t="s">
        <v>126</v>
      </c>
      <c r="Q109">
        <v>2</v>
      </c>
    </row>
    <row r="110" spans="1:17">
      <c r="A110" t="s">
        <v>44</v>
      </c>
      <c r="B110" t="s">
        <v>55</v>
      </c>
      <c r="C110">
        <v>0</v>
      </c>
      <c r="D110">
        <v>1</v>
      </c>
      <c r="E110">
        <v>1</v>
      </c>
      <c r="F110">
        <v>0</v>
      </c>
      <c r="G110" t="s">
        <v>126</v>
      </c>
      <c r="H110">
        <v>8</v>
      </c>
      <c r="L110" t="s">
        <v>56</v>
      </c>
      <c r="M110" t="s">
        <v>293</v>
      </c>
      <c r="N110">
        <v>1</v>
      </c>
      <c r="O110">
        <v>3</v>
      </c>
      <c r="P110" t="s">
        <v>125</v>
      </c>
      <c r="Q110">
        <v>3</v>
      </c>
    </row>
    <row r="111" spans="1:17">
      <c r="A111" t="s">
        <v>55</v>
      </c>
      <c r="B111" t="s">
        <v>66</v>
      </c>
      <c r="C111">
        <v>1</v>
      </c>
      <c r="D111">
        <v>1</v>
      </c>
      <c r="E111">
        <v>1</v>
      </c>
      <c r="F111">
        <v>1</v>
      </c>
      <c r="G111" t="s">
        <v>125</v>
      </c>
      <c r="H111">
        <v>9</v>
      </c>
      <c r="L111" t="s">
        <v>292</v>
      </c>
      <c r="M111" t="s">
        <v>56</v>
      </c>
      <c r="N111">
        <v>2</v>
      </c>
      <c r="O111">
        <v>3</v>
      </c>
      <c r="P111" t="s">
        <v>126</v>
      </c>
      <c r="Q111">
        <v>4</v>
      </c>
    </row>
    <row r="112" spans="1:17">
      <c r="A112" t="s">
        <v>55</v>
      </c>
      <c r="B112" t="s">
        <v>53</v>
      </c>
      <c r="C112">
        <v>1</v>
      </c>
      <c r="D112">
        <v>1</v>
      </c>
      <c r="E112">
        <v>1</v>
      </c>
      <c r="F112">
        <v>1</v>
      </c>
      <c r="G112" t="s">
        <v>125</v>
      </c>
      <c r="H112">
        <v>10</v>
      </c>
      <c r="L112" t="s">
        <v>55</v>
      </c>
      <c r="M112" t="s">
        <v>56</v>
      </c>
      <c r="N112">
        <v>1</v>
      </c>
      <c r="O112">
        <v>0</v>
      </c>
      <c r="P112" t="s">
        <v>126</v>
      </c>
      <c r="Q112">
        <v>5</v>
      </c>
    </row>
    <row r="113" spans="1:17">
      <c r="A113" t="s">
        <v>65</v>
      </c>
      <c r="B113" t="s">
        <v>55</v>
      </c>
      <c r="C113">
        <v>0</v>
      </c>
      <c r="D113">
        <v>1</v>
      </c>
      <c r="E113">
        <v>1</v>
      </c>
      <c r="F113">
        <v>0</v>
      </c>
      <c r="G113" t="s">
        <v>126</v>
      </c>
      <c r="H113">
        <v>11</v>
      </c>
      <c r="L113" t="s">
        <v>56</v>
      </c>
      <c r="M113" t="s">
        <v>53</v>
      </c>
      <c r="N113">
        <v>3</v>
      </c>
      <c r="O113">
        <v>1</v>
      </c>
      <c r="P113" t="s">
        <v>125</v>
      </c>
      <c r="Q113">
        <v>6</v>
      </c>
    </row>
    <row r="114" spans="1:17">
      <c r="A114" t="s">
        <v>55</v>
      </c>
      <c r="B114" t="s">
        <v>60</v>
      </c>
      <c r="C114">
        <v>1</v>
      </c>
      <c r="D114">
        <v>1</v>
      </c>
      <c r="E114">
        <v>1</v>
      </c>
      <c r="F114">
        <v>1</v>
      </c>
      <c r="G114" t="s">
        <v>125</v>
      </c>
      <c r="H114">
        <v>12</v>
      </c>
      <c r="L114" t="s">
        <v>296</v>
      </c>
      <c r="M114" t="s">
        <v>56</v>
      </c>
      <c r="N114">
        <v>1</v>
      </c>
      <c r="O114">
        <v>1</v>
      </c>
      <c r="P114" t="s">
        <v>126</v>
      </c>
      <c r="Q114">
        <v>7</v>
      </c>
    </row>
    <row r="115" spans="1:17">
      <c r="A115" t="s">
        <v>339</v>
      </c>
      <c r="B115" t="s">
        <v>55</v>
      </c>
      <c r="C115">
        <v>1</v>
      </c>
      <c r="D115">
        <v>1</v>
      </c>
      <c r="E115">
        <v>1</v>
      </c>
      <c r="F115">
        <v>1</v>
      </c>
      <c r="G115" t="s">
        <v>126</v>
      </c>
      <c r="H115">
        <v>13</v>
      </c>
      <c r="L115" t="s">
        <v>56</v>
      </c>
      <c r="M115" t="s">
        <v>61</v>
      </c>
      <c r="N115">
        <v>1</v>
      </c>
      <c r="O115">
        <v>1</v>
      </c>
      <c r="P115" t="s">
        <v>125</v>
      </c>
      <c r="Q115">
        <v>8</v>
      </c>
    </row>
    <row r="116" spans="1:17">
      <c r="L116" t="s">
        <v>64</v>
      </c>
      <c r="M116" t="s">
        <v>56</v>
      </c>
      <c r="N116">
        <v>1</v>
      </c>
      <c r="O116">
        <v>1</v>
      </c>
      <c r="P116" t="s">
        <v>126</v>
      </c>
      <c r="Q116">
        <v>9</v>
      </c>
    </row>
    <row r="117" spans="1:17">
      <c r="L117" t="s">
        <v>297</v>
      </c>
      <c r="M117" t="s">
        <v>56</v>
      </c>
      <c r="N117">
        <v>2</v>
      </c>
      <c r="O117">
        <v>0</v>
      </c>
      <c r="P117" t="s">
        <v>126</v>
      </c>
      <c r="Q117">
        <v>10</v>
      </c>
    </row>
    <row r="118" spans="1:17">
      <c r="L118" t="s">
        <v>56</v>
      </c>
      <c r="M118" t="s">
        <v>62</v>
      </c>
      <c r="N118">
        <v>2</v>
      </c>
      <c r="O118">
        <v>1</v>
      </c>
      <c r="P118" t="s">
        <v>125</v>
      </c>
      <c r="Q118">
        <v>11</v>
      </c>
    </row>
    <row r="119" spans="1:17">
      <c r="L119" t="s">
        <v>58</v>
      </c>
      <c r="M119" t="s">
        <v>56</v>
      </c>
      <c r="N119">
        <v>0</v>
      </c>
      <c r="O119">
        <v>1</v>
      </c>
      <c r="P119" t="s">
        <v>126</v>
      </c>
      <c r="Q119">
        <v>12</v>
      </c>
    </row>
    <row r="142" spans="23:30">
      <c r="W142" t="s">
        <v>238</v>
      </c>
      <c r="X142" t="s">
        <v>239</v>
      </c>
      <c r="Y142" t="s">
        <v>302</v>
      </c>
      <c r="Z142" t="s">
        <v>303</v>
      </c>
      <c r="AA142" t="s">
        <v>285</v>
      </c>
      <c r="AB142" t="s">
        <v>291</v>
      </c>
      <c r="AC142" t="s">
        <v>240</v>
      </c>
      <c r="AD142" t="s">
        <v>320</v>
      </c>
    </row>
    <row r="143" spans="23:30">
      <c r="W143" s="170" t="s">
        <v>44</v>
      </c>
      <c r="X143" s="170" t="s">
        <v>278</v>
      </c>
      <c r="Y143">
        <v>2</v>
      </c>
      <c r="Z143">
        <v>0</v>
      </c>
      <c r="AA143" s="170">
        <v>2</v>
      </c>
      <c r="AB143" s="170">
        <v>0</v>
      </c>
      <c r="AC143" t="s">
        <v>125</v>
      </c>
      <c r="AD143">
        <v>1</v>
      </c>
    </row>
    <row r="144" spans="23:30">
      <c r="W144" s="170" t="s">
        <v>65</v>
      </c>
      <c r="X144" s="170" t="s">
        <v>44</v>
      </c>
      <c r="Y144">
        <v>2</v>
      </c>
      <c r="Z144">
        <v>3</v>
      </c>
      <c r="AA144" s="170">
        <v>3</v>
      </c>
      <c r="AB144" s="170">
        <v>2</v>
      </c>
      <c r="AC144" t="s">
        <v>126</v>
      </c>
      <c r="AD144">
        <v>2</v>
      </c>
    </row>
    <row r="145" spans="1:30">
      <c r="W145" s="170" t="s">
        <v>44</v>
      </c>
      <c r="X145" s="170" t="s">
        <v>293</v>
      </c>
      <c r="Y145">
        <v>2</v>
      </c>
      <c r="Z145">
        <v>0</v>
      </c>
      <c r="AA145" s="170">
        <v>2</v>
      </c>
      <c r="AB145" s="170">
        <v>0</v>
      </c>
      <c r="AC145" t="s">
        <v>125</v>
      </c>
      <c r="AD145">
        <v>3</v>
      </c>
    </row>
    <row r="146" spans="1:30">
      <c r="W146" s="170" t="s">
        <v>44</v>
      </c>
      <c r="X146" s="170" t="s">
        <v>404</v>
      </c>
      <c r="Y146">
        <v>4</v>
      </c>
      <c r="Z146">
        <v>0</v>
      </c>
      <c r="AA146" s="170">
        <v>4</v>
      </c>
      <c r="AB146" s="170">
        <v>0</v>
      </c>
      <c r="AC146" t="s">
        <v>125</v>
      </c>
      <c r="AD146">
        <v>4</v>
      </c>
    </row>
    <row r="147" spans="1:30">
      <c r="W147" s="170" t="s">
        <v>44</v>
      </c>
      <c r="X147" s="170" t="s">
        <v>286</v>
      </c>
      <c r="Y147">
        <v>2</v>
      </c>
      <c r="Z147">
        <v>1</v>
      </c>
      <c r="AA147" s="170">
        <v>2</v>
      </c>
      <c r="AB147" s="170">
        <v>1</v>
      </c>
      <c r="AC147" t="s">
        <v>125</v>
      </c>
      <c r="AD147">
        <v>5</v>
      </c>
    </row>
    <row r="148" spans="1:30">
      <c r="W148" s="170" t="s">
        <v>286</v>
      </c>
      <c r="X148" s="170" t="s">
        <v>44</v>
      </c>
      <c r="Y148">
        <v>2</v>
      </c>
      <c r="Z148">
        <v>3</v>
      </c>
      <c r="AA148" s="170">
        <v>3</v>
      </c>
      <c r="AB148" s="170">
        <v>2</v>
      </c>
      <c r="AC148" t="s">
        <v>126</v>
      </c>
      <c r="AD148">
        <v>6</v>
      </c>
    </row>
    <row r="149" spans="1:30">
      <c r="W149" s="170" t="s">
        <v>46</v>
      </c>
      <c r="X149" s="170" t="s">
        <v>44</v>
      </c>
      <c r="Y149">
        <v>2</v>
      </c>
      <c r="Z149">
        <v>2</v>
      </c>
      <c r="AA149" s="170">
        <v>2</v>
      </c>
      <c r="AB149" s="170">
        <v>2</v>
      </c>
      <c r="AC149" t="s">
        <v>126</v>
      </c>
      <c r="AD149">
        <v>7</v>
      </c>
    </row>
    <row r="150" spans="1:30">
      <c r="W150" s="170" t="s">
        <v>358</v>
      </c>
      <c r="X150" s="170" t="s">
        <v>44</v>
      </c>
      <c r="Y150">
        <v>0</v>
      </c>
      <c r="Z150">
        <v>1</v>
      </c>
      <c r="AA150" s="170">
        <v>1</v>
      </c>
      <c r="AB150" s="170">
        <v>0</v>
      </c>
      <c r="AC150" t="s">
        <v>126</v>
      </c>
      <c r="AD150">
        <v>8</v>
      </c>
    </row>
    <row r="151" spans="1:30">
      <c r="W151" s="170" t="s">
        <v>44</v>
      </c>
      <c r="X151" s="170" t="s">
        <v>51</v>
      </c>
      <c r="Y151">
        <v>2</v>
      </c>
      <c r="Z151">
        <v>1</v>
      </c>
      <c r="AA151" s="170">
        <v>2</v>
      </c>
      <c r="AB151" s="170">
        <v>1</v>
      </c>
      <c r="AC151" t="s">
        <v>125</v>
      </c>
      <c r="AD151">
        <v>9</v>
      </c>
    </row>
    <row r="152" spans="1:30">
      <c r="W152" s="170" t="s">
        <v>63</v>
      </c>
      <c r="X152" s="170" t="s">
        <v>44</v>
      </c>
      <c r="Y152">
        <v>0</v>
      </c>
      <c r="Z152">
        <v>1</v>
      </c>
      <c r="AA152" s="170">
        <v>1</v>
      </c>
      <c r="AB152" s="170">
        <v>0</v>
      </c>
      <c r="AC152" t="s">
        <v>126</v>
      </c>
      <c r="AD152">
        <v>10</v>
      </c>
    </row>
    <row r="153" spans="1:30">
      <c r="W153" s="170" t="s">
        <v>44</v>
      </c>
      <c r="X153" s="170" t="s">
        <v>329</v>
      </c>
      <c r="Y153">
        <v>2</v>
      </c>
      <c r="Z153">
        <v>0</v>
      </c>
      <c r="AA153" s="170">
        <v>2</v>
      </c>
      <c r="AB153" s="170">
        <v>0</v>
      </c>
      <c r="AC153" t="s">
        <v>125</v>
      </c>
      <c r="AD153">
        <v>11</v>
      </c>
    </row>
    <row r="154" spans="1:30">
      <c r="W154" s="170" t="s">
        <v>66</v>
      </c>
      <c r="X154" s="170" t="s">
        <v>44</v>
      </c>
      <c r="Y154">
        <v>1</v>
      </c>
      <c r="Z154">
        <v>2</v>
      </c>
      <c r="AA154" s="170">
        <v>2</v>
      </c>
      <c r="AB154" s="170">
        <v>1</v>
      </c>
      <c r="AC154" t="s">
        <v>126</v>
      </c>
      <c r="AD154">
        <v>12</v>
      </c>
    </row>
    <row r="155" spans="1:30">
      <c r="W155" s="170" t="s">
        <v>44</v>
      </c>
      <c r="X155" s="170" t="s">
        <v>61</v>
      </c>
      <c r="Y155">
        <v>5</v>
      </c>
      <c r="Z155">
        <v>1</v>
      </c>
      <c r="AA155" s="170">
        <v>5</v>
      </c>
      <c r="AB155" s="170">
        <v>1</v>
      </c>
      <c r="AC155" t="s">
        <v>125</v>
      </c>
      <c r="AD155">
        <v>13</v>
      </c>
    </row>
    <row r="156" spans="1:30">
      <c r="W156" s="170" t="s">
        <v>44</v>
      </c>
      <c r="X156" s="170" t="s">
        <v>60</v>
      </c>
      <c r="Y156">
        <v>3</v>
      </c>
      <c r="Z156">
        <v>0</v>
      </c>
      <c r="AA156" s="170">
        <v>3</v>
      </c>
      <c r="AB156" s="170">
        <v>0</v>
      </c>
      <c r="AC156" t="s">
        <v>125</v>
      </c>
      <c r="AD156">
        <v>14</v>
      </c>
    </row>
    <row r="157" spans="1:30">
      <c r="W157" s="170" t="s">
        <v>325</v>
      </c>
      <c r="X157" s="170" t="s">
        <v>44</v>
      </c>
      <c r="Y157">
        <v>1</v>
      </c>
      <c r="Z157">
        <v>3</v>
      </c>
      <c r="AA157" s="170">
        <v>3</v>
      </c>
      <c r="AB157" s="170">
        <v>1</v>
      </c>
      <c r="AC157" t="s">
        <v>126</v>
      </c>
      <c r="AD157">
        <v>15</v>
      </c>
    </row>
    <row r="158" spans="1:30">
      <c r="W158" s="170" t="s">
        <v>44</v>
      </c>
      <c r="X158" s="170" t="s">
        <v>55</v>
      </c>
      <c r="Y158">
        <v>0</v>
      </c>
      <c r="Z158">
        <v>1</v>
      </c>
      <c r="AA158" s="170">
        <v>0</v>
      </c>
      <c r="AB158" s="170">
        <v>1</v>
      </c>
      <c r="AC158" t="s">
        <v>125</v>
      </c>
      <c r="AD158">
        <v>16</v>
      </c>
    </row>
    <row r="159" spans="1:30">
      <c r="A159" t="s">
        <v>238</v>
      </c>
      <c r="B159" t="s">
        <v>239</v>
      </c>
      <c r="C159" t="s">
        <v>302</v>
      </c>
      <c r="D159" t="s">
        <v>303</v>
      </c>
      <c r="E159" t="s">
        <v>285</v>
      </c>
      <c r="F159" t="s">
        <v>291</v>
      </c>
      <c r="G159" t="s">
        <v>240</v>
      </c>
      <c r="H159" t="s">
        <v>340</v>
      </c>
      <c r="W159" s="170" t="s">
        <v>58</v>
      </c>
      <c r="X159" s="170" t="s">
        <v>44</v>
      </c>
      <c r="Y159">
        <v>0</v>
      </c>
      <c r="Z159">
        <v>3</v>
      </c>
      <c r="AA159" s="170">
        <v>3</v>
      </c>
      <c r="AB159" s="170">
        <v>0</v>
      </c>
      <c r="AC159" t="s">
        <v>126</v>
      </c>
      <c r="AD159">
        <v>17</v>
      </c>
    </row>
    <row r="160" spans="1:30">
      <c r="A160" t="s">
        <v>63</v>
      </c>
      <c r="B160" t="s">
        <v>56</v>
      </c>
      <c r="C160">
        <v>0</v>
      </c>
      <c r="D160">
        <v>2</v>
      </c>
      <c r="E160">
        <v>0</v>
      </c>
      <c r="F160">
        <v>2</v>
      </c>
      <c r="G160" t="s">
        <v>125</v>
      </c>
      <c r="H160">
        <v>1</v>
      </c>
      <c r="W160" s="170" t="s">
        <v>44</v>
      </c>
      <c r="X160" s="170" t="s">
        <v>59</v>
      </c>
      <c r="Y160">
        <v>2</v>
      </c>
      <c r="Z160">
        <v>0</v>
      </c>
      <c r="AA160" s="170">
        <v>2</v>
      </c>
      <c r="AB160" s="170">
        <v>0</v>
      </c>
      <c r="AC160" t="s">
        <v>125</v>
      </c>
      <c r="AD160">
        <v>18</v>
      </c>
    </row>
    <row r="161" spans="1:30">
      <c r="A161" t="s">
        <v>66</v>
      </c>
      <c r="B161" t="s">
        <v>63</v>
      </c>
      <c r="C161">
        <v>2</v>
      </c>
      <c r="D161">
        <v>2</v>
      </c>
      <c r="E161">
        <v>2</v>
      </c>
      <c r="F161">
        <v>2</v>
      </c>
      <c r="G161" t="s">
        <v>126</v>
      </c>
      <c r="H161">
        <v>2</v>
      </c>
      <c r="W161" s="170" t="s">
        <v>64</v>
      </c>
      <c r="X161" s="170" t="s">
        <v>44</v>
      </c>
      <c r="Y161">
        <v>0</v>
      </c>
      <c r="Z161">
        <v>2</v>
      </c>
      <c r="AA161" s="170">
        <v>2</v>
      </c>
      <c r="AB161" s="170">
        <v>0</v>
      </c>
      <c r="AC161" t="s">
        <v>126</v>
      </c>
      <c r="AD161">
        <v>19</v>
      </c>
    </row>
    <row r="162" spans="1:30">
      <c r="A162" t="s">
        <v>293</v>
      </c>
      <c r="B162" t="s">
        <v>63</v>
      </c>
      <c r="C162">
        <v>1</v>
      </c>
      <c r="D162">
        <v>2</v>
      </c>
      <c r="E162">
        <v>2</v>
      </c>
      <c r="F162">
        <v>1</v>
      </c>
      <c r="G162" t="s">
        <v>126</v>
      </c>
      <c r="H162">
        <v>3</v>
      </c>
      <c r="W162" s="170" t="s">
        <v>44</v>
      </c>
      <c r="X162" s="170" t="s">
        <v>241</v>
      </c>
      <c r="Y162">
        <v>0</v>
      </c>
      <c r="Z162">
        <v>0</v>
      </c>
      <c r="AA162" s="170">
        <v>0</v>
      </c>
      <c r="AB162" s="170">
        <v>0</v>
      </c>
      <c r="AC162" t="s">
        <v>125</v>
      </c>
      <c r="AD162">
        <v>20</v>
      </c>
    </row>
    <row r="163" spans="1:30">
      <c r="A163" t="s">
        <v>63</v>
      </c>
      <c r="B163" t="s">
        <v>287</v>
      </c>
      <c r="C163">
        <v>1</v>
      </c>
      <c r="D163">
        <v>0</v>
      </c>
      <c r="E163">
        <v>1</v>
      </c>
      <c r="F163">
        <v>0</v>
      </c>
      <c r="G163" t="s">
        <v>125</v>
      </c>
      <c r="H163">
        <v>4</v>
      </c>
      <c r="W163" s="170" t="s">
        <v>44</v>
      </c>
      <c r="X163" s="170" t="s">
        <v>242</v>
      </c>
      <c r="Y163">
        <v>4</v>
      </c>
      <c r="Z163">
        <v>1</v>
      </c>
      <c r="AA163" s="170">
        <v>4</v>
      </c>
      <c r="AB163" s="170">
        <v>1</v>
      </c>
      <c r="AC163" t="s">
        <v>125</v>
      </c>
      <c r="AD163">
        <v>21</v>
      </c>
    </row>
    <row r="164" spans="1:30">
      <c r="A164" t="s">
        <v>55</v>
      </c>
      <c r="B164" t="s">
        <v>63</v>
      </c>
      <c r="C164">
        <v>1</v>
      </c>
      <c r="D164">
        <v>0</v>
      </c>
      <c r="E164">
        <v>0</v>
      </c>
      <c r="F164">
        <v>1</v>
      </c>
      <c r="G164" t="s">
        <v>126</v>
      </c>
      <c r="H164">
        <v>5</v>
      </c>
      <c r="W164" s="170" t="s">
        <v>58</v>
      </c>
      <c r="X164" s="170" t="s">
        <v>44</v>
      </c>
      <c r="Y164">
        <v>0</v>
      </c>
      <c r="Z164">
        <v>3</v>
      </c>
      <c r="AA164" s="170">
        <v>3</v>
      </c>
      <c r="AB164" s="170">
        <v>0</v>
      </c>
      <c r="AC164" t="s">
        <v>126</v>
      </c>
      <c r="AD164">
        <v>22</v>
      </c>
    </row>
    <row r="165" spans="1:30">
      <c r="A165" t="s">
        <v>63</v>
      </c>
      <c r="B165" t="s">
        <v>44</v>
      </c>
      <c r="C165">
        <v>0</v>
      </c>
      <c r="D165">
        <v>1</v>
      </c>
      <c r="E165">
        <v>0</v>
      </c>
      <c r="F165">
        <v>1</v>
      </c>
      <c r="G165" t="s">
        <v>125</v>
      </c>
      <c r="H165">
        <v>6</v>
      </c>
      <c r="W165" s="170" t="s">
        <v>44</v>
      </c>
      <c r="X165" s="170" t="s">
        <v>46</v>
      </c>
      <c r="Y165">
        <v>2</v>
      </c>
      <c r="Z165">
        <v>1</v>
      </c>
      <c r="AA165" s="170">
        <v>2</v>
      </c>
      <c r="AB165" s="170">
        <v>1</v>
      </c>
      <c r="AC165" t="s">
        <v>125</v>
      </c>
      <c r="AD165">
        <v>23</v>
      </c>
    </row>
    <row r="166" spans="1:30">
      <c r="A166" t="s">
        <v>67</v>
      </c>
      <c r="B166" t="s">
        <v>63</v>
      </c>
      <c r="C166">
        <v>2</v>
      </c>
      <c r="D166">
        <v>1</v>
      </c>
      <c r="E166">
        <v>1</v>
      </c>
      <c r="F166">
        <v>2</v>
      </c>
      <c r="G166" t="s">
        <v>126</v>
      </c>
      <c r="H166">
        <v>7</v>
      </c>
      <c r="W166" s="170" t="s">
        <v>44</v>
      </c>
      <c r="X166" s="170" t="s">
        <v>243</v>
      </c>
      <c r="Y166">
        <v>1</v>
      </c>
      <c r="Z166">
        <v>0</v>
      </c>
      <c r="AA166" s="170">
        <v>1</v>
      </c>
      <c r="AB166" s="170">
        <v>0</v>
      </c>
      <c r="AC166" t="s">
        <v>125</v>
      </c>
      <c r="AD166">
        <v>24</v>
      </c>
    </row>
    <row r="167" spans="1:30">
      <c r="A167" t="s">
        <v>63</v>
      </c>
      <c r="B167" t="s">
        <v>58</v>
      </c>
      <c r="C167">
        <v>0</v>
      </c>
      <c r="D167">
        <v>0</v>
      </c>
      <c r="E167">
        <v>0</v>
      </c>
      <c r="F167">
        <v>0</v>
      </c>
      <c r="G167" t="s">
        <v>125</v>
      </c>
      <c r="H167">
        <v>8</v>
      </c>
    </row>
    <row r="168" spans="1:30">
      <c r="A168" t="s">
        <v>290</v>
      </c>
      <c r="B168" t="s">
        <v>63</v>
      </c>
      <c r="C168">
        <v>1</v>
      </c>
      <c r="D168">
        <v>2</v>
      </c>
      <c r="E168">
        <v>2</v>
      </c>
      <c r="F168">
        <v>1</v>
      </c>
      <c r="G168" t="s">
        <v>126</v>
      </c>
      <c r="H168">
        <v>9</v>
      </c>
    </row>
    <row r="169" spans="1:30">
      <c r="A169" t="s">
        <v>63</v>
      </c>
      <c r="B169" t="s">
        <v>62</v>
      </c>
      <c r="C169">
        <v>2</v>
      </c>
      <c r="D169">
        <v>2</v>
      </c>
      <c r="E169">
        <v>2</v>
      </c>
      <c r="F169">
        <v>2</v>
      </c>
      <c r="G169" t="s">
        <v>125</v>
      </c>
      <c r="H169">
        <v>10</v>
      </c>
    </row>
    <row r="170" spans="1:30">
      <c r="A170" t="s">
        <v>51</v>
      </c>
      <c r="B170" t="s">
        <v>63</v>
      </c>
      <c r="C170">
        <v>1</v>
      </c>
      <c r="D170">
        <v>1</v>
      </c>
      <c r="E170">
        <v>1</v>
      </c>
      <c r="F170">
        <v>1</v>
      </c>
      <c r="G170" t="s">
        <v>126</v>
      </c>
      <c r="H170">
        <v>11</v>
      </c>
    </row>
    <row r="171" spans="1:30">
      <c r="A171" t="s">
        <v>63</v>
      </c>
      <c r="B171" t="s">
        <v>341</v>
      </c>
      <c r="C171">
        <v>4</v>
      </c>
      <c r="D171">
        <v>0</v>
      </c>
      <c r="E171">
        <v>4</v>
      </c>
      <c r="F171">
        <v>0</v>
      </c>
      <c r="G171" t="s">
        <v>125</v>
      </c>
      <c r="H171">
        <v>12</v>
      </c>
    </row>
    <row r="172" spans="1:30">
      <c r="A172" t="s">
        <v>63</v>
      </c>
      <c r="B172" t="s">
        <v>61</v>
      </c>
      <c r="C172">
        <v>0</v>
      </c>
      <c r="D172">
        <v>2</v>
      </c>
      <c r="E172">
        <v>0</v>
      </c>
      <c r="F172">
        <v>2</v>
      </c>
      <c r="G172" t="s">
        <v>125</v>
      </c>
      <c r="H172">
        <v>13</v>
      </c>
    </row>
    <row r="173" spans="1:30">
      <c r="A173" t="s">
        <v>59</v>
      </c>
      <c r="B173" t="s">
        <v>63</v>
      </c>
      <c r="C173">
        <v>2</v>
      </c>
      <c r="D173">
        <v>1</v>
      </c>
      <c r="E173">
        <v>1</v>
      </c>
      <c r="F173">
        <v>2</v>
      </c>
      <c r="G173" t="s">
        <v>126</v>
      </c>
      <c r="H173">
        <v>14</v>
      </c>
    </row>
    <row r="174" spans="1:30">
      <c r="A174" t="s">
        <v>63</v>
      </c>
      <c r="B174" t="s">
        <v>342</v>
      </c>
      <c r="C174">
        <v>1</v>
      </c>
      <c r="D174">
        <v>1</v>
      </c>
      <c r="E174">
        <v>1</v>
      </c>
      <c r="F174">
        <v>1</v>
      </c>
      <c r="G174" t="s">
        <v>125</v>
      </c>
      <c r="H174">
        <v>15</v>
      </c>
    </row>
    <row r="175" spans="1:30">
      <c r="A175" t="s">
        <v>63</v>
      </c>
      <c r="B175" t="s">
        <v>61</v>
      </c>
      <c r="C175">
        <v>3</v>
      </c>
      <c r="D175">
        <v>1</v>
      </c>
      <c r="E175">
        <v>3</v>
      </c>
      <c r="F175">
        <v>1</v>
      </c>
      <c r="G175" t="s">
        <v>125</v>
      </c>
      <c r="H175">
        <v>16</v>
      </c>
    </row>
    <row r="176" spans="1:30">
      <c r="A176" t="s">
        <v>63</v>
      </c>
      <c r="B176" t="s">
        <v>66</v>
      </c>
      <c r="C176">
        <v>3</v>
      </c>
      <c r="D176">
        <v>1</v>
      </c>
      <c r="E176">
        <v>3</v>
      </c>
      <c r="F176">
        <v>1</v>
      </c>
      <c r="G176" t="s">
        <v>125</v>
      </c>
      <c r="H176">
        <v>17</v>
      </c>
    </row>
    <row r="177" spans="1:8">
      <c r="A177" t="s">
        <v>343</v>
      </c>
      <c r="B177" t="s">
        <v>63</v>
      </c>
      <c r="C177">
        <v>3</v>
      </c>
      <c r="D177">
        <v>6</v>
      </c>
      <c r="E177">
        <v>6</v>
      </c>
      <c r="F177">
        <v>3</v>
      </c>
      <c r="G177" t="s">
        <v>126</v>
      </c>
      <c r="H177">
        <v>18</v>
      </c>
    </row>
    <row r="178" spans="1:8">
      <c r="A178" t="s">
        <v>63</v>
      </c>
      <c r="B178" t="s">
        <v>344</v>
      </c>
      <c r="C178">
        <v>1</v>
      </c>
      <c r="D178">
        <v>1</v>
      </c>
      <c r="E178">
        <v>1</v>
      </c>
      <c r="F178">
        <v>1</v>
      </c>
      <c r="G178" t="s">
        <v>125</v>
      </c>
      <c r="H178">
        <v>19</v>
      </c>
    </row>
    <row r="179" spans="1:8">
      <c r="A179" t="s">
        <v>63</v>
      </c>
      <c r="B179" t="s">
        <v>345</v>
      </c>
      <c r="C179">
        <v>1</v>
      </c>
      <c r="D179">
        <v>0</v>
      </c>
      <c r="E179">
        <v>1</v>
      </c>
      <c r="F179">
        <v>0</v>
      </c>
      <c r="G179" t="s">
        <v>125</v>
      </c>
      <c r="H179">
        <v>20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57A4-5CD6-421C-A881-9CE2366A3E8B}">
  <dimension ref="B2:G18"/>
  <sheetViews>
    <sheetView workbookViewId="0">
      <selection activeCell="D3" sqref="D3:G13"/>
    </sheetView>
  </sheetViews>
  <sheetFormatPr defaultRowHeight="14.5"/>
  <cols>
    <col min="2" max="2" width="17.36328125" bestFit="1" customWidth="1"/>
    <col min="3" max="3" width="16.81640625" bestFit="1" customWidth="1"/>
    <col min="4" max="4" width="10.7265625" bestFit="1" customWidth="1"/>
    <col min="5" max="5" width="12.36328125" bestFit="1" customWidth="1"/>
    <col min="6" max="6" width="9.90625" bestFit="1" customWidth="1"/>
    <col min="7" max="7" width="7.7265625" bestFit="1" customWidth="1"/>
  </cols>
  <sheetData>
    <row r="2" spans="2:7">
      <c r="B2" t="s">
        <v>238</v>
      </c>
      <c r="C2" t="s">
        <v>239</v>
      </c>
      <c r="D2" t="s">
        <v>285</v>
      </c>
      <c r="E2" t="s">
        <v>291</v>
      </c>
      <c r="F2" t="s">
        <v>240</v>
      </c>
      <c r="G2" t="s">
        <v>320</v>
      </c>
    </row>
    <row r="3" spans="2:7">
      <c r="B3" t="s">
        <v>61</v>
      </c>
      <c r="C3" t="s">
        <v>67</v>
      </c>
      <c r="D3">
        <v>0</v>
      </c>
      <c r="E3">
        <v>0</v>
      </c>
      <c r="F3" t="s">
        <v>125</v>
      </c>
      <c r="G3">
        <v>1</v>
      </c>
    </row>
    <row r="4" spans="2:7">
      <c r="B4" t="s">
        <v>55</v>
      </c>
      <c r="C4" t="s">
        <v>61</v>
      </c>
      <c r="D4">
        <v>0</v>
      </c>
      <c r="E4">
        <v>3</v>
      </c>
      <c r="F4" t="s">
        <v>126</v>
      </c>
      <c r="G4">
        <v>2</v>
      </c>
    </row>
    <row r="5" spans="2:7">
      <c r="B5" t="s">
        <v>61</v>
      </c>
      <c r="C5" t="s">
        <v>58</v>
      </c>
      <c r="D5">
        <v>2</v>
      </c>
      <c r="E5">
        <v>1</v>
      </c>
      <c r="F5" t="s">
        <v>125</v>
      </c>
      <c r="G5">
        <v>3</v>
      </c>
    </row>
    <row r="6" spans="2:7">
      <c r="B6" t="s">
        <v>287</v>
      </c>
      <c r="C6" t="s">
        <v>61</v>
      </c>
      <c r="D6">
        <v>1</v>
      </c>
      <c r="E6">
        <v>4</v>
      </c>
      <c r="F6" t="s">
        <v>126</v>
      </c>
      <c r="G6">
        <v>4</v>
      </c>
    </row>
    <row r="7" spans="2:7">
      <c r="B7" t="s">
        <v>61</v>
      </c>
      <c r="C7" t="s">
        <v>64</v>
      </c>
      <c r="D7">
        <v>4</v>
      </c>
      <c r="E7">
        <v>1</v>
      </c>
      <c r="F7" t="s">
        <v>125</v>
      </c>
      <c r="G7">
        <v>5</v>
      </c>
    </row>
    <row r="8" spans="2:7">
      <c r="B8" t="s">
        <v>59</v>
      </c>
      <c r="C8" t="s">
        <v>61</v>
      </c>
      <c r="D8">
        <v>1</v>
      </c>
      <c r="E8">
        <v>1</v>
      </c>
      <c r="F8" t="s">
        <v>126</v>
      </c>
      <c r="G8">
        <v>6</v>
      </c>
    </row>
    <row r="9" spans="2:7">
      <c r="B9" t="s">
        <v>44</v>
      </c>
      <c r="C9" t="s">
        <v>61</v>
      </c>
      <c r="D9">
        <v>1</v>
      </c>
      <c r="E9">
        <v>5</v>
      </c>
      <c r="F9" t="s">
        <v>126</v>
      </c>
      <c r="G9">
        <v>7</v>
      </c>
    </row>
    <row r="10" spans="2:7">
      <c r="B10" t="s">
        <v>61</v>
      </c>
      <c r="C10" t="s">
        <v>51</v>
      </c>
      <c r="D10">
        <v>0</v>
      </c>
      <c r="E10">
        <v>3</v>
      </c>
      <c r="F10" t="s">
        <v>125</v>
      </c>
      <c r="G10">
        <v>8</v>
      </c>
    </row>
    <row r="11" spans="2:7">
      <c r="B11" t="s">
        <v>56</v>
      </c>
      <c r="C11" t="s">
        <v>61</v>
      </c>
      <c r="D11">
        <v>1</v>
      </c>
      <c r="E11">
        <v>1</v>
      </c>
      <c r="F11" t="s">
        <v>126</v>
      </c>
      <c r="G11">
        <v>9</v>
      </c>
    </row>
    <row r="12" spans="2:7">
      <c r="B12" t="s">
        <v>61</v>
      </c>
      <c r="C12" t="s">
        <v>292</v>
      </c>
      <c r="D12">
        <v>1</v>
      </c>
      <c r="E12">
        <v>3</v>
      </c>
      <c r="F12" t="s">
        <v>125</v>
      </c>
      <c r="G12">
        <v>10</v>
      </c>
    </row>
    <row r="13" spans="2:7">
      <c r="B13" t="s">
        <v>61</v>
      </c>
      <c r="C13" t="s">
        <v>60</v>
      </c>
      <c r="D13">
        <v>1</v>
      </c>
      <c r="E13">
        <v>0</v>
      </c>
      <c r="F13" t="s">
        <v>125</v>
      </c>
      <c r="G13">
        <v>11</v>
      </c>
    </row>
    <row r="14" spans="2:7">
      <c r="B14" t="s">
        <v>63</v>
      </c>
      <c r="C14" t="s">
        <v>61</v>
      </c>
      <c r="D14">
        <v>2</v>
      </c>
      <c r="E14">
        <v>0</v>
      </c>
      <c r="F14" t="s">
        <v>126</v>
      </c>
      <c r="G14">
        <v>12</v>
      </c>
    </row>
    <row r="15" spans="2:7">
      <c r="B15" t="s">
        <v>61</v>
      </c>
      <c r="C15" t="s">
        <v>293</v>
      </c>
      <c r="D15">
        <v>1</v>
      </c>
      <c r="E15">
        <v>2</v>
      </c>
      <c r="F15" t="s">
        <v>125</v>
      </c>
      <c r="G15">
        <v>13</v>
      </c>
    </row>
    <row r="16" spans="2:7">
      <c r="B16" t="s">
        <v>61</v>
      </c>
      <c r="C16" t="s">
        <v>281</v>
      </c>
      <c r="D16">
        <v>2</v>
      </c>
      <c r="E16">
        <v>2</v>
      </c>
      <c r="F16" t="s">
        <v>125</v>
      </c>
      <c r="G16">
        <v>14</v>
      </c>
    </row>
    <row r="17" spans="2:7">
      <c r="B17" t="s">
        <v>63</v>
      </c>
      <c r="C17" t="s">
        <v>61</v>
      </c>
      <c r="D17">
        <v>1</v>
      </c>
      <c r="E17">
        <v>3</v>
      </c>
      <c r="F17" t="s">
        <v>126</v>
      </c>
      <c r="G17">
        <v>15</v>
      </c>
    </row>
    <row r="18" spans="2:7">
      <c r="B18" t="s">
        <v>61</v>
      </c>
      <c r="C18" t="s">
        <v>288</v>
      </c>
      <c r="D18">
        <v>2</v>
      </c>
      <c r="E18">
        <v>2</v>
      </c>
      <c r="F18" t="s">
        <v>125</v>
      </c>
      <c r="G18">
        <v>16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880B6-89AA-4C79-817B-A026CC4C0B3A}">
  <dimension ref="C1:J27"/>
  <sheetViews>
    <sheetView workbookViewId="0">
      <selection activeCell="G2" sqref="G2:I12"/>
    </sheetView>
  </sheetViews>
  <sheetFormatPr defaultRowHeight="14.5"/>
  <cols>
    <col min="3" max="3" width="24.453125" bestFit="1" customWidth="1"/>
    <col min="4" max="4" width="20.453125" bestFit="1" customWidth="1"/>
    <col min="5" max="5" width="13" bestFit="1" customWidth="1"/>
    <col min="6" max="6" width="12.54296875" bestFit="1" customWidth="1"/>
    <col min="7" max="7" width="10.7265625" bestFit="1" customWidth="1"/>
    <col min="8" max="8" width="12.36328125" bestFit="1" customWidth="1"/>
    <col min="9" max="9" width="9.90625" bestFit="1" customWidth="1"/>
    <col min="10" max="10" width="7.7265625" bestFit="1" customWidth="1"/>
  </cols>
  <sheetData>
    <row r="1" spans="3:10">
      <c r="C1" t="s">
        <v>238</v>
      </c>
      <c r="D1" t="s">
        <v>239</v>
      </c>
      <c r="E1" t="s">
        <v>302</v>
      </c>
      <c r="F1" t="s">
        <v>303</v>
      </c>
      <c r="G1" t="s">
        <v>285</v>
      </c>
      <c r="H1" t="s">
        <v>291</v>
      </c>
      <c r="I1" t="s">
        <v>240</v>
      </c>
      <c r="J1" t="s">
        <v>320</v>
      </c>
    </row>
    <row r="2" spans="3:10">
      <c r="C2" s="170" t="s">
        <v>545</v>
      </c>
      <c r="D2" s="170" t="s">
        <v>51</v>
      </c>
      <c r="E2">
        <v>0</v>
      </c>
      <c r="F2">
        <v>2</v>
      </c>
      <c r="G2">
        <v>2</v>
      </c>
      <c r="H2">
        <v>0</v>
      </c>
      <c r="I2" t="s">
        <v>126</v>
      </c>
      <c r="J2">
        <v>1</v>
      </c>
    </row>
    <row r="3" spans="3:10">
      <c r="C3" s="170" t="s">
        <v>62</v>
      </c>
      <c r="D3" s="170" t="s">
        <v>51</v>
      </c>
      <c r="E3">
        <v>1</v>
      </c>
      <c r="F3">
        <v>2</v>
      </c>
      <c r="G3">
        <v>2</v>
      </c>
      <c r="H3">
        <v>1</v>
      </c>
      <c r="I3" t="s">
        <v>126</v>
      </c>
      <c r="J3">
        <v>2</v>
      </c>
    </row>
    <row r="4" spans="3:10">
      <c r="C4" s="170" t="s">
        <v>51</v>
      </c>
      <c r="D4" s="170" t="s">
        <v>46</v>
      </c>
      <c r="E4">
        <v>1</v>
      </c>
      <c r="F4">
        <v>1</v>
      </c>
      <c r="G4">
        <v>1</v>
      </c>
      <c r="H4">
        <v>1</v>
      </c>
      <c r="I4" t="s">
        <v>125</v>
      </c>
      <c r="J4">
        <v>3</v>
      </c>
    </row>
    <row r="5" spans="3:10">
      <c r="C5" s="170" t="s">
        <v>51</v>
      </c>
      <c r="D5" s="170" t="s">
        <v>521</v>
      </c>
      <c r="E5">
        <v>8</v>
      </c>
      <c r="F5">
        <v>0</v>
      </c>
      <c r="G5">
        <v>8</v>
      </c>
      <c r="H5">
        <v>0</v>
      </c>
      <c r="I5" t="s">
        <v>125</v>
      </c>
      <c r="J5">
        <v>4</v>
      </c>
    </row>
    <row r="6" spans="3:10">
      <c r="C6" s="170" t="s">
        <v>58</v>
      </c>
      <c r="D6" s="170" t="s">
        <v>51</v>
      </c>
      <c r="E6">
        <v>1</v>
      </c>
      <c r="F6">
        <v>1</v>
      </c>
      <c r="G6">
        <v>1</v>
      </c>
      <c r="H6">
        <v>1</v>
      </c>
      <c r="I6" t="s">
        <v>126</v>
      </c>
      <c r="J6">
        <v>5</v>
      </c>
    </row>
    <row r="7" spans="3:10">
      <c r="C7" s="170" t="s">
        <v>53</v>
      </c>
      <c r="D7" s="170" t="s">
        <v>51</v>
      </c>
      <c r="E7">
        <v>2</v>
      </c>
      <c r="F7">
        <v>0</v>
      </c>
      <c r="G7">
        <v>0</v>
      </c>
      <c r="H7">
        <v>2</v>
      </c>
      <c r="I7" t="s">
        <v>126</v>
      </c>
      <c r="J7">
        <v>6</v>
      </c>
    </row>
    <row r="8" spans="3:10">
      <c r="C8" s="170" t="s">
        <v>51</v>
      </c>
      <c r="D8" s="170" t="s">
        <v>53</v>
      </c>
      <c r="E8">
        <v>2</v>
      </c>
      <c r="F8">
        <v>1</v>
      </c>
      <c r="G8">
        <v>2</v>
      </c>
      <c r="H8">
        <v>1</v>
      </c>
      <c r="I8" t="s">
        <v>125</v>
      </c>
      <c r="J8">
        <v>7</v>
      </c>
    </row>
    <row r="9" spans="3:10">
      <c r="C9" s="170" t="s">
        <v>430</v>
      </c>
      <c r="D9" s="170" t="s">
        <v>51</v>
      </c>
      <c r="E9">
        <v>1</v>
      </c>
      <c r="F9">
        <v>4</v>
      </c>
      <c r="G9">
        <v>4</v>
      </c>
      <c r="H9">
        <v>1</v>
      </c>
      <c r="I9" t="s">
        <v>126</v>
      </c>
      <c r="J9">
        <v>8</v>
      </c>
    </row>
    <row r="10" spans="3:10">
      <c r="C10" s="170" t="s">
        <v>44</v>
      </c>
      <c r="D10" s="170" t="s">
        <v>51</v>
      </c>
      <c r="E10">
        <v>2</v>
      </c>
      <c r="F10">
        <v>1</v>
      </c>
      <c r="G10">
        <v>1</v>
      </c>
      <c r="H10">
        <v>2</v>
      </c>
      <c r="I10" t="s">
        <v>126</v>
      </c>
      <c r="J10">
        <v>9</v>
      </c>
    </row>
    <row r="11" spans="3:10">
      <c r="C11" s="170" t="s">
        <v>51</v>
      </c>
      <c r="D11" s="170" t="s">
        <v>55</v>
      </c>
      <c r="E11">
        <v>1</v>
      </c>
      <c r="F11">
        <v>1</v>
      </c>
      <c r="G11">
        <v>1</v>
      </c>
      <c r="H11">
        <v>1</v>
      </c>
      <c r="I11" t="s">
        <v>125</v>
      </c>
      <c r="J11">
        <v>10</v>
      </c>
    </row>
    <row r="12" spans="3:10">
      <c r="C12" s="170" t="s">
        <v>51</v>
      </c>
      <c r="D12" s="170" t="s">
        <v>330</v>
      </c>
      <c r="E12">
        <v>4</v>
      </c>
      <c r="F12">
        <v>2</v>
      </c>
      <c r="G12">
        <v>4</v>
      </c>
      <c r="H12">
        <v>2</v>
      </c>
      <c r="I12" t="s">
        <v>125</v>
      </c>
      <c r="J12">
        <v>11</v>
      </c>
    </row>
    <row r="13" spans="3:10">
      <c r="C13" s="170" t="s">
        <v>51</v>
      </c>
      <c r="D13" s="170" t="s">
        <v>286</v>
      </c>
      <c r="E13">
        <v>4</v>
      </c>
      <c r="F13">
        <v>2</v>
      </c>
      <c r="G13">
        <v>4</v>
      </c>
      <c r="H13">
        <v>2</v>
      </c>
      <c r="I13" t="s">
        <v>125</v>
      </c>
      <c r="J13">
        <v>12</v>
      </c>
    </row>
    <row r="14" spans="3:10">
      <c r="C14" s="170" t="s">
        <v>51</v>
      </c>
      <c r="D14" s="170" t="s">
        <v>331</v>
      </c>
      <c r="E14">
        <v>5</v>
      </c>
      <c r="F14">
        <v>0</v>
      </c>
      <c r="G14">
        <v>5</v>
      </c>
      <c r="H14">
        <v>0</v>
      </c>
      <c r="I14" t="s">
        <v>125</v>
      </c>
      <c r="J14">
        <v>13</v>
      </c>
    </row>
    <row r="15" spans="3:10">
      <c r="C15" s="170" t="s">
        <v>61</v>
      </c>
      <c r="D15" s="170" t="s">
        <v>51</v>
      </c>
      <c r="E15">
        <v>0</v>
      </c>
      <c r="F15">
        <v>3</v>
      </c>
      <c r="G15">
        <v>3</v>
      </c>
      <c r="H15">
        <v>0</v>
      </c>
      <c r="I15" t="s">
        <v>126</v>
      </c>
      <c r="J15">
        <v>14</v>
      </c>
    </row>
    <row r="16" spans="3:10">
      <c r="C16" s="170" t="s">
        <v>60</v>
      </c>
      <c r="D16" s="170" t="s">
        <v>51</v>
      </c>
      <c r="E16">
        <v>0</v>
      </c>
      <c r="F16">
        <v>1</v>
      </c>
      <c r="G16">
        <v>1</v>
      </c>
      <c r="H16">
        <v>0</v>
      </c>
      <c r="I16" t="s">
        <v>126</v>
      </c>
      <c r="J16">
        <v>15</v>
      </c>
    </row>
    <row r="17" spans="3:10">
      <c r="C17" s="170" t="s">
        <v>51</v>
      </c>
      <c r="D17" s="170" t="s">
        <v>63</v>
      </c>
      <c r="E17">
        <v>1</v>
      </c>
      <c r="F17">
        <v>1</v>
      </c>
      <c r="G17">
        <v>1</v>
      </c>
      <c r="H17">
        <v>1</v>
      </c>
      <c r="I17" t="s">
        <v>125</v>
      </c>
      <c r="J17">
        <v>16</v>
      </c>
    </row>
    <row r="18" spans="3:10">
      <c r="C18" s="170" t="s">
        <v>332</v>
      </c>
      <c r="D18" s="170" t="s">
        <v>51</v>
      </c>
      <c r="E18">
        <v>2</v>
      </c>
      <c r="F18">
        <v>1</v>
      </c>
      <c r="G18">
        <v>1</v>
      </c>
      <c r="H18">
        <v>2</v>
      </c>
      <c r="I18" t="s">
        <v>126</v>
      </c>
      <c r="J18">
        <v>17</v>
      </c>
    </row>
    <row r="19" spans="3:10">
      <c r="C19" s="170" t="s">
        <v>66</v>
      </c>
      <c r="D19" s="170" t="s">
        <v>51</v>
      </c>
      <c r="E19">
        <v>2</v>
      </c>
      <c r="F19">
        <v>6</v>
      </c>
      <c r="G19">
        <v>6</v>
      </c>
      <c r="H19">
        <v>2</v>
      </c>
      <c r="I19" t="s">
        <v>126</v>
      </c>
      <c r="J19">
        <v>18</v>
      </c>
    </row>
    <row r="20" spans="3:10">
      <c r="C20" s="170" t="s">
        <v>51</v>
      </c>
      <c r="D20" s="170" t="s">
        <v>332</v>
      </c>
      <c r="E20">
        <v>2</v>
      </c>
      <c r="F20">
        <v>0</v>
      </c>
      <c r="G20">
        <v>2</v>
      </c>
      <c r="H20">
        <v>0</v>
      </c>
      <c r="I20" t="s">
        <v>125</v>
      </c>
      <c r="J20">
        <v>19</v>
      </c>
    </row>
    <row r="21" spans="3:10">
      <c r="C21" s="170" t="s">
        <v>51</v>
      </c>
      <c r="D21" s="170" t="s">
        <v>292</v>
      </c>
      <c r="E21">
        <v>0</v>
      </c>
      <c r="F21">
        <v>2</v>
      </c>
      <c r="G21">
        <v>0</v>
      </c>
      <c r="H21">
        <v>2</v>
      </c>
      <c r="I21" t="s">
        <v>125</v>
      </c>
      <c r="J21">
        <v>20</v>
      </c>
    </row>
    <row r="22" spans="3:10">
      <c r="C22" s="170" t="s">
        <v>51</v>
      </c>
      <c r="D22" s="170" t="s">
        <v>324</v>
      </c>
      <c r="E22">
        <v>1</v>
      </c>
      <c r="F22">
        <v>1</v>
      </c>
      <c r="G22">
        <v>1</v>
      </c>
      <c r="H22">
        <v>1</v>
      </c>
      <c r="I22" t="s">
        <v>125</v>
      </c>
      <c r="J22">
        <v>21</v>
      </c>
    </row>
    <row r="23" spans="3:10">
      <c r="C23" s="170" t="s">
        <v>278</v>
      </c>
      <c r="D23" s="170" t="s">
        <v>51</v>
      </c>
      <c r="E23">
        <v>2</v>
      </c>
      <c r="F23">
        <v>1</v>
      </c>
      <c r="G23">
        <v>1</v>
      </c>
      <c r="H23">
        <v>2</v>
      </c>
      <c r="I23" t="s">
        <v>126</v>
      </c>
      <c r="J23">
        <v>22</v>
      </c>
    </row>
    <row r="24" spans="3:10">
      <c r="C24" s="170" t="s">
        <v>292</v>
      </c>
      <c r="D24" s="170" t="s">
        <v>51</v>
      </c>
      <c r="E24">
        <v>4</v>
      </c>
      <c r="F24">
        <v>2</v>
      </c>
      <c r="G24">
        <v>2</v>
      </c>
      <c r="H24">
        <v>4</v>
      </c>
      <c r="I24" t="s">
        <v>126</v>
      </c>
      <c r="J24">
        <v>23</v>
      </c>
    </row>
    <row r="25" spans="3:10">
      <c r="C25" s="170" t="s">
        <v>51</v>
      </c>
      <c r="D25" s="170" t="s">
        <v>333</v>
      </c>
      <c r="E25">
        <v>3</v>
      </c>
      <c r="F25">
        <v>0</v>
      </c>
      <c r="G25">
        <v>3</v>
      </c>
      <c r="H25">
        <v>0</v>
      </c>
      <c r="I25" t="s">
        <v>125</v>
      </c>
      <c r="J25">
        <v>24</v>
      </c>
    </row>
    <row r="26" spans="3:10">
      <c r="C26" s="170" t="s">
        <v>51</v>
      </c>
      <c r="D26" s="170" t="s">
        <v>326</v>
      </c>
      <c r="E26">
        <v>1</v>
      </c>
      <c r="F26">
        <v>4</v>
      </c>
      <c r="G26">
        <v>1</v>
      </c>
      <c r="H26">
        <v>4</v>
      </c>
      <c r="I26" t="s">
        <v>125</v>
      </c>
      <c r="J26">
        <v>25</v>
      </c>
    </row>
    <row r="27" spans="3:10">
      <c r="C27" s="170" t="s">
        <v>51</v>
      </c>
      <c r="D27" s="170" t="s">
        <v>334</v>
      </c>
      <c r="E27">
        <v>2</v>
      </c>
      <c r="F27">
        <v>2</v>
      </c>
      <c r="G27">
        <v>2</v>
      </c>
      <c r="H27">
        <v>2</v>
      </c>
      <c r="I27" t="s">
        <v>125</v>
      </c>
      <c r="J27">
        <v>26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FC447-AE79-4A92-BADA-52E9FE707615}">
  <dimension ref="A1:H18"/>
  <sheetViews>
    <sheetView workbookViewId="0">
      <selection activeCell="E2" sqref="E2:G12"/>
    </sheetView>
  </sheetViews>
  <sheetFormatPr defaultRowHeight="14.5"/>
  <cols>
    <col min="1" max="1" width="18.1796875" bestFit="1" customWidth="1"/>
    <col min="2" max="2" width="18.453125" bestFit="1" customWidth="1"/>
    <col min="3" max="3" width="13.7265625" bestFit="1" customWidth="1"/>
    <col min="4" max="4" width="13.26953125" bestFit="1" customWidth="1"/>
    <col min="5" max="5" width="11.453125" bestFit="1" customWidth="1"/>
    <col min="6" max="6" width="13" bestFit="1" customWidth="1"/>
    <col min="7" max="7" width="10.54296875" bestFit="1" customWidth="1"/>
    <col min="8" max="8" width="8.26953125" bestFit="1" customWidth="1"/>
  </cols>
  <sheetData>
    <row r="1" spans="1:8">
      <c r="A1" t="s">
        <v>238</v>
      </c>
      <c r="B1" t="s">
        <v>239</v>
      </c>
      <c r="C1" t="s">
        <v>302</v>
      </c>
      <c r="D1" t="s">
        <v>303</v>
      </c>
      <c r="E1" t="s">
        <v>285</v>
      </c>
      <c r="F1" t="s">
        <v>291</v>
      </c>
      <c r="G1" t="s">
        <v>240</v>
      </c>
      <c r="H1" t="s">
        <v>320</v>
      </c>
    </row>
    <row r="2" spans="1:8">
      <c r="A2" t="s">
        <v>64</v>
      </c>
      <c r="B2" t="s">
        <v>62</v>
      </c>
      <c r="C2">
        <v>1</v>
      </c>
      <c r="D2">
        <v>1</v>
      </c>
      <c r="E2">
        <v>1</v>
      </c>
      <c r="F2">
        <v>1</v>
      </c>
      <c r="G2" t="s">
        <v>126</v>
      </c>
      <c r="H2">
        <v>1</v>
      </c>
    </row>
    <row r="3" spans="1:8">
      <c r="A3" t="s">
        <v>58</v>
      </c>
      <c r="B3" t="s">
        <v>62</v>
      </c>
      <c r="C3">
        <v>5</v>
      </c>
      <c r="D3">
        <v>2</v>
      </c>
      <c r="E3">
        <v>2</v>
      </c>
      <c r="F3">
        <v>5</v>
      </c>
      <c r="G3" t="s">
        <v>126</v>
      </c>
      <c r="H3">
        <v>2</v>
      </c>
    </row>
    <row r="4" spans="1:8">
      <c r="A4" t="s">
        <v>62</v>
      </c>
      <c r="B4" t="s">
        <v>55</v>
      </c>
      <c r="C4">
        <v>1</v>
      </c>
      <c r="D4">
        <v>3</v>
      </c>
      <c r="E4">
        <v>1</v>
      </c>
      <c r="F4">
        <v>3</v>
      </c>
      <c r="G4" t="s">
        <v>125</v>
      </c>
      <c r="H4">
        <v>3</v>
      </c>
    </row>
    <row r="5" spans="1:8">
      <c r="A5" t="s">
        <v>65</v>
      </c>
      <c r="B5" t="s">
        <v>62</v>
      </c>
      <c r="C5">
        <v>2</v>
      </c>
      <c r="D5">
        <v>3</v>
      </c>
      <c r="E5">
        <v>3</v>
      </c>
      <c r="F5">
        <v>2</v>
      </c>
      <c r="G5" t="s">
        <v>126</v>
      </c>
      <c r="H5">
        <v>4</v>
      </c>
    </row>
    <row r="6" spans="1:8">
      <c r="A6" t="s">
        <v>62</v>
      </c>
      <c r="B6" t="s">
        <v>60</v>
      </c>
      <c r="C6">
        <v>1</v>
      </c>
      <c r="D6">
        <v>0</v>
      </c>
      <c r="E6">
        <v>1</v>
      </c>
      <c r="F6">
        <v>0</v>
      </c>
      <c r="G6" t="s">
        <v>125</v>
      </c>
      <c r="H6">
        <v>5</v>
      </c>
    </row>
    <row r="7" spans="1:8">
      <c r="A7" t="s">
        <v>46</v>
      </c>
      <c r="B7" t="s">
        <v>62</v>
      </c>
      <c r="C7">
        <v>4</v>
      </c>
      <c r="D7">
        <v>2</v>
      </c>
      <c r="E7">
        <v>2</v>
      </c>
      <c r="F7">
        <v>4</v>
      </c>
      <c r="G7" t="s">
        <v>126</v>
      </c>
      <c r="H7">
        <v>6</v>
      </c>
    </row>
    <row r="8" spans="1:8">
      <c r="A8" t="s">
        <v>362</v>
      </c>
      <c r="B8" t="s">
        <v>62</v>
      </c>
      <c r="C8">
        <v>0</v>
      </c>
      <c r="D8">
        <v>0</v>
      </c>
      <c r="E8">
        <v>0</v>
      </c>
      <c r="F8">
        <v>0</v>
      </c>
      <c r="G8" t="s">
        <v>126</v>
      </c>
      <c r="H8">
        <v>7</v>
      </c>
    </row>
    <row r="9" spans="1:8">
      <c r="A9" t="s">
        <v>62</v>
      </c>
      <c r="B9" t="s">
        <v>67</v>
      </c>
      <c r="C9">
        <v>1</v>
      </c>
      <c r="D9">
        <v>1</v>
      </c>
      <c r="E9">
        <v>1</v>
      </c>
      <c r="F9">
        <v>1</v>
      </c>
      <c r="G9" t="s">
        <v>125</v>
      </c>
      <c r="H9">
        <v>8</v>
      </c>
    </row>
    <row r="10" spans="1:8">
      <c r="A10" t="s">
        <v>63</v>
      </c>
      <c r="B10" t="s">
        <v>62</v>
      </c>
      <c r="C10">
        <v>2</v>
      </c>
      <c r="D10">
        <v>2</v>
      </c>
      <c r="E10">
        <v>2</v>
      </c>
      <c r="F10">
        <v>2</v>
      </c>
      <c r="G10" t="s">
        <v>126</v>
      </c>
      <c r="H10">
        <v>9</v>
      </c>
    </row>
    <row r="11" spans="1:8">
      <c r="A11" t="s">
        <v>62</v>
      </c>
      <c r="B11" t="s">
        <v>293</v>
      </c>
      <c r="C11">
        <v>1</v>
      </c>
      <c r="D11">
        <v>2</v>
      </c>
      <c r="E11">
        <v>1</v>
      </c>
      <c r="F11">
        <v>2</v>
      </c>
      <c r="G11" t="s">
        <v>125</v>
      </c>
      <c r="H11">
        <v>10</v>
      </c>
    </row>
    <row r="12" spans="1:8">
      <c r="A12" t="s">
        <v>62</v>
      </c>
      <c r="B12" t="s">
        <v>363</v>
      </c>
      <c r="C12">
        <v>4</v>
      </c>
      <c r="D12">
        <v>0</v>
      </c>
      <c r="E12">
        <v>4</v>
      </c>
      <c r="F12">
        <v>0</v>
      </c>
      <c r="G12" t="s">
        <v>125</v>
      </c>
      <c r="H12">
        <v>11</v>
      </c>
    </row>
    <row r="13" spans="1:8">
      <c r="A13" t="s">
        <v>56</v>
      </c>
      <c r="B13" t="s">
        <v>62</v>
      </c>
      <c r="C13">
        <v>2</v>
      </c>
      <c r="D13">
        <v>1</v>
      </c>
      <c r="E13">
        <v>1</v>
      </c>
      <c r="F13">
        <v>2</v>
      </c>
      <c r="G13" t="s">
        <v>126</v>
      </c>
      <c r="H13">
        <v>12</v>
      </c>
    </row>
    <row r="14" spans="1:8">
      <c r="A14" t="s">
        <v>62</v>
      </c>
      <c r="B14" t="s">
        <v>287</v>
      </c>
      <c r="C14">
        <v>1</v>
      </c>
      <c r="D14">
        <v>1</v>
      </c>
      <c r="E14">
        <v>1</v>
      </c>
      <c r="F14">
        <v>1</v>
      </c>
      <c r="G14" t="s">
        <v>125</v>
      </c>
      <c r="H14">
        <v>13</v>
      </c>
    </row>
    <row r="15" spans="1:8">
      <c r="A15" t="s">
        <v>364</v>
      </c>
      <c r="B15" t="s">
        <v>62</v>
      </c>
      <c r="C15">
        <v>3</v>
      </c>
      <c r="D15">
        <v>0</v>
      </c>
      <c r="E15">
        <v>0</v>
      </c>
      <c r="F15">
        <v>3</v>
      </c>
      <c r="G15" t="s">
        <v>126</v>
      </c>
      <c r="H15">
        <v>14</v>
      </c>
    </row>
    <row r="16" spans="1:8">
      <c r="A16" t="s">
        <v>365</v>
      </c>
      <c r="B16" t="s">
        <v>62</v>
      </c>
      <c r="C16">
        <v>1</v>
      </c>
      <c r="D16">
        <v>0</v>
      </c>
      <c r="E16">
        <v>0</v>
      </c>
      <c r="F16">
        <v>1</v>
      </c>
      <c r="G16" t="s">
        <v>126</v>
      </c>
      <c r="H16">
        <v>15</v>
      </c>
    </row>
    <row r="17" spans="1:8">
      <c r="A17" t="s">
        <v>62</v>
      </c>
      <c r="B17" t="s">
        <v>366</v>
      </c>
      <c r="C17">
        <v>0</v>
      </c>
      <c r="D17">
        <v>1</v>
      </c>
      <c r="E17">
        <v>0</v>
      </c>
      <c r="F17">
        <v>1</v>
      </c>
      <c r="G17" t="s">
        <v>125</v>
      </c>
      <c r="H17">
        <v>16</v>
      </c>
    </row>
    <row r="18" spans="1:8">
      <c r="A18" t="s">
        <v>367</v>
      </c>
      <c r="B18" t="s">
        <v>62</v>
      </c>
      <c r="C18">
        <v>1</v>
      </c>
      <c r="D18">
        <v>2</v>
      </c>
      <c r="E18">
        <v>2</v>
      </c>
      <c r="F18">
        <v>1</v>
      </c>
      <c r="G18" t="s">
        <v>126</v>
      </c>
      <c r="H18">
        <v>17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16042-52AE-45B2-8AD1-DE0F82ADCDBC}">
  <dimension ref="A1:I15"/>
  <sheetViews>
    <sheetView workbookViewId="0">
      <selection activeCell="F2" sqref="F2:H12"/>
    </sheetView>
  </sheetViews>
  <sheetFormatPr defaultRowHeight="14.5"/>
  <cols>
    <col min="1" max="1" width="11.26953125" bestFit="1" customWidth="1"/>
    <col min="2" max="2" width="16.36328125" bestFit="1" customWidth="1"/>
    <col min="3" max="3" width="16.179687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90625" bestFit="1" customWidth="1"/>
    <col min="9" max="9" width="7.7265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544</v>
      </c>
      <c r="B2" t="s">
        <v>59</v>
      </c>
      <c r="C2" t="s">
        <v>60</v>
      </c>
      <c r="D2">
        <v>3</v>
      </c>
      <c r="E2">
        <v>2</v>
      </c>
      <c r="F2">
        <v>2</v>
      </c>
      <c r="G2">
        <v>3</v>
      </c>
      <c r="H2" t="s">
        <v>126</v>
      </c>
      <c r="I2">
        <v>1</v>
      </c>
    </row>
    <row r="3" spans="1:9">
      <c r="A3" t="s">
        <v>496</v>
      </c>
      <c r="B3" t="s">
        <v>60</v>
      </c>
      <c r="C3" t="s">
        <v>292</v>
      </c>
      <c r="D3">
        <v>2</v>
      </c>
      <c r="E3">
        <v>1</v>
      </c>
      <c r="F3">
        <v>2</v>
      </c>
      <c r="G3">
        <v>1</v>
      </c>
      <c r="H3" t="s">
        <v>125</v>
      </c>
      <c r="I3">
        <v>2</v>
      </c>
    </row>
    <row r="4" spans="1:9">
      <c r="A4" t="s">
        <v>407</v>
      </c>
      <c r="B4" t="s">
        <v>293</v>
      </c>
      <c r="C4" t="s">
        <v>60</v>
      </c>
      <c r="D4">
        <v>1</v>
      </c>
      <c r="E4">
        <v>1</v>
      </c>
      <c r="F4">
        <v>1</v>
      </c>
      <c r="G4">
        <v>1</v>
      </c>
      <c r="H4" t="s">
        <v>126</v>
      </c>
      <c r="I4">
        <v>3</v>
      </c>
    </row>
    <row r="5" spans="1:9">
      <c r="A5" t="s">
        <v>361</v>
      </c>
      <c r="B5" t="s">
        <v>60</v>
      </c>
      <c r="C5" t="s">
        <v>46</v>
      </c>
      <c r="D5">
        <v>2</v>
      </c>
      <c r="E5">
        <v>0</v>
      </c>
      <c r="F5">
        <v>2</v>
      </c>
      <c r="G5">
        <v>0</v>
      </c>
      <c r="H5" t="s">
        <v>125</v>
      </c>
      <c r="I5">
        <v>4</v>
      </c>
    </row>
    <row r="6" spans="1:9">
      <c r="A6" t="s">
        <v>368</v>
      </c>
      <c r="B6" t="s">
        <v>62</v>
      </c>
      <c r="C6" t="s">
        <v>60</v>
      </c>
      <c r="D6">
        <v>1</v>
      </c>
      <c r="E6">
        <v>0</v>
      </c>
      <c r="F6">
        <v>0</v>
      </c>
      <c r="G6">
        <v>1</v>
      </c>
      <c r="H6" t="s">
        <v>126</v>
      </c>
      <c r="I6">
        <v>5</v>
      </c>
    </row>
    <row r="7" spans="1:9">
      <c r="A7" t="s">
        <v>369</v>
      </c>
      <c r="B7" t="s">
        <v>60</v>
      </c>
      <c r="C7" t="s">
        <v>65</v>
      </c>
      <c r="D7">
        <v>3</v>
      </c>
      <c r="E7">
        <v>1</v>
      </c>
      <c r="F7">
        <v>3</v>
      </c>
      <c r="G7">
        <v>1</v>
      </c>
      <c r="H7" t="s">
        <v>125</v>
      </c>
      <c r="I7">
        <v>6</v>
      </c>
    </row>
    <row r="8" spans="1:9">
      <c r="A8" t="s">
        <v>308</v>
      </c>
      <c r="B8" t="s">
        <v>44</v>
      </c>
      <c r="C8" t="s">
        <v>60</v>
      </c>
      <c r="D8">
        <v>3</v>
      </c>
      <c r="E8">
        <v>0</v>
      </c>
      <c r="F8">
        <v>0</v>
      </c>
      <c r="G8">
        <v>3</v>
      </c>
      <c r="H8" t="s">
        <v>126</v>
      </c>
      <c r="I8">
        <v>7</v>
      </c>
    </row>
    <row r="9" spans="1:9">
      <c r="A9" t="s">
        <v>310</v>
      </c>
      <c r="B9" t="s">
        <v>60</v>
      </c>
      <c r="C9" t="s">
        <v>51</v>
      </c>
      <c r="D9">
        <v>0</v>
      </c>
      <c r="E9">
        <v>1</v>
      </c>
      <c r="F9">
        <v>0</v>
      </c>
      <c r="G9">
        <v>1</v>
      </c>
      <c r="H9" t="s">
        <v>125</v>
      </c>
      <c r="I9">
        <v>8</v>
      </c>
    </row>
    <row r="10" spans="1:9">
      <c r="A10" t="s">
        <v>311</v>
      </c>
      <c r="B10" t="s">
        <v>67</v>
      </c>
      <c r="C10" t="s">
        <v>60</v>
      </c>
      <c r="D10">
        <v>2</v>
      </c>
      <c r="E10">
        <v>3</v>
      </c>
      <c r="F10">
        <v>3</v>
      </c>
      <c r="G10">
        <v>2</v>
      </c>
      <c r="H10" t="s">
        <v>126</v>
      </c>
      <c r="I10">
        <v>9</v>
      </c>
    </row>
    <row r="11" spans="1:9">
      <c r="A11" t="s">
        <v>370</v>
      </c>
      <c r="B11" t="s">
        <v>61</v>
      </c>
      <c r="C11" t="s">
        <v>60</v>
      </c>
      <c r="D11">
        <v>1</v>
      </c>
      <c r="E11">
        <v>0</v>
      </c>
      <c r="F11">
        <v>0</v>
      </c>
      <c r="G11">
        <v>1</v>
      </c>
      <c r="H11" t="s">
        <v>126</v>
      </c>
      <c r="I11">
        <v>10</v>
      </c>
    </row>
    <row r="12" spans="1:9">
      <c r="A12" t="s">
        <v>371</v>
      </c>
      <c r="B12" t="s">
        <v>60</v>
      </c>
      <c r="C12" t="s">
        <v>53</v>
      </c>
      <c r="D12">
        <v>1</v>
      </c>
      <c r="E12">
        <v>1</v>
      </c>
      <c r="F12">
        <v>1</v>
      </c>
      <c r="G12">
        <v>1</v>
      </c>
      <c r="H12" t="s">
        <v>125</v>
      </c>
      <c r="I12">
        <v>11</v>
      </c>
    </row>
    <row r="13" spans="1:9">
      <c r="A13" t="s">
        <v>313</v>
      </c>
      <c r="B13" t="s">
        <v>55</v>
      </c>
      <c r="C13" t="s">
        <v>60</v>
      </c>
      <c r="D13">
        <v>1</v>
      </c>
      <c r="E13">
        <v>1</v>
      </c>
      <c r="F13">
        <v>1</v>
      </c>
      <c r="G13">
        <v>1</v>
      </c>
      <c r="H13" t="s">
        <v>126</v>
      </c>
      <c r="I13">
        <v>12</v>
      </c>
    </row>
    <row r="14" spans="1:9">
      <c r="A14" t="s">
        <v>372</v>
      </c>
      <c r="B14" t="s">
        <v>46</v>
      </c>
      <c r="C14" t="s">
        <v>60</v>
      </c>
      <c r="D14">
        <v>1</v>
      </c>
      <c r="E14">
        <v>1</v>
      </c>
      <c r="F14">
        <v>1</v>
      </c>
      <c r="G14">
        <v>1</v>
      </c>
      <c r="H14" t="s">
        <v>126</v>
      </c>
      <c r="I14">
        <v>13</v>
      </c>
    </row>
    <row r="15" spans="1:9">
      <c r="A15" t="s">
        <v>373</v>
      </c>
      <c r="B15" t="s">
        <v>334</v>
      </c>
      <c r="C15" t="s">
        <v>60</v>
      </c>
      <c r="D15">
        <v>1</v>
      </c>
      <c r="E15">
        <v>1</v>
      </c>
      <c r="F15">
        <v>1</v>
      </c>
      <c r="G15">
        <v>1</v>
      </c>
      <c r="H15" t="s">
        <v>126</v>
      </c>
      <c r="I15">
        <v>14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B9808-AC21-4089-9D75-10FE9F042AD6}">
  <dimension ref="A1:H15"/>
  <sheetViews>
    <sheetView workbookViewId="0">
      <selection activeCell="E2" sqref="E2:G12"/>
    </sheetView>
  </sheetViews>
  <sheetFormatPr defaultRowHeight="14.5"/>
  <cols>
    <col min="1" max="2" width="26.1796875" bestFit="1" customWidth="1"/>
    <col min="3" max="3" width="13.7265625" bestFit="1" customWidth="1"/>
    <col min="4" max="4" width="13.26953125" bestFit="1" customWidth="1"/>
    <col min="5" max="5" width="11.453125" bestFit="1" customWidth="1"/>
    <col min="6" max="6" width="13" bestFit="1" customWidth="1"/>
    <col min="7" max="7" width="10" bestFit="1" customWidth="1"/>
    <col min="8" max="8" width="8.26953125" bestFit="1" customWidth="1"/>
  </cols>
  <sheetData>
    <row r="1" spans="1:8">
      <c r="A1" t="s">
        <v>238</v>
      </c>
      <c r="B1" t="s">
        <v>239</v>
      </c>
      <c r="C1" t="s">
        <v>302</v>
      </c>
      <c r="D1" t="s">
        <v>303</v>
      </c>
      <c r="E1" t="s">
        <v>285</v>
      </c>
      <c r="F1" t="s">
        <v>291</v>
      </c>
      <c r="G1" t="s">
        <v>379</v>
      </c>
      <c r="H1" t="s">
        <v>320</v>
      </c>
    </row>
    <row r="2" spans="1:8">
      <c r="A2" t="s">
        <v>66</v>
      </c>
      <c r="B2" t="s">
        <v>63</v>
      </c>
      <c r="C2">
        <v>2</v>
      </c>
      <c r="D2">
        <v>2</v>
      </c>
      <c r="E2">
        <v>2</v>
      </c>
      <c r="F2">
        <v>2</v>
      </c>
      <c r="G2" t="s">
        <v>125</v>
      </c>
      <c r="H2">
        <v>1</v>
      </c>
    </row>
    <row r="3" spans="1:8">
      <c r="A3" t="s">
        <v>286</v>
      </c>
      <c r="B3" t="s">
        <v>66</v>
      </c>
      <c r="C3">
        <v>2</v>
      </c>
      <c r="D3">
        <v>2</v>
      </c>
      <c r="E3">
        <v>2</v>
      </c>
      <c r="F3">
        <v>2</v>
      </c>
      <c r="G3" t="s">
        <v>126</v>
      </c>
      <c r="H3">
        <v>2</v>
      </c>
    </row>
    <row r="4" spans="1:8">
      <c r="A4" t="s">
        <v>66</v>
      </c>
      <c r="B4" t="s">
        <v>292</v>
      </c>
      <c r="C4">
        <v>1</v>
      </c>
      <c r="D4">
        <v>2</v>
      </c>
      <c r="E4">
        <v>1</v>
      </c>
      <c r="F4">
        <v>2</v>
      </c>
      <c r="G4" t="s">
        <v>125</v>
      </c>
      <c r="H4">
        <v>3</v>
      </c>
    </row>
    <row r="5" spans="1:8">
      <c r="A5" t="s">
        <v>59</v>
      </c>
      <c r="B5" t="s">
        <v>66</v>
      </c>
      <c r="C5">
        <v>5</v>
      </c>
      <c r="D5">
        <v>3</v>
      </c>
      <c r="E5">
        <v>3</v>
      </c>
      <c r="F5">
        <v>5</v>
      </c>
      <c r="G5" t="s">
        <v>126</v>
      </c>
      <c r="H5">
        <v>4</v>
      </c>
    </row>
    <row r="6" spans="1:8">
      <c r="A6" t="s">
        <v>66</v>
      </c>
      <c r="B6" t="s">
        <v>44</v>
      </c>
      <c r="C6">
        <v>1</v>
      </c>
      <c r="D6">
        <v>2</v>
      </c>
      <c r="E6">
        <v>1</v>
      </c>
      <c r="F6">
        <v>2</v>
      </c>
      <c r="G6" t="s">
        <v>125</v>
      </c>
      <c r="H6">
        <v>5</v>
      </c>
    </row>
    <row r="7" spans="1:8">
      <c r="A7" t="s">
        <v>293</v>
      </c>
      <c r="B7" t="s">
        <v>66</v>
      </c>
      <c r="C7">
        <v>3</v>
      </c>
      <c r="D7">
        <v>1</v>
      </c>
      <c r="E7">
        <v>1</v>
      </c>
      <c r="F7">
        <v>3</v>
      </c>
      <c r="G7" t="s">
        <v>126</v>
      </c>
      <c r="H7">
        <v>6</v>
      </c>
    </row>
    <row r="8" spans="1:8">
      <c r="A8" t="s">
        <v>286</v>
      </c>
      <c r="B8" t="s">
        <v>66</v>
      </c>
      <c r="C8">
        <v>3</v>
      </c>
      <c r="D8">
        <v>2</v>
      </c>
      <c r="E8">
        <v>2</v>
      </c>
      <c r="F8">
        <v>3</v>
      </c>
      <c r="G8" t="s">
        <v>126</v>
      </c>
      <c r="H8">
        <v>7</v>
      </c>
    </row>
    <row r="9" spans="1:8">
      <c r="A9" t="s">
        <v>66</v>
      </c>
      <c r="B9" t="s">
        <v>53</v>
      </c>
      <c r="C9">
        <v>1</v>
      </c>
      <c r="D9">
        <v>2</v>
      </c>
      <c r="E9">
        <v>1</v>
      </c>
      <c r="F9">
        <v>2</v>
      </c>
      <c r="G9" t="s">
        <v>125</v>
      </c>
      <c r="H9">
        <v>8</v>
      </c>
    </row>
    <row r="10" spans="1:8">
      <c r="A10" t="s">
        <v>55</v>
      </c>
      <c r="B10" t="s">
        <v>66</v>
      </c>
      <c r="C10">
        <v>1</v>
      </c>
      <c r="D10">
        <v>1</v>
      </c>
      <c r="E10">
        <v>1</v>
      </c>
      <c r="F10">
        <v>1</v>
      </c>
      <c r="G10" t="s">
        <v>126</v>
      </c>
      <c r="H10">
        <v>9</v>
      </c>
    </row>
    <row r="11" spans="1:8">
      <c r="A11" t="s">
        <v>66</v>
      </c>
      <c r="B11" t="s">
        <v>321</v>
      </c>
      <c r="C11">
        <v>2</v>
      </c>
      <c r="D11">
        <v>0</v>
      </c>
      <c r="E11">
        <v>2</v>
      </c>
      <c r="F11">
        <v>0</v>
      </c>
      <c r="G11" t="s">
        <v>125</v>
      </c>
      <c r="H11">
        <v>10</v>
      </c>
    </row>
    <row r="12" spans="1:8">
      <c r="A12" t="s">
        <v>66</v>
      </c>
      <c r="B12" t="s">
        <v>51</v>
      </c>
      <c r="C12">
        <v>2</v>
      </c>
      <c r="D12">
        <v>6</v>
      </c>
      <c r="E12">
        <v>2</v>
      </c>
      <c r="F12">
        <v>6</v>
      </c>
      <c r="G12" t="s">
        <v>125</v>
      </c>
      <c r="H12">
        <v>11</v>
      </c>
    </row>
    <row r="13" spans="1:8">
      <c r="A13" t="s">
        <v>46</v>
      </c>
      <c r="B13" t="s">
        <v>66</v>
      </c>
      <c r="C13">
        <v>2</v>
      </c>
      <c r="D13">
        <v>0</v>
      </c>
      <c r="E13">
        <v>0</v>
      </c>
      <c r="F13">
        <v>2</v>
      </c>
      <c r="G13" t="s">
        <v>126</v>
      </c>
      <c r="H13">
        <v>12</v>
      </c>
    </row>
    <row r="14" spans="1:8">
      <c r="A14" t="s">
        <v>66</v>
      </c>
      <c r="B14" t="s">
        <v>252</v>
      </c>
      <c r="C14">
        <v>0</v>
      </c>
      <c r="D14">
        <v>1</v>
      </c>
      <c r="E14">
        <v>0</v>
      </c>
      <c r="F14">
        <v>1</v>
      </c>
      <c r="G14" t="s">
        <v>125</v>
      </c>
      <c r="H14">
        <v>13</v>
      </c>
    </row>
    <row r="15" spans="1:8">
      <c r="A15" t="s">
        <v>63</v>
      </c>
      <c r="B15" t="s">
        <v>66</v>
      </c>
      <c r="C15">
        <v>3</v>
      </c>
      <c r="D15">
        <v>1</v>
      </c>
      <c r="E15">
        <v>1</v>
      </c>
      <c r="F15">
        <v>3</v>
      </c>
      <c r="G15" t="s">
        <v>126</v>
      </c>
      <c r="H15">
        <v>14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1AA7F-1381-488D-904C-8F6A91C7D12C}">
  <dimension ref="A2:C22"/>
  <sheetViews>
    <sheetView workbookViewId="0">
      <selection activeCell="A12" sqref="A12"/>
    </sheetView>
  </sheetViews>
  <sheetFormatPr defaultRowHeight="14.5"/>
  <cols>
    <col min="1" max="1" width="8.26953125" bestFit="1" customWidth="1"/>
    <col min="2" max="2" width="26.1796875" bestFit="1" customWidth="1"/>
    <col min="3" max="3" width="8" bestFit="1" customWidth="1"/>
  </cols>
  <sheetData>
    <row r="2" spans="1:3">
      <c r="A2" t="s">
        <v>320</v>
      </c>
      <c r="B2" t="s">
        <v>327</v>
      </c>
      <c r="C2" t="s">
        <v>328</v>
      </c>
    </row>
    <row r="3" spans="1:3">
      <c r="A3">
        <v>1</v>
      </c>
      <c r="B3" t="s">
        <v>44</v>
      </c>
      <c r="C3">
        <v>25</v>
      </c>
    </row>
    <row r="4" spans="1:3">
      <c r="A4">
        <v>2</v>
      </c>
      <c r="B4" t="s">
        <v>292</v>
      </c>
      <c r="C4">
        <v>23</v>
      </c>
    </row>
    <row r="5" spans="1:3">
      <c r="A5">
        <v>3</v>
      </c>
      <c r="B5" t="s">
        <v>55</v>
      </c>
      <c r="C5">
        <v>19</v>
      </c>
    </row>
    <row r="6" spans="1:3">
      <c r="A6">
        <v>4</v>
      </c>
      <c r="B6" t="s">
        <v>51</v>
      </c>
      <c r="C6">
        <v>18</v>
      </c>
    </row>
    <row r="7" spans="1:3">
      <c r="A7">
        <v>5</v>
      </c>
      <c r="B7" t="s">
        <v>46</v>
      </c>
      <c r="C7">
        <v>18</v>
      </c>
    </row>
    <row r="8" spans="1:3">
      <c r="A8">
        <v>6</v>
      </c>
      <c r="B8" t="s">
        <v>293</v>
      </c>
      <c r="C8">
        <v>18</v>
      </c>
    </row>
    <row r="9" spans="1:3">
      <c r="A9">
        <v>7</v>
      </c>
      <c r="B9" t="s">
        <v>287</v>
      </c>
      <c r="C9">
        <v>16</v>
      </c>
    </row>
    <row r="10" spans="1:3">
      <c r="A10">
        <v>8</v>
      </c>
      <c r="B10" t="s">
        <v>286</v>
      </c>
      <c r="C10">
        <v>16</v>
      </c>
    </row>
    <row r="11" spans="1:3">
      <c r="A11">
        <v>9</v>
      </c>
      <c r="B11" t="s">
        <v>56</v>
      </c>
      <c r="C11">
        <v>15</v>
      </c>
    </row>
    <row r="12" spans="1:3">
      <c r="A12">
        <v>10</v>
      </c>
      <c r="B12" t="s">
        <v>60</v>
      </c>
      <c r="C12">
        <v>15</v>
      </c>
    </row>
    <row r="13" spans="1:3">
      <c r="A13">
        <v>11</v>
      </c>
      <c r="B13" t="s">
        <v>53</v>
      </c>
      <c r="C13">
        <v>15</v>
      </c>
    </row>
    <row r="14" spans="1:3">
      <c r="A14">
        <v>12</v>
      </c>
      <c r="B14" t="s">
        <v>59</v>
      </c>
      <c r="C14">
        <v>13</v>
      </c>
    </row>
    <row r="15" spans="1:3">
      <c r="A15">
        <v>13</v>
      </c>
      <c r="B15" t="s">
        <v>58</v>
      </c>
      <c r="C15">
        <v>12</v>
      </c>
    </row>
    <row r="16" spans="1:3">
      <c r="A16">
        <v>14</v>
      </c>
      <c r="B16" t="s">
        <v>61</v>
      </c>
      <c r="C16">
        <v>11</v>
      </c>
    </row>
    <row r="17" spans="1:3">
      <c r="A17">
        <v>15</v>
      </c>
      <c r="B17" t="s">
        <v>62</v>
      </c>
      <c r="C17">
        <v>10</v>
      </c>
    </row>
    <row r="18" spans="1:3">
      <c r="A18">
        <v>16</v>
      </c>
      <c r="B18" t="s">
        <v>67</v>
      </c>
      <c r="C18">
        <v>9</v>
      </c>
    </row>
    <row r="19" spans="1:3">
      <c r="A19">
        <v>17</v>
      </c>
      <c r="B19" t="s">
        <v>63</v>
      </c>
      <c r="C19">
        <v>7</v>
      </c>
    </row>
    <row r="20" spans="1:3">
      <c r="A20">
        <v>18</v>
      </c>
      <c r="B20" t="s">
        <v>64</v>
      </c>
      <c r="C20">
        <v>5</v>
      </c>
    </row>
    <row r="21" spans="1:3">
      <c r="A21">
        <v>19</v>
      </c>
      <c r="B21" t="s">
        <v>65</v>
      </c>
      <c r="C21">
        <v>4</v>
      </c>
    </row>
    <row r="22" spans="1:3">
      <c r="A22">
        <v>20</v>
      </c>
      <c r="B22" t="s">
        <v>66</v>
      </c>
      <c r="C22">
        <v>3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4A33-6F7A-4D36-97F3-B944BF0475B4}">
  <dimension ref="A1:I15"/>
  <sheetViews>
    <sheetView workbookViewId="0">
      <selection activeCell="F2" sqref="F2:H12"/>
    </sheetView>
  </sheetViews>
  <sheetFormatPr defaultRowHeight="14.5"/>
  <cols>
    <col min="1" max="1" width="12" bestFit="1" customWidth="1"/>
    <col min="2" max="2" width="17.453125" bestFit="1" customWidth="1"/>
    <col min="3" max="3" width="18.179687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496</v>
      </c>
      <c r="B2" t="s">
        <v>65</v>
      </c>
      <c r="C2" t="s">
        <v>67</v>
      </c>
      <c r="D2">
        <v>1</v>
      </c>
      <c r="E2">
        <v>0</v>
      </c>
      <c r="F2">
        <v>1</v>
      </c>
      <c r="G2">
        <v>0</v>
      </c>
      <c r="H2" t="s">
        <v>125</v>
      </c>
      <c r="I2">
        <v>1</v>
      </c>
    </row>
    <row r="3" spans="1:9">
      <c r="A3" t="s">
        <v>434</v>
      </c>
      <c r="B3" t="s">
        <v>65</v>
      </c>
      <c r="C3" t="s">
        <v>476</v>
      </c>
      <c r="D3">
        <v>3</v>
      </c>
      <c r="E3">
        <v>2</v>
      </c>
      <c r="F3">
        <v>3</v>
      </c>
      <c r="G3">
        <v>2</v>
      </c>
      <c r="H3" t="s">
        <v>125</v>
      </c>
      <c r="I3">
        <v>2</v>
      </c>
    </row>
    <row r="4" spans="1:9">
      <c r="A4" t="s">
        <v>407</v>
      </c>
      <c r="B4" t="s">
        <v>292</v>
      </c>
      <c r="C4" t="s">
        <v>65</v>
      </c>
      <c r="D4">
        <v>1</v>
      </c>
      <c r="E4">
        <v>0</v>
      </c>
      <c r="F4">
        <v>0</v>
      </c>
      <c r="G4">
        <v>1</v>
      </c>
      <c r="H4" t="s">
        <v>126</v>
      </c>
      <c r="I4">
        <v>3</v>
      </c>
    </row>
    <row r="5" spans="1:9">
      <c r="A5" t="s">
        <v>361</v>
      </c>
      <c r="B5" t="s">
        <v>65</v>
      </c>
      <c r="C5" t="s">
        <v>62</v>
      </c>
      <c r="D5">
        <v>2</v>
      </c>
      <c r="E5">
        <v>3</v>
      </c>
      <c r="F5">
        <v>2</v>
      </c>
      <c r="G5">
        <v>3</v>
      </c>
      <c r="H5" t="s">
        <v>125</v>
      </c>
      <c r="I5">
        <v>4</v>
      </c>
    </row>
    <row r="6" spans="1:9">
      <c r="A6" t="s">
        <v>368</v>
      </c>
      <c r="B6" t="s">
        <v>46</v>
      </c>
      <c r="C6" t="s">
        <v>65</v>
      </c>
      <c r="D6">
        <v>3</v>
      </c>
      <c r="E6">
        <v>1</v>
      </c>
      <c r="F6">
        <v>1</v>
      </c>
      <c r="G6">
        <v>3</v>
      </c>
      <c r="H6" t="s">
        <v>126</v>
      </c>
      <c r="I6">
        <v>5</v>
      </c>
    </row>
    <row r="7" spans="1:9">
      <c r="A7" t="s">
        <v>369</v>
      </c>
      <c r="B7" t="s">
        <v>60</v>
      </c>
      <c r="C7" t="s">
        <v>65</v>
      </c>
      <c r="D7">
        <v>3</v>
      </c>
      <c r="E7">
        <v>1</v>
      </c>
      <c r="F7">
        <v>1</v>
      </c>
      <c r="G7">
        <v>3</v>
      </c>
      <c r="H7" t="s">
        <v>126</v>
      </c>
      <c r="I7">
        <v>6</v>
      </c>
    </row>
    <row r="8" spans="1:9">
      <c r="A8" t="s">
        <v>308</v>
      </c>
      <c r="B8" t="s">
        <v>65</v>
      </c>
      <c r="C8" t="s">
        <v>64</v>
      </c>
      <c r="D8">
        <v>1</v>
      </c>
      <c r="E8">
        <v>1</v>
      </c>
      <c r="F8">
        <v>1</v>
      </c>
      <c r="G8">
        <v>1</v>
      </c>
      <c r="H8" t="s">
        <v>125</v>
      </c>
      <c r="I8">
        <v>7</v>
      </c>
    </row>
    <row r="9" spans="1:9">
      <c r="A9" t="s">
        <v>309</v>
      </c>
      <c r="B9" t="s">
        <v>67</v>
      </c>
      <c r="C9" t="s">
        <v>65</v>
      </c>
      <c r="D9">
        <v>1</v>
      </c>
      <c r="E9">
        <v>1</v>
      </c>
      <c r="F9">
        <v>1</v>
      </c>
      <c r="G9">
        <v>1</v>
      </c>
      <c r="H9" t="s">
        <v>126</v>
      </c>
      <c r="I9">
        <v>8</v>
      </c>
    </row>
    <row r="10" spans="1:9">
      <c r="A10" t="s">
        <v>310</v>
      </c>
      <c r="B10" t="s">
        <v>65</v>
      </c>
      <c r="C10" t="s">
        <v>58</v>
      </c>
      <c r="D10">
        <v>0</v>
      </c>
      <c r="E10">
        <v>3</v>
      </c>
      <c r="F10">
        <v>0</v>
      </c>
      <c r="G10">
        <v>3</v>
      </c>
      <c r="H10" t="s">
        <v>125</v>
      </c>
      <c r="I10">
        <v>9</v>
      </c>
    </row>
    <row r="11" spans="1:9">
      <c r="A11" t="s">
        <v>311</v>
      </c>
      <c r="B11" t="s">
        <v>59</v>
      </c>
      <c r="C11" t="s">
        <v>65</v>
      </c>
      <c r="D11">
        <v>3</v>
      </c>
      <c r="E11">
        <v>1</v>
      </c>
      <c r="F11">
        <v>1</v>
      </c>
      <c r="G11">
        <v>3</v>
      </c>
      <c r="H11" t="s">
        <v>126</v>
      </c>
      <c r="I11">
        <v>10</v>
      </c>
    </row>
    <row r="12" spans="1:9">
      <c r="A12" t="s">
        <v>370</v>
      </c>
      <c r="B12" t="s">
        <v>376</v>
      </c>
      <c r="C12" t="s">
        <v>65</v>
      </c>
      <c r="D12">
        <v>3</v>
      </c>
      <c r="E12">
        <v>5</v>
      </c>
      <c r="F12">
        <v>5</v>
      </c>
      <c r="G12">
        <v>3</v>
      </c>
      <c r="H12" t="s">
        <v>126</v>
      </c>
      <c r="I12">
        <v>11</v>
      </c>
    </row>
    <row r="13" spans="1:9">
      <c r="A13" t="s">
        <v>312</v>
      </c>
      <c r="B13" t="s">
        <v>65</v>
      </c>
      <c r="C13" t="s">
        <v>55</v>
      </c>
      <c r="D13">
        <v>0</v>
      </c>
      <c r="E13">
        <v>1</v>
      </c>
      <c r="F13">
        <v>0</v>
      </c>
      <c r="G13">
        <v>1</v>
      </c>
      <c r="H13" t="s">
        <v>125</v>
      </c>
      <c r="I13">
        <v>12</v>
      </c>
    </row>
    <row r="14" spans="1:9">
      <c r="A14" t="s">
        <v>313</v>
      </c>
      <c r="B14" t="s">
        <v>53</v>
      </c>
      <c r="C14" t="s">
        <v>65</v>
      </c>
      <c r="D14">
        <v>1</v>
      </c>
      <c r="E14">
        <v>0</v>
      </c>
      <c r="F14">
        <v>0</v>
      </c>
      <c r="G14">
        <v>1</v>
      </c>
      <c r="H14" t="s">
        <v>126</v>
      </c>
      <c r="I14">
        <v>13</v>
      </c>
    </row>
    <row r="15" spans="1:9">
      <c r="A15" t="s">
        <v>377</v>
      </c>
      <c r="B15" t="s">
        <v>378</v>
      </c>
      <c r="C15" t="s">
        <v>65</v>
      </c>
      <c r="D15">
        <v>1</v>
      </c>
      <c r="E15">
        <v>1</v>
      </c>
      <c r="F15">
        <v>1</v>
      </c>
      <c r="G15">
        <v>1</v>
      </c>
      <c r="H15" t="s">
        <v>126</v>
      </c>
      <c r="I15">
        <v>14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E11E-5715-4702-8AA8-B04D86812FD8}">
  <dimension ref="A1:I15"/>
  <sheetViews>
    <sheetView workbookViewId="0">
      <selection activeCell="F2" sqref="F2:H12"/>
    </sheetView>
  </sheetViews>
  <sheetFormatPr defaultRowHeight="14.5"/>
  <cols>
    <col min="1" max="1" width="11.08984375" bestFit="1" customWidth="1"/>
    <col min="2" max="2" width="20.453125" bestFit="1" customWidth="1"/>
    <col min="3" max="3" width="24.453125" bestFit="1" customWidth="1"/>
    <col min="4" max="4" width="13" bestFit="1" customWidth="1"/>
    <col min="5" max="5" width="12.54296875" bestFit="1" customWidth="1"/>
    <col min="6" max="6" width="10.7265625" bestFit="1" customWidth="1"/>
    <col min="7" max="7" width="12.36328125" bestFit="1" customWidth="1"/>
    <col min="8" max="8" width="9.453125" bestFit="1" customWidth="1"/>
    <col min="9" max="9" width="7.7265625" bestFit="1" customWidth="1"/>
    <col min="10" max="10" width="8.26953125" bestFit="1" customWidth="1"/>
    <col min="11" max="11" width="9.816406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379</v>
      </c>
      <c r="I1" t="s">
        <v>320</v>
      </c>
    </row>
    <row r="2" spans="1:9">
      <c r="A2" t="s">
        <v>544</v>
      </c>
      <c r="B2" t="s">
        <v>286</v>
      </c>
      <c r="C2" t="s">
        <v>292</v>
      </c>
      <c r="D2">
        <v>2</v>
      </c>
      <c r="E2">
        <v>1</v>
      </c>
      <c r="F2">
        <v>2</v>
      </c>
      <c r="G2">
        <v>1</v>
      </c>
      <c r="H2" t="s">
        <v>125</v>
      </c>
      <c r="I2">
        <v>1</v>
      </c>
    </row>
    <row r="3" spans="1:9">
      <c r="A3" t="s">
        <v>496</v>
      </c>
      <c r="B3" t="s">
        <v>44</v>
      </c>
      <c r="C3" t="s">
        <v>286</v>
      </c>
      <c r="D3">
        <v>2</v>
      </c>
      <c r="E3">
        <v>1</v>
      </c>
      <c r="F3">
        <v>1</v>
      </c>
      <c r="G3">
        <v>2</v>
      </c>
      <c r="H3" t="s">
        <v>126</v>
      </c>
      <c r="I3">
        <v>2</v>
      </c>
    </row>
    <row r="4" spans="1:9">
      <c r="A4" t="s">
        <v>460</v>
      </c>
      <c r="B4" t="s">
        <v>286</v>
      </c>
      <c r="C4" t="s">
        <v>44</v>
      </c>
      <c r="D4">
        <v>2</v>
      </c>
      <c r="E4">
        <v>3</v>
      </c>
      <c r="F4">
        <v>2</v>
      </c>
      <c r="G4">
        <v>3</v>
      </c>
      <c r="H4" t="s">
        <v>125</v>
      </c>
      <c r="I4">
        <v>3</v>
      </c>
    </row>
    <row r="5" spans="1:9">
      <c r="A5" t="s">
        <v>407</v>
      </c>
      <c r="B5" t="s">
        <v>286</v>
      </c>
      <c r="C5" t="s">
        <v>66</v>
      </c>
      <c r="D5">
        <v>2</v>
      </c>
      <c r="E5">
        <v>2</v>
      </c>
      <c r="F5">
        <v>2</v>
      </c>
      <c r="G5">
        <v>2</v>
      </c>
      <c r="H5" t="s">
        <v>125</v>
      </c>
      <c r="I5">
        <v>4</v>
      </c>
    </row>
    <row r="6" spans="1:9">
      <c r="A6" t="s">
        <v>361</v>
      </c>
      <c r="B6" t="s">
        <v>53</v>
      </c>
      <c r="C6" t="s">
        <v>286</v>
      </c>
      <c r="D6">
        <v>0</v>
      </c>
      <c r="E6">
        <v>1</v>
      </c>
      <c r="F6">
        <v>1</v>
      </c>
      <c r="G6">
        <v>0</v>
      </c>
      <c r="H6" t="s">
        <v>126</v>
      </c>
      <c r="I6">
        <v>5</v>
      </c>
    </row>
    <row r="7" spans="1:9">
      <c r="A7" t="s">
        <v>304</v>
      </c>
      <c r="B7" t="s">
        <v>286</v>
      </c>
      <c r="C7" t="s">
        <v>287</v>
      </c>
      <c r="D7">
        <v>3</v>
      </c>
      <c r="E7">
        <v>2</v>
      </c>
      <c r="F7">
        <v>3</v>
      </c>
      <c r="G7">
        <v>2</v>
      </c>
      <c r="H7" t="s">
        <v>125</v>
      </c>
      <c r="I7">
        <v>6</v>
      </c>
    </row>
    <row r="8" spans="1:9">
      <c r="A8" t="s">
        <v>380</v>
      </c>
      <c r="B8" t="s">
        <v>51</v>
      </c>
      <c r="C8" t="s">
        <v>286</v>
      </c>
      <c r="D8">
        <v>4</v>
      </c>
      <c r="E8">
        <v>2</v>
      </c>
      <c r="F8">
        <v>2</v>
      </c>
      <c r="G8">
        <v>4</v>
      </c>
      <c r="H8" t="s">
        <v>126</v>
      </c>
      <c r="I8">
        <v>7</v>
      </c>
    </row>
    <row r="9" spans="1:9">
      <c r="A9" t="s">
        <v>381</v>
      </c>
      <c r="B9" t="s">
        <v>286</v>
      </c>
      <c r="C9" t="s">
        <v>55</v>
      </c>
      <c r="D9">
        <v>2</v>
      </c>
      <c r="E9">
        <v>2</v>
      </c>
      <c r="F9">
        <v>2</v>
      </c>
      <c r="G9">
        <v>2</v>
      </c>
      <c r="H9" t="s">
        <v>125</v>
      </c>
      <c r="I9">
        <v>8</v>
      </c>
    </row>
    <row r="10" spans="1:9">
      <c r="A10" t="s">
        <v>382</v>
      </c>
      <c r="B10" t="s">
        <v>286</v>
      </c>
      <c r="C10" t="s">
        <v>66</v>
      </c>
      <c r="D10">
        <v>3</v>
      </c>
      <c r="E10">
        <v>2</v>
      </c>
      <c r="F10">
        <v>3</v>
      </c>
      <c r="G10">
        <v>2</v>
      </c>
      <c r="H10" t="s">
        <v>125</v>
      </c>
      <c r="I10">
        <v>9</v>
      </c>
    </row>
    <row r="11" spans="1:9">
      <c r="A11" t="s">
        <v>310</v>
      </c>
      <c r="B11" t="s">
        <v>286</v>
      </c>
      <c r="C11" t="s">
        <v>64</v>
      </c>
      <c r="D11">
        <v>0</v>
      </c>
      <c r="E11">
        <v>0</v>
      </c>
      <c r="F11">
        <v>0</v>
      </c>
      <c r="G11">
        <v>0</v>
      </c>
      <c r="H11" t="s">
        <v>125</v>
      </c>
      <c r="I11">
        <v>10</v>
      </c>
    </row>
    <row r="12" spans="1:9">
      <c r="A12" t="s">
        <v>311</v>
      </c>
      <c r="B12" t="s">
        <v>46</v>
      </c>
      <c r="C12" t="s">
        <v>286</v>
      </c>
      <c r="D12">
        <v>1</v>
      </c>
      <c r="E12">
        <v>1</v>
      </c>
      <c r="F12">
        <v>1</v>
      </c>
      <c r="G12">
        <v>1</v>
      </c>
      <c r="H12" t="s">
        <v>126</v>
      </c>
      <c r="I12">
        <v>11</v>
      </c>
    </row>
    <row r="13" spans="1:9">
      <c r="A13" t="s">
        <v>383</v>
      </c>
      <c r="B13" t="s">
        <v>286</v>
      </c>
      <c r="C13" t="s">
        <v>343</v>
      </c>
      <c r="D13">
        <v>4</v>
      </c>
      <c r="E13">
        <v>0</v>
      </c>
      <c r="F13">
        <v>4</v>
      </c>
      <c r="G13">
        <v>0</v>
      </c>
      <c r="H13" t="s">
        <v>125</v>
      </c>
      <c r="I13">
        <v>12</v>
      </c>
    </row>
    <row r="14" spans="1:9">
      <c r="A14" t="s">
        <v>312</v>
      </c>
      <c r="B14" t="s">
        <v>286</v>
      </c>
      <c r="C14" t="s">
        <v>58</v>
      </c>
      <c r="D14">
        <v>2</v>
      </c>
      <c r="E14">
        <v>1</v>
      </c>
      <c r="F14">
        <v>2</v>
      </c>
      <c r="G14">
        <v>1</v>
      </c>
      <c r="H14" t="s">
        <v>125</v>
      </c>
      <c r="I14">
        <v>13</v>
      </c>
    </row>
    <row r="15" spans="1:9">
      <c r="A15" t="s">
        <v>313</v>
      </c>
      <c r="B15" t="s">
        <v>67</v>
      </c>
      <c r="C15" t="s">
        <v>286</v>
      </c>
      <c r="D15">
        <v>0</v>
      </c>
      <c r="E15">
        <v>3</v>
      </c>
      <c r="F15">
        <v>3</v>
      </c>
      <c r="G15">
        <v>0</v>
      </c>
      <c r="H15" t="s">
        <v>126</v>
      </c>
      <c r="I15">
        <v>14</v>
      </c>
    </row>
  </sheetData>
  <phoneticPr fontId="29" type="noConversion"/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6CA26-5AF6-4CE1-A435-C6A9327815EC}">
  <dimension ref="A1:I18"/>
  <sheetViews>
    <sheetView workbookViewId="0">
      <selection activeCell="F2" sqref="F2:H12"/>
    </sheetView>
  </sheetViews>
  <sheetFormatPr defaultRowHeight="14.5"/>
  <cols>
    <col min="1" max="1" width="12" bestFit="1" customWidth="1"/>
    <col min="2" max="2" width="18.453125" bestFit="1" customWidth="1"/>
    <col min="3" max="3" width="14.816406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518</v>
      </c>
      <c r="B2" t="s">
        <v>526</v>
      </c>
      <c r="C2" t="s">
        <v>348</v>
      </c>
      <c r="D2">
        <v>1</v>
      </c>
      <c r="E2">
        <v>2</v>
      </c>
      <c r="F2">
        <v>2</v>
      </c>
      <c r="G2">
        <v>1</v>
      </c>
      <c r="H2" t="s">
        <v>126</v>
      </c>
      <c r="I2">
        <v>1</v>
      </c>
    </row>
    <row r="3" spans="1:9">
      <c r="A3" t="s">
        <v>503</v>
      </c>
      <c r="B3" t="s">
        <v>348</v>
      </c>
      <c r="C3" t="s">
        <v>243</v>
      </c>
      <c r="D3">
        <v>1</v>
      </c>
      <c r="E3">
        <v>1</v>
      </c>
      <c r="F3">
        <v>1</v>
      </c>
      <c r="G3">
        <v>1</v>
      </c>
      <c r="H3" t="s">
        <v>125</v>
      </c>
      <c r="I3">
        <v>2</v>
      </c>
    </row>
    <row r="4" spans="1:9">
      <c r="A4" t="s">
        <v>492</v>
      </c>
      <c r="B4" t="s">
        <v>283</v>
      </c>
      <c r="C4" t="s">
        <v>348</v>
      </c>
      <c r="D4">
        <v>0</v>
      </c>
      <c r="E4">
        <v>0</v>
      </c>
      <c r="F4">
        <v>0</v>
      </c>
      <c r="G4">
        <v>0</v>
      </c>
      <c r="H4" t="s">
        <v>126</v>
      </c>
      <c r="I4">
        <v>3</v>
      </c>
    </row>
    <row r="5" spans="1:9">
      <c r="A5" t="s">
        <v>412</v>
      </c>
      <c r="B5" t="s">
        <v>348</v>
      </c>
      <c r="C5" t="s">
        <v>431</v>
      </c>
      <c r="D5">
        <v>1</v>
      </c>
      <c r="E5">
        <v>0</v>
      </c>
      <c r="F5">
        <v>1</v>
      </c>
      <c r="G5">
        <v>0</v>
      </c>
      <c r="H5" t="s">
        <v>125</v>
      </c>
      <c r="I5">
        <v>4</v>
      </c>
    </row>
    <row r="6" spans="1:9">
      <c r="A6" t="s">
        <v>361</v>
      </c>
      <c r="B6" t="s">
        <v>348</v>
      </c>
      <c r="C6" t="s">
        <v>279</v>
      </c>
      <c r="D6">
        <v>4</v>
      </c>
      <c r="E6">
        <v>1</v>
      </c>
      <c r="F6">
        <v>4</v>
      </c>
      <c r="G6">
        <v>1</v>
      </c>
      <c r="H6" t="s">
        <v>125</v>
      </c>
      <c r="I6">
        <v>5</v>
      </c>
    </row>
    <row r="7" spans="1:9">
      <c r="A7" t="s">
        <v>304</v>
      </c>
      <c r="B7" t="s">
        <v>337</v>
      </c>
      <c r="C7" t="s">
        <v>348</v>
      </c>
      <c r="D7">
        <v>2</v>
      </c>
      <c r="E7">
        <v>1</v>
      </c>
      <c r="F7">
        <v>1</v>
      </c>
      <c r="G7">
        <v>2</v>
      </c>
      <c r="H7" t="s">
        <v>126</v>
      </c>
      <c r="I7">
        <v>6</v>
      </c>
    </row>
    <row r="8" spans="1:9">
      <c r="A8" t="s">
        <v>414</v>
      </c>
      <c r="B8" t="s">
        <v>348</v>
      </c>
      <c r="C8" t="s">
        <v>422</v>
      </c>
      <c r="D8">
        <v>2</v>
      </c>
      <c r="E8">
        <v>0</v>
      </c>
      <c r="F8">
        <v>2</v>
      </c>
      <c r="G8">
        <v>0</v>
      </c>
      <c r="H8" t="s">
        <v>125</v>
      </c>
      <c r="I8">
        <v>7</v>
      </c>
    </row>
    <row r="9" spans="1:9">
      <c r="A9" t="s">
        <v>306</v>
      </c>
      <c r="B9" t="s">
        <v>348</v>
      </c>
      <c r="C9" t="s">
        <v>242</v>
      </c>
      <c r="D9">
        <v>1</v>
      </c>
      <c r="E9">
        <v>1</v>
      </c>
      <c r="F9">
        <v>1</v>
      </c>
      <c r="G9">
        <v>1</v>
      </c>
      <c r="H9" t="s">
        <v>125</v>
      </c>
      <c r="I9">
        <v>8</v>
      </c>
    </row>
    <row r="10" spans="1:9">
      <c r="A10" t="s">
        <v>423</v>
      </c>
      <c r="B10" t="s">
        <v>409</v>
      </c>
      <c r="C10" t="s">
        <v>348</v>
      </c>
      <c r="D10">
        <v>1</v>
      </c>
      <c r="E10">
        <v>1</v>
      </c>
      <c r="F10">
        <v>1</v>
      </c>
      <c r="G10">
        <v>1</v>
      </c>
      <c r="H10" t="s">
        <v>126</v>
      </c>
      <c r="I10">
        <v>9</v>
      </c>
    </row>
    <row r="11" spans="1:9">
      <c r="A11" t="s">
        <v>381</v>
      </c>
      <c r="B11" t="s">
        <v>348</v>
      </c>
      <c r="C11" t="s">
        <v>281</v>
      </c>
      <c r="D11">
        <v>3</v>
      </c>
      <c r="E11">
        <v>1</v>
      </c>
      <c r="F11">
        <v>3</v>
      </c>
      <c r="G11">
        <v>1</v>
      </c>
      <c r="H11" t="s">
        <v>125</v>
      </c>
      <c r="I11">
        <v>10</v>
      </c>
    </row>
    <row r="12" spans="1:9">
      <c r="A12" t="s">
        <v>400</v>
      </c>
      <c r="B12" t="s">
        <v>284</v>
      </c>
      <c r="C12" t="s">
        <v>348</v>
      </c>
      <c r="D12">
        <v>0</v>
      </c>
      <c r="E12">
        <v>2</v>
      </c>
      <c r="F12">
        <v>2</v>
      </c>
      <c r="G12">
        <v>0</v>
      </c>
      <c r="H12" t="s">
        <v>126</v>
      </c>
      <c r="I12">
        <v>11</v>
      </c>
    </row>
    <row r="13" spans="1:9">
      <c r="A13" t="s">
        <v>394</v>
      </c>
      <c r="B13" t="s">
        <v>241</v>
      </c>
      <c r="C13" t="s">
        <v>348</v>
      </c>
      <c r="D13">
        <v>2</v>
      </c>
      <c r="E13">
        <v>3</v>
      </c>
      <c r="F13">
        <v>3</v>
      </c>
      <c r="G13">
        <v>2</v>
      </c>
      <c r="H13" t="s">
        <v>126</v>
      </c>
      <c r="I13">
        <v>12</v>
      </c>
    </row>
    <row r="14" spans="1:9">
      <c r="A14" t="s">
        <v>311</v>
      </c>
      <c r="B14" t="s">
        <v>348</v>
      </c>
      <c r="C14" t="s">
        <v>338</v>
      </c>
      <c r="D14">
        <v>0</v>
      </c>
      <c r="E14">
        <v>1</v>
      </c>
      <c r="F14">
        <v>0</v>
      </c>
      <c r="G14">
        <v>1</v>
      </c>
      <c r="H14" t="s">
        <v>125</v>
      </c>
      <c r="I14">
        <v>13</v>
      </c>
    </row>
    <row r="15" spans="1:9">
      <c r="A15" t="s">
        <v>370</v>
      </c>
      <c r="B15" t="s">
        <v>348</v>
      </c>
      <c r="C15" t="s">
        <v>347</v>
      </c>
      <c r="D15">
        <v>1</v>
      </c>
      <c r="E15">
        <v>0</v>
      </c>
      <c r="F15">
        <v>1</v>
      </c>
      <c r="G15">
        <v>0</v>
      </c>
      <c r="H15" t="s">
        <v>125</v>
      </c>
      <c r="I15">
        <v>14</v>
      </c>
    </row>
    <row r="16" spans="1:9">
      <c r="A16" t="s">
        <v>312</v>
      </c>
      <c r="B16" t="s">
        <v>276</v>
      </c>
      <c r="C16" t="s">
        <v>348</v>
      </c>
      <c r="D16">
        <v>2</v>
      </c>
      <c r="E16">
        <v>1</v>
      </c>
      <c r="F16">
        <v>1</v>
      </c>
      <c r="G16">
        <v>2</v>
      </c>
      <c r="H16" t="s">
        <v>126</v>
      </c>
      <c r="I16">
        <v>15</v>
      </c>
    </row>
    <row r="17" spans="1:9">
      <c r="A17" t="s">
        <v>432</v>
      </c>
      <c r="B17" t="s">
        <v>348</v>
      </c>
      <c r="C17" t="s">
        <v>277</v>
      </c>
      <c r="D17">
        <v>1</v>
      </c>
      <c r="E17">
        <v>1</v>
      </c>
      <c r="F17">
        <v>1</v>
      </c>
      <c r="G17">
        <v>1</v>
      </c>
      <c r="H17" t="s">
        <v>125</v>
      </c>
      <c r="I17">
        <v>16</v>
      </c>
    </row>
    <row r="18" spans="1:9">
      <c r="A18" t="s">
        <v>314</v>
      </c>
      <c r="B18" t="s">
        <v>433</v>
      </c>
      <c r="C18" t="s">
        <v>348</v>
      </c>
      <c r="D18">
        <v>4</v>
      </c>
      <c r="E18">
        <v>0</v>
      </c>
      <c r="F18">
        <v>0</v>
      </c>
      <c r="G18">
        <v>4</v>
      </c>
      <c r="H18" t="s">
        <v>126</v>
      </c>
      <c r="I18">
        <v>17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582EB-44A4-414C-B096-DA3EC4E5B12D}">
  <dimension ref="A1:I25"/>
  <sheetViews>
    <sheetView workbookViewId="0">
      <selection activeCell="F2" sqref="F2:H12"/>
    </sheetView>
  </sheetViews>
  <sheetFormatPr defaultRowHeight="14.5"/>
  <cols>
    <col min="1" max="1" width="11.81640625" bestFit="1" customWidth="1"/>
    <col min="2" max="3" width="18.179687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518</v>
      </c>
      <c r="B2" t="s">
        <v>243</v>
      </c>
      <c r="C2" t="s">
        <v>522</v>
      </c>
      <c r="D2">
        <v>2</v>
      </c>
      <c r="E2">
        <v>1</v>
      </c>
      <c r="F2">
        <v>2</v>
      </c>
      <c r="G2">
        <v>1</v>
      </c>
      <c r="H2" t="s">
        <v>125</v>
      </c>
      <c r="I2">
        <v>1</v>
      </c>
    </row>
    <row r="3" spans="1:9">
      <c r="A3" t="s">
        <v>503</v>
      </c>
      <c r="B3" t="s">
        <v>348</v>
      </c>
      <c r="C3" t="s">
        <v>243</v>
      </c>
      <c r="D3">
        <v>1</v>
      </c>
      <c r="E3">
        <v>1</v>
      </c>
      <c r="F3">
        <v>1</v>
      </c>
      <c r="G3">
        <v>1</v>
      </c>
      <c r="H3" t="s">
        <v>126</v>
      </c>
      <c r="I3">
        <v>2</v>
      </c>
    </row>
    <row r="4" spans="1:9">
      <c r="A4" t="s">
        <v>480</v>
      </c>
      <c r="B4" t="s">
        <v>483</v>
      </c>
      <c r="C4" t="s">
        <v>243</v>
      </c>
      <c r="D4">
        <v>1</v>
      </c>
      <c r="E4">
        <v>6</v>
      </c>
      <c r="F4">
        <v>6</v>
      </c>
      <c r="G4">
        <v>1</v>
      </c>
      <c r="H4" t="s">
        <v>126</v>
      </c>
      <c r="I4">
        <v>3</v>
      </c>
    </row>
    <row r="5" spans="1:9">
      <c r="A5" t="s">
        <v>455</v>
      </c>
      <c r="B5" t="s">
        <v>243</v>
      </c>
      <c r="C5" t="s">
        <v>338</v>
      </c>
      <c r="D5">
        <v>1</v>
      </c>
      <c r="E5">
        <v>0</v>
      </c>
      <c r="F5">
        <v>1</v>
      </c>
      <c r="G5">
        <v>0</v>
      </c>
      <c r="H5" t="s">
        <v>125</v>
      </c>
      <c r="I5">
        <v>4</v>
      </c>
    </row>
    <row r="6" spans="1:9">
      <c r="A6" t="s">
        <v>412</v>
      </c>
      <c r="B6" t="s">
        <v>243</v>
      </c>
      <c r="C6" t="s">
        <v>484</v>
      </c>
      <c r="D6">
        <v>1</v>
      </c>
      <c r="E6">
        <v>1</v>
      </c>
      <c r="F6">
        <v>1</v>
      </c>
      <c r="G6">
        <v>1</v>
      </c>
      <c r="H6" t="s">
        <v>125</v>
      </c>
      <c r="I6">
        <v>5</v>
      </c>
    </row>
    <row r="7" spans="1:9">
      <c r="A7" t="s">
        <v>361</v>
      </c>
      <c r="B7" t="s">
        <v>336</v>
      </c>
      <c r="C7" t="s">
        <v>243</v>
      </c>
      <c r="D7">
        <v>1</v>
      </c>
      <c r="E7">
        <v>2</v>
      </c>
      <c r="F7">
        <v>2</v>
      </c>
      <c r="G7">
        <v>1</v>
      </c>
      <c r="H7" t="s">
        <v>126</v>
      </c>
      <c r="I7">
        <v>6</v>
      </c>
    </row>
    <row r="8" spans="1:9">
      <c r="A8" t="s">
        <v>304</v>
      </c>
      <c r="B8" t="s">
        <v>242</v>
      </c>
      <c r="C8" t="s">
        <v>243</v>
      </c>
      <c r="D8">
        <v>1</v>
      </c>
      <c r="E8">
        <v>0</v>
      </c>
      <c r="F8">
        <v>0</v>
      </c>
      <c r="G8">
        <v>1</v>
      </c>
      <c r="H8" t="s">
        <v>126</v>
      </c>
      <c r="I8">
        <v>7</v>
      </c>
    </row>
    <row r="9" spans="1:9">
      <c r="A9" t="s">
        <v>414</v>
      </c>
      <c r="B9" t="s">
        <v>485</v>
      </c>
      <c r="C9" t="s">
        <v>243</v>
      </c>
      <c r="D9">
        <v>1</v>
      </c>
      <c r="E9">
        <v>0</v>
      </c>
      <c r="F9">
        <v>0</v>
      </c>
      <c r="G9">
        <v>1</v>
      </c>
      <c r="H9" t="s">
        <v>126</v>
      </c>
      <c r="I9">
        <v>8</v>
      </c>
    </row>
    <row r="10" spans="1:9">
      <c r="A10" t="s">
        <v>306</v>
      </c>
      <c r="B10" t="s">
        <v>243</v>
      </c>
      <c r="C10" t="s">
        <v>279</v>
      </c>
      <c r="D10">
        <v>1</v>
      </c>
      <c r="E10">
        <v>0</v>
      </c>
      <c r="F10">
        <v>1</v>
      </c>
      <c r="G10">
        <v>0</v>
      </c>
      <c r="H10" t="s">
        <v>125</v>
      </c>
      <c r="I10">
        <v>9</v>
      </c>
    </row>
    <row r="11" spans="1:9">
      <c r="A11" t="s">
        <v>423</v>
      </c>
      <c r="B11" t="s">
        <v>241</v>
      </c>
      <c r="C11" t="s">
        <v>243</v>
      </c>
      <c r="D11">
        <v>1</v>
      </c>
      <c r="E11">
        <v>1</v>
      </c>
      <c r="F11">
        <v>1</v>
      </c>
      <c r="G11">
        <v>1</v>
      </c>
      <c r="H11" t="s">
        <v>126</v>
      </c>
      <c r="I11">
        <v>10</v>
      </c>
    </row>
    <row r="12" spans="1:9">
      <c r="A12" t="s">
        <v>486</v>
      </c>
      <c r="B12" t="s">
        <v>243</v>
      </c>
      <c r="C12" t="s">
        <v>283</v>
      </c>
      <c r="D12">
        <v>1</v>
      </c>
      <c r="E12">
        <v>2</v>
      </c>
      <c r="F12">
        <v>1</v>
      </c>
      <c r="G12">
        <v>2</v>
      </c>
      <c r="H12" t="s">
        <v>125</v>
      </c>
      <c r="I12">
        <v>11</v>
      </c>
    </row>
    <row r="13" spans="1:9">
      <c r="A13" t="s">
        <v>382</v>
      </c>
      <c r="B13" t="s">
        <v>243</v>
      </c>
      <c r="C13" t="s">
        <v>277</v>
      </c>
      <c r="D13">
        <v>2</v>
      </c>
      <c r="E13">
        <v>1</v>
      </c>
      <c r="F13">
        <v>2</v>
      </c>
      <c r="G13">
        <v>1</v>
      </c>
      <c r="H13" t="s">
        <v>125</v>
      </c>
      <c r="I13">
        <v>12</v>
      </c>
    </row>
    <row r="14" spans="1:9">
      <c r="A14" t="s">
        <v>465</v>
      </c>
      <c r="B14" t="s">
        <v>243</v>
      </c>
      <c r="C14" t="s">
        <v>284</v>
      </c>
      <c r="D14">
        <v>2</v>
      </c>
      <c r="E14">
        <v>0</v>
      </c>
      <c r="F14">
        <v>2</v>
      </c>
      <c r="G14">
        <v>0</v>
      </c>
      <c r="H14" t="s">
        <v>125</v>
      </c>
      <c r="I14">
        <v>13</v>
      </c>
    </row>
    <row r="15" spans="1:9">
      <c r="A15" t="s">
        <v>395</v>
      </c>
      <c r="B15" t="s">
        <v>278</v>
      </c>
      <c r="C15" t="s">
        <v>243</v>
      </c>
      <c r="D15">
        <v>2</v>
      </c>
      <c r="E15">
        <v>0</v>
      </c>
      <c r="F15">
        <v>0</v>
      </c>
      <c r="G15">
        <v>2</v>
      </c>
      <c r="H15" t="s">
        <v>126</v>
      </c>
      <c r="I15">
        <v>14</v>
      </c>
    </row>
    <row r="16" spans="1:9">
      <c r="A16" t="s">
        <v>457</v>
      </c>
      <c r="B16" t="s">
        <v>243</v>
      </c>
      <c r="C16" t="s">
        <v>487</v>
      </c>
      <c r="D16">
        <v>3</v>
      </c>
      <c r="E16">
        <v>0</v>
      </c>
      <c r="F16">
        <v>3</v>
      </c>
      <c r="G16">
        <v>0</v>
      </c>
      <c r="H16" t="s">
        <v>125</v>
      </c>
      <c r="I16">
        <v>15</v>
      </c>
    </row>
    <row r="17" spans="1:9">
      <c r="A17" t="s">
        <v>371</v>
      </c>
      <c r="B17" t="s">
        <v>275</v>
      </c>
      <c r="C17" t="s">
        <v>243</v>
      </c>
      <c r="D17">
        <v>0</v>
      </c>
      <c r="E17">
        <v>0</v>
      </c>
      <c r="F17">
        <v>0</v>
      </c>
      <c r="G17">
        <v>0</v>
      </c>
      <c r="H17" t="s">
        <v>126</v>
      </c>
      <c r="I17">
        <v>16</v>
      </c>
    </row>
    <row r="18" spans="1:9">
      <c r="A18" t="s">
        <v>488</v>
      </c>
      <c r="B18" t="s">
        <v>487</v>
      </c>
      <c r="C18" t="s">
        <v>243</v>
      </c>
      <c r="D18">
        <v>0</v>
      </c>
      <c r="E18">
        <v>2</v>
      </c>
      <c r="F18">
        <v>2</v>
      </c>
      <c r="G18">
        <v>0</v>
      </c>
      <c r="H18" t="s">
        <v>126</v>
      </c>
      <c r="I18">
        <v>17</v>
      </c>
    </row>
    <row r="19" spans="1:9">
      <c r="A19" t="s">
        <v>432</v>
      </c>
      <c r="B19" t="s">
        <v>243</v>
      </c>
      <c r="C19" t="s">
        <v>337</v>
      </c>
      <c r="D19">
        <v>1</v>
      </c>
      <c r="E19">
        <v>1</v>
      </c>
      <c r="F19">
        <v>1</v>
      </c>
      <c r="G19">
        <v>1</v>
      </c>
      <c r="H19" t="s">
        <v>125</v>
      </c>
      <c r="I19">
        <v>18</v>
      </c>
    </row>
    <row r="20" spans="1:9">
      <c r="A20" t="s">
        <v>314</v>
      </c>
      <c r="B20" t="s">
        <v>404</v>
      </c>
      <c r="C20" t="s">
        <v>243</v>
      </c>
      <c r="D20">
        <v>1</v>
      </c>
      <c r="E20">
        <v>1</v>
      </c>
      <c r="F20">
        <v>1</v>
      </c>
      <c r="G20">
        <v>1</v>
      </c>
      <c r="H20" t="s">
        <v>126</v>
      </c>
      <c r="I20">
        <v>19</v>
      </c>
    </row>
    <row r="21" spans="1:9">
      <c r="A21" t="s">
        <v>377</v>
      </c>
      <c r="B21" t="s">
        <v>489</v>
      </c>
      <c r="C21" t="s">
        <v>243</v>
      </c>
      <c r="D21">
        <v>0</v>
      </c>
      <c r="E21">
        <v>0</v>
      </c>
      <c r="F21">
        <v>0</v>
      </c>
      <c r="G21">
        <v>0</v>
      </c>
      <c r="H21" t="s">
        <v>126</v>
      </c>
      <c r="I21">
        <v>20</v>
      </c>
    </row>
    <row r="22" spans="1:9">
      <c r="A22" t="s">
        <v>389</v>
      </c>
      <c r="B22" t="s">
        <v>243</v>
      </c>
      <c r="C22" t="s">
        <v>490</v>
      </c>
      <c r="D22">
        <v>4</v>
      </c>
      <c r="E22">
        <v>1</v>
      </c>
      <c r="F22">
        <v>4</v>
      </c>
      <c r="G22">
        <v>1</v>
      </c>
      <c r="H22" t="s">
        <v>125</v>
      </c>
      <c r="I22">
        <v>21</v>
      </c>
    </row>
    <row r="23" spans="1:9">
      <c r="A23" t="s">
        <v>405</v>
      </c>
      <c r="B23" t="s">
        <v>58</v>
      </c>
      <c r="C23" t="s">
        <v>243</v>
      </c>
      <c r="D23">
        <v>3</v>
      </c>
      <c r="E23">
        <v>2</v>
      </c>
      <c r="F23">
        <v>2</v>
      </c>
      <c r="G23">
        <v>3</v>
      </c>
      <c r="H23" t="s">
        <v>126</v>
      </c>
      <c r="I23">
        <v>22</v>
      </c>
    </row>
    <row r="24" spans="1:9">
      <c r="A24" t="s">
        <v>451</v>
      </c>
      <c r="B24" t="s">
        <v>44</v>
      </c>
      <c r="C24" t="s">
        <v>243</v>
      </c>
      <c r="D24">
        <v>1</v>
      </c>
      <c r="E24">
        <v>0</v>
      </c>
      <c r="F24">
        <v>0</v>
      </c>
      <c r="G24">
        <v>1</v>
      </c>
      <c r="H24" t="s">
        <v>126</v>
      </c>
      <c r="I24">
        <v>23</v>
      </c>
    </row>
    <row r="25" spans="1:9">
      <c r="A25" t="s">
        <v>373</v>
      </c>
      <c r="B25" t="s">
        <v>243</v>
      </c>
      <c r="C25" t="s">
        <v>491</v>
      </c>
      <c r="D25">
        <v>5</v>
      </c>
      <c r="E25">
        <v>1</v>
      </c>
      <c r="F25">
        <v>5</v>
      </c>
      <c r="G25">
        <v>1</v>
      </c>
      <c r="H25" t="s">
        <v>125</v>
      </c>
      <c r="I25">
        <v>24</v>
      </c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32AA-6101-48C3-829F-81B5CB658AE6}">
  <dimension ref="A1:I13"/>
  <sheetViews>
    <sheetView workbookViewId="0"/>
  </sheetViews>
  <sheetFormatPr defaultRowHeight="14.5"/>
  <cols>
    <col min="1" max="1" width="12" bestFit="1" customWidth="1"/>
    <col min="2" max="2" width="14.81640625" bestFit="1" customWidth="1"/>
    <col min="3" max="3" width="14.5429687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480</v>
      </c>
      <c r="B2" t="s">
        <v>481</v>
      </c>
      <c r="C2" t="s">
        <v>279</v>
      </c>
      <c r="D2">
        <v>0</v>
      </c>
      <c r="E2">
        <v>4</v>
      </c>
      <c r="F2">
        <v>4</v>
      </c>
      <c r="G2">
        <v>0</v>
      </c>
      <c r="H2" t="s">
        <v>126</v>
      </c>
      <c r="I2">
        <v>1</v>
      </c>
    </row>
    <row r="3" spans="1:9">
      <c r="A3" t="s">
        <v>482</v>
      </c>
      <c r="B3" t="s">
        <v>279</v>
      </c>
      <c r="C3" t="s">
        <v>242</v>
      </c>
      <c r="D3">
        <v>0</v>
      </c>
      <c r="E3">
        <v>2</v>
      </c>
      <c r="F3">
        <v>0</v>
      </c>
      <c r="G3">
        <v>2</v>
      </c>
      <c r="H3" t="s">
        <v>125</v>
      </c>
      <c r="I3">
        <v>2</v>
      </c>
    </row>
    <row r="4" spans="1:9">
      <c r="A4" t="s">
        <v>361</v>
      </c>
      <c r="B4" t="s">
        <v>348</v>
      </c>
      <c r="C4" t="s">
        <v>279</v>
      </c>
      <c r="D4">
        <v>4</v>
      </c>
      <c r="E4">
        <v>1</v>
      </c>
      <c r="F4">
        <v>1</v>
      </c>
      <c r="G4">
        <v>4</v>
      </c>
      <c r="H4" t="s">
        <v>126</v>
      </c>
      <c r="I4">
        <v>3</v>
      </c>
    </row>
    <row r="5" spans="1:9">
      <c r="A5" t="s">
        <v>368</v>
      </c>
      <c r="B5" t="s">
        <v>279</v>
      </c>
      <c r="C5" t="s">
        <v>283</v>
      </c>
      <c r="D5">
        <v>2</v>
      </c>
      <c r="E5">
        <v>1</v>
      </c>
      <c r="F5">
        <v>2</v>
      </c>
      <c r="G5">
        <v>1</v>
      </c>
      <c r="H5" t="s">
        <v>125</v>
      </c>
      <c r="I5">
        <v>4</v>
      </c>
    </row>
    <row r="6" spans="1:9">
      <c r="A6" t="s">
        <v>306</v>
      </c>
      <c r="B6" t="s">
        <v>243</v>
      </c>
      <c r="C6" t="s">
        <v>279</v>
      </c>
      <c r="D6">
        <v>1</v>
      </c>
      <c r="E6">
        <v>0</v>
      </c>
      <c r="F6">
        <v>0</v>
      </c>
      <c r="G6">
        <v>1</v>
      </c>
      <c r="H6" t="s">
        <v>126</v>
      </c>
      <c r="I6">
        <v>5</v>
      </c>
    </row>
    <row r="7" spans="1:9">
      <c r="A7" t="s">
        <v>423</v>
      </c>
      <c r="B7" t="s">
        <v>279</v>
      </c>
      <c r="C7" t="s">
        <v>335</v>
      </c>
      <c r="D7">
        <v>1</v>
      </c>
      <c r="E7">
        <v>2</v>
      </c>
      <c r="F7">
        <v>1</v>
      </c>
      <c r="G7">
        <v>2</v>
      </c>
      <c r="H7" t="s">
        <v>125</v>
      </c>
      <c r="I7">
        <v>6</v>
      </c>
    </row>
    <row r="8" spans="1:9">
      <c r="A8" t="s">
        <v>308</v>
      </c>
      <c r="B8" t="s">
        <v>278</v>
      </c>
      <c r="C8" t="s">
        <v>279</v>
      </c>
      <c r="D8">
        <v>4</v>
      </c>
      <c r="E8">
        <v>1</v>
      </c>
      <c r="F8">
        <v>1</v>
      </c>
      <c r="G8">
        <v>4</v>
      </c>
      <c r="H8" t="s">
        <v>126</v>
      </c>
      <c r="I8">
        <v>7</v>
      </c>
    </row>
    <row r="9" spans="1:9">
      <c r="A9" t="s">
        <v>310</v>
      </c>
      <c r="B9" t="s">
        <v>279</v>
      </c>
      <c r="C9" t="s">
        <v>275</v>
      </c>
      <c r="D9">
        <v>3</v>
      </c>
      <c r="E9">
        <v>2</v>
      </c>
      <c r="F9">
        <v>3</v>
      </c>
      <c r="G9">
        <v>2</v>
      </c>
      <c r="H9" t="s">
        <v>125</v>
      </c>
      <c r="I9">
        <v>8</v>
      </c>
    </row>
    <row r="10" spans="1:9">
      <c r="A10" t="s">
        <v>311</v>
      </c>
      <c r="B10" t="s">
        <v>279</v>
      </c>
      <c r="C10" t="s">
        <v>252</v>
      </c>
      <c r="D10">
        <v>2</v>
      </c>
      <c r="E10">
        <v>1</v>
      </c>
      <c r="F10">
        <v>2</v>
      </c>
      <c r="G10">
        <v>1</v>
      </c>
      <c r="H10" t="s">
        <v>125</v>
      </c>
      <c r="I10">
        <v>9</v>
      </c>
    </row>
    <row r="11" spans="1:9">
      <c r="A11" t="s">
        <v>370</v>
      </c>
      <c r="B11" t="s">
        <v>338</v>
      </c>
      <c r="C11" t="s">
        <v>279</v>
      </c>
      <c r="D11">
        <v>0</v>
      </c>
      <c r="E11">
        <v>0</v>
      </c>
      <c r="F11">
        <v>0</v>
      </c>
      <c r="G11">
        <v>0</v>
      </c>
      <c r="H11" t="s">
        <v>126</v>
      </c>
      <c r="I11">
        <v>10</v>
      </c>
    </row>
    <row r="12" spans="1:9">
      <c r="A12" t="s">
        <v>312</v>
      </c>
      <c r="B12" t="s">
        <v>279</v>
      </c>
      <c r="C12" t="s">
        <v>280</v>
      </c>
      <c r="D12">
        <v>0</v>
      </c>
      <c r="E12">
        <v>1</v>
      </c>
      <c r="F12">
        <v>0</v>
      </c>
      <c r="G12">
        <v>1</v>
      </c>
      <c r="H12" t="s">
        <v>125</v>
      </c>
      <c r="I12">
        <v>11</v>
      </c>
    </row>
    <row r="13" spans="1:9">
      <c r="A13" t="s">
        <v>425</v>
      </c>
      <c r="B13" t="s">
        <v>282</v>
      </c>
      <c r="C13" t="s">
        <v>279</v>
      </c>
      <c r="D13">
        <v>1</v>
      </c>
      <c r="E13">
        <v>0</v>
      </c>
      <c r="F13">
        <v>0</v>
      </c>
      <c r="G13">
        <v>1</v>
      </c>
      <c r="H13" t="s">
        <v>126</v>
      </c>
      <c r="I13">
        <v>12</v>
      </c>
    </row>
  </sheetData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E27E0-0FAD-4427-BA0A-A0FEF7F09A5E}">
  <dimension ref="A1:I21"/>
  <sheetViews>
    <sheetView workbookViewId="0">
      <selection activeCell="F2" sqref="F2:H12"/>
    </sheetView>
  </sheetViews>
  <sheetFormatPr defaultRowHeight="14.5"/>
  <cols>
    <col min="1" max="1" width="11.81640625" bestFit="1" customWidth="1"/>
    <col min="2" max="2" width="16.7265625" bestFit="1" customWidth="1"/>
    <col min="3" max="3" width="15.453125" bestFit="1" customWidth="1"/>
    <col min="4" max="4" width="13.7265625" bestFit="1" customWidth="1"/>
    <col min="5" max="5" width="13.26953125" bestFit="1" customWidth="1"/>
    <col min="6" max="6" width="11.453125" bestFit="1" customWidth="1"/>
    <col min="7" max="7" width="13" bestFit="1" customWidth="1"/>
    <col min="8" max="8" width="10.54296875" bestFit="1" customWidth="1"/>
    <col min="9" max="9" width="8.26953125" bestFit="1" customWidth="1"/>
  </cols>
  <sheetData>
    <row r="1" spans="1:9">
      <c r="A1" t="s">
        <v>301</v>
      </c>
      <c r="B1" t="s">
        <v>238</v>
      </c>
      <c r="C1" t="s">
        <v>239</v>
      </c>
      <c r="D1" t="s">
        <v>302</v>
      </c>
      <c r="E1" t="s">
        <v>303</v>
      </c>
      <c r="F1" t="s">
        <v>285</v>
      </c>
      <c r="G1" t="s">
        <v>291</v>
      </c>
      <c r="H1" t="s">
        <v>240</v>
      </c>
      <c r="I1" t="s">
        <v>320</v>
      </c>
    </row>
    <row r="2" spans="1:9">
      <c r="A2" t="s">
        <v>501</v>
      </c>
      <c r="B2" t="s">
        <v>532</v>
      </c>
      <c r="C2" t="s">
        <v>276</v>
      </c>
      <c r="D2">
        <v>2</v>
      </c>
      <c r="E2">
        <v>5</v>
      </c>
      <c r="F2">
        <v>5</v>
      </c>
      <c r="G2">
        <v>2</v>
      </c>
      <c r="H2" t="s">
        <v>126</v>
      </c>
      <c r="I2">
        <v>1</v>
      </c>
    </row>
    <row r="3" spans="1:9">
      <c r="A3" t="s">
        <v>503</v>
      </c>
      <c r="B3" t="s">
        <v>276</v>
      </c>
      <c r="C3" t="s">
        <v>279</v>
      </c>
      <c r="D3">
        <v>3</v>
      </c>
      <c r="E3">
        <v>1</v>
      </c>
      <c r="F3">
        <v>3</v>
      </c>
      <c r="G3">
        <v>1</v>
      </c>
      <c r="H3" t="s">
        <v>125</v>
      </c>
      <c r="I3">
        <v>2</v>
      </c>
    </row>
    <row r="4" spans="1:9">
      <c r="A4" t="s">
        <v>407</v>
      </c>
      <c r="B4" t="s">
        <v>278</v>
      </c>
      <c r="C4" t="s">
        <v>276</v>
      </c>
      <c r="D4">
        <v>0</v>
      </c>
      <c r="E4">
        <v>4</v>
      </c>
      <c r="F4">
        <v>4</v>
      </c>
      <c r="G4">
        <v>0</v>
      </c>
      <c r="H4" t="s">
        <v>126</v>
      </c>
      <c r="I4">
        <v>3</v>
      </c>
    </row>
    <row r="5" spans="1:9">
      <c r="A5" t="s">
        <v>442</v>
      </c>
      <c r="B5" t="s">
        <v>276</v>
      </c>
      <c r="C5" t="s">
        <v>289</v>
      </c>
      <c r="D5">
        <v>4</v>
      </c>
      <c r="E5">
        <v>1</v>
      </c>
      <c r="F5">
        <v>4</v>
      </c>
      <c r="G5">
        <v>1</v>
      </c>
      <c r="H5" t="s">
        <v>125</v>
      </c>
      <c r="I5">
        <v>4</v>
      </c>
    </row>
    <row r="6" spans="1:9">
      <c r="A6" t="s">
        <v>463</v>
      </c>
      <c r="B6" t="s">
        <v>276</v>
      </c>
      <c r="C6" t="s">
        <v>242</v>
      </c>
      <c r="D6">
        <v>5</v>
      </c>
      <c r="E6">
        <v>1</v>
      </c>
      <c r="F6">
        <v>5</v>
      </c>
      <c r="G6">
        <v>1</v>
      </c>
      <c r="H6" t="s">
        <v>125</v>
      </c>
      <c r="I6">
        <v>5</v>
      </c>
    </row>
    <row r="7" spans="1:9">
      <c r="A7" t="s">
        <v>304</v>
      </c>
      <c r="B7" t="s">
        <v>275</v>
      </c>
      <c r="C7" t="s">
        <v>276</v>
      </c>
      <c r="D7">
        <v>0</v>
      </c>
      <c r="E7">
        <v>3</v>
      </c>
      <c r="F7">
        <v>3</v>
      </c>
      <c r="G7">
        <v>0</v>
      </c>
      <c r="H7" t="s">
        <v>126</v>
      </c>
      <c r="I7">
        <v>6</v>
      </c>
    </row>
    <row r="8" spans="1:9">
      <c r="A8" t="s">
        <v>393</v>
      </c>
      <c r="B8" t="s">
        <v>276</v>
      </c>
      <c r="C8" t="s">
        <v>299</v>
      </c>
      <c r="D8">
        <v>5</v>
      </c>
      <c r="E8">
        <v>0</v>
      </c>
      <c r="F8">
        <v>5</v>
      </c>
      <c r="G8">
        <v>0</v>
      </c>
      <c r="H8" t="s">
        <v>125</v>
      </c>
      <c r="I8">
        <v>7</v>
      </c>
    </row>
    <row r="9" spans="1:9">
      <c r="A9" t="s">
        <v>380</v>
      </c>
      <c r="B9" t="s">
        <v>336</v>
      </c>
      <c r="C9" t="s">
        <v>276</v>
      </c>
      <c r="D9">
        <v>4</v>
      </c>
      <c r="E9">
        <v>2</v>
      </c>
      <c r="F9">
        <v>2</v>
      </c>
      <c r="G9">
        <v>4</v>
      </c>
      <c r="H9" t="s">
        <v>126</v>
      </c>
      <c r="I9">
        <v>8</v>
      </c>
    </row>
    <row r="10" spans="1:9">
      <c r="A10" t="s">
        <v>398</v>
      </c>
      <c r="B10" t="s">
        <v>276</v>
      </c>
      <c r="C10" t="s">
        <v>277</v>
      </c>
      <c r="D10">
        <v>1</v>
      </c>
      <c r="E10">
        <v>0</v>
      </c>
      <c r="F10">
        <v>1</v>
      </c>
      <c r="G10">
        <v>0</v>
      </c>
      <c r="H10" t="s">
        <v>125</v>
      </c>
      <c r="I10">
        <v>9</v>
      </c>
    </row>
    <row r="11" spans="1:9">
      <c r="A11" t="s">
        <v>381</v>
      </c>
      <c r="B11" t="s">
        <v>335</v>
      </c>
      <c r="C11" t="s">
        <v>276</v>
      </c>
      <c r="D11">
        <v>1</v>
      </c>
      <c r="E11">
        <v>5</v>
      </c>
      <c r="F11">
        <v>5</v>
      </c>
      <c r="G11">
        <v>1</v>
      </c>
      <c r="H11" t="s">
        <v>126</v>
      </c>
      <c r="I11">
        <v>10</v>
      </c>
    </row>
    <row r="12" spans="1:9">
      <c r="A12" t="s">
        <v>400</v>
      </c>
      <c r="B12" t="s">
        <v>478</v>
      </c>
      <c r="C12" t="s">
        <v>276</v>
      </c>
      <c r="D12">
        <v>2</v>
      </c>
      <c r="E12">
        <v>1</v>
      </c>
      <c r="F12">
        <v>1</v>
      </c>
      <c r="G12">
        <v>2</v>
      </c>
      <c r="H12" t="s">
        <v>126</v>
      </c>
      <c r="I12">
        <v>11</v>
      </c>
    </row>
    <row r="13" spans="1:9">
      <c r="A13" t="s">
        <v>394</v>
      </c>
      <c r="B13" t="s">
        <v>337</v>
      </c>
      <c r="C13" t="s">
        <v>276</v>
      </c>
      <c r="D13">
        <v>1</v>
      </c>
      <c r="E13">
        <v>4</v>
      </c>
      <c r="F13">
        <v>4</v>
      </c>
      <c r="G13">
        <v>1</v>
      </c>
      <c r="H13" t="s">
        <v>126</v>
      </c>
      <c r="I13">
        <v>12</v>
      </c>
    </row>
    <row r="14" spans="1:9">
      <c r="A14" t="s">
        <v>311</v>
      </c>
      <c r="B14" t="s">
        <v>276</v>
      </c>
      <c r="C14" t="s">
        <v>282</v>
      </c>
      <c r="D14">
        <v>7</v>
      </c>
      <c r="E14">
        <v>0</v>
      </c>
      <c r="F14">
        <v>7</v>
      </c>
      <c r="G14">
        <v>0</v>
      </c>
      <c r="H14" t="s">
        <v>125</v>
      </c>
      <c r="I14">
        <v>13</v>
      </c>
    </row>
    <row r="15" spans="1:9">
      <c r="A15" t="s">
        <v>383</v>
      </c>
      <c r="B15" t="s">
        <v>252</v>
      </c>
      <c r="C15" t="s">
        <v>276</v>
      </c>
      <c r="D15">
        <v>1</v>
      </c>
      <c r="E15">
        <v>2</v>
      </c>
      <c r="F15">
        <v>2</v>
      </c>
      <c r="G15">
        <v>1</v>
      </c>
      <c r="H15" t="s">
        <v>126</v>
      </c>
      <c r="I15">
        <v>14</v>
      </c>
    </row>
    <row r="16" spans="1:9">
      <c r="A16" t="s">
        <v>312</v>
      </c>
      <c r="B16" t="s">
        <v>276</v>
      </c>
      <c r="C16" t="s">
        <v>348</v>
      </c>
      <c r="D16">
        <v>2</v>
      </c>
      <c r="E16">
        <v>1</v>
      </c>
      <c r="F16">
        <v>2</v>
      </c>
      <c r="G16">
        <v>1</v>
      </c>
      <c r="H16" t="s">
        <v>125</v>
      </c>
      <c r="I16">
        <v>15</v>
      </c>
    </row>
    <row r="17" spans="1:9">
      <c r="A17" t="s">
        <v>313</v>
      </c>
      <c r="B17" t="s">
        <v>347</v>
      </c>
      <c r="C17" t="s">
        <v>276</v>
      </c>
      <c r="D17">
        <v>1</v>
      </c>
      <c r="E17">
        <v>2</v>
      </c>
      <c r="F17">
        <v>2</v>
      </c>
      <c r="G17">
        <v>1</v>
      </c>
      <c r="H17" t="s">
        <v>126</v>
      </c>
      <c r="I17">
        <v>16</v>
      </c>
    </row>
    <row r="18" spans="1:9">
      <c r="A18" t="s">
        <v>479</v>
      </c>
      <c r="B18" t="s">
        <v>276</v>
      </c>
      <c r="C18" t="s">
        <v>478</v>
      </c>
      <c r="D18">
        <v>0</v>
      </c>
      <c r="E18">
        <v>3</v>
      </c>
      <c r="F18">
        <v>0</v>
      </c>
      <c r="G18">
        <v>3</v>
      </c>
      <c r="H18" t="s">
        <v>125</v>
      </c>
      <c r="I18">
        <v>17</v>
      </c>
    </row>
    <row r="19" spans="1:9">
      <c r="A19" t="s">
        <v>468</v>
      </c>
      <c r="B19" t="s">
        <v>276</v>
      </c>
      <c r="C19" t="s">
        <v>325</v>
      </c>
      <c r="D19">
        <v>2</v>
      </c>
      <c r="E19">
        <v>2</v>
      </c>
      <c r="F19">
        <v>2</v>
      </c>
      <c r="G19">
        <v>2</v>
      </c>
      <c r="H19" t="s">
        <v>125</v>
      </c>
      <c r="I19">
        <v>18</v>
      </c>
    </row>
    <row r="20" spans="1:9">
      <c r="A20" t="s">
        <v>389</v>
      </c>
      <c r="B20" t="s">
        <v>278</v>
      </c>
      <c r="C20" t="s">
        <v>276</v>
      </c>
      <c r="D20">
        <v>1</v>
      </c>
      <c r="E20">
        <v>2</v>
      </c>
      <c r="F20">
        <v>2</v>
      </c>
      <c r="G20">
        <v>1</v>
      </c>
      <c r="H20" t="s">
        <v>126</v>
      </c>
      <c r="I20">
        <v>19</v>
      </c>
    </row>
    <row r="21" spans="1:9">
      <c r="A21" t="s">
        <v>410</v>
      </c>
      <c r="B21" t="s">
        <v>276</v>
      </c>
      <c r="C21" t="s">
        <v>292</v>
      </c>
      <c r="D21">
        <v>2</v>
      </c>
      <c r="E21">
        <v>2</v>
      </c>
      <c r="F21">
        <v>2</v>
      </c>
      <c r="G21">
        <v>2</v>
      </c>
      <c r="H21" t="s">
        <v>125</v>
      </c>
      <c r="I21">
        <v>20</v>
      </c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4390-87A0-4098-A58D-FC5E4E0A0431}">
  <dimension ref="A1:U228"/>
  <sheetViews>
    <sheetView zoomScaleNormal="100" workbookViewId="0">
      <selection activeCell="G4" sqref="G4"/>
    </sheetView>
  </sheetViews>
  <sheetFormatPr defaultRowHeight="14.5"/>
  <cols>
    <col min="1" max="1" width="12.7265625" customWidth="1"/>
    <col min="2" max="2" width="12" customWidth="1"/>
    <col min="3" max="5" width="11" customWidth="1"/>
    <col min="6" max="7" width="12.453125" style="139" customWidth="1"/>
    <col min="8" max="8" width="15.7265625" bestFit="1" customWidth="1"/>
    <col min="9" max="9" width="15.1796875" customWidth="1"/>
    <col min="10" max="10" width="11" customWidth="1"/>
    <col min="11" max="11" width="3.7265625" customWidth="1"/>
    <col min="12" max="12" width="11" customWidth="1"/>
    <col min="13" max="14" width="19" customWidth="1"/>
    <col min="16" max="16" width="11.81640625" customWidth="1"/>
    <col min="17" max="17" width="11.54296875" bestFit="1" customWidth="1"/>
    <col min="18" max="18" width="12" customWidth="1"/>
    <col min="19" max="19" width="17.26953125" customWidth="1"/>
    <col min="20" max="20" width="11.54296875" bestFit="1" customWidth="1"/>
    <col min="21" max="21" width="11.81640625" customWidth="1"/>
  </cols>
  <sheetData>
    <row r="1" spans="1:21" ht="15" thickBot="1">
      <c r="A1" s="148" t="s">
        <v>477</v>
      </c>
      <c r="B1" s="149">
        <v>49</v>
      </c>
    </row>
    <row r="2" spans="1:21">
      <c r="A2" t="s">
        <v>510</v>
      </c>
      <c r="L2" t="s">
        <v>511</v>
      </c>
    </row>
    <row r="3" spans="1:21">
      <c r="A3" t="s">
        <v>301</v>
      </c>
      <c r="B3" s="139" t="s">
        <v>509</v>
      </c>
      <c r="C3" s="140" t="s">
        <v>507</v>
      </c>
      <c r="D3" t="s">
        <v>508</v>
      </c>
      <c r="E3" t="s">
        <v>350</v>
      </c>
      <c r="F3" t="s">
        <v>351</v>
      </c>
      <c r="G3" s="156" t="s">
        <v>516</v>
      </c>
      <c r="H3" s="146" t="s">
        <v>512</v>
      </c>
      <c r="I3" s="152" t="s">
        <v>514</v>
      </c>
      <c r="J3" s="147" t="s">
        <v>517</v>
      </c>
      <c r="L3" s="147" t="s">
        <v>301</v>
      </c>
      <c r="M3" s="139" t="s">
        <v>509</v>
      </c>
      <c r="N3" s="140" t="s">
        <v>507</v>
      </c>
      <c r="O3" t="s">
        <v>508</v>
      </c>
      <c r="P3" t="s">
        <v>350</v>
      </c>
      <c r="Q3" t="s">
        <v>351</v>
      </c>
      <c r="R3" s="156" t="s">
        <v>516</v>
      </c>
      <c r="S3" s="146" t="s">
        <v>512</v>
      </c>
      <c r="T3" s="152" t="s">
        <v>515</v>
      </c>
      <c r="U3" s="147" t="s">
        <v>517</v>
      </c>
    </row>
    <row r="4" spans="1:21">
      <c r="A4" s="144">
        <f ca="1">TODAY()</f>
        <v>45626</v>
      </c>
      <c r="B4" s="161">
        <v>0.375</v>
      </c>
      <c r="C4" s="147" t="s">
        <v>243</v>
      </c>
      <c r="D4" s="147" t="s">
        <v>533</v>
      </c>
      <c r="E4">
        <v>1.1200000000000001</v>
      </c>
      <c r="F4" s="150">
        <f>IF(Table61[[#This Row],[odds]]&lt;=0, 0,(Table61[[#This Row],[VALUE]]*(Table61[[#This Row],[odds]]-1)))</f>
        <v>5.8800000000000052</v>
      </c>
      <c r="G4" s="155">
        <f>(Table61[[#This Row],[allocation]]*Table61[[#This Row],[odds]]) - Table61[[#This Row],[allocation]]</f>
        <v>0.70560000000000134</v>
      </c>
      <c r="H4" s="146"/>
      <c r="I4" s="151">
        <f t="shared" ref="I4:I12" si="0">$B$1</f>
        <v>49</v>
      </c>
      <c r="J4">
        <v>1</v>
      </c>
      <c r="L4" s="162">
        <f ca="1">TODAY()</f>
        <v>45626</v>
      </c>
      <c r="M4" s="163">
        <v>0.52083333333333337</v>
      </c>
      <c r="N4" s="154" t="s">
        <v>51</v>
      </c>
      <c r="O4" s="147" t="s">
        <v>46</v>
      </c>
      <c r="Q4">
        <f>IF(Table62[[#This Row],[odds]] &lt;= 0, 0, (Table62[[#This Row],[Value ]]*(Table62[[#This Row],[odds]]-1)))</f>
        <v>0</v>
      </c>
      <c r="R4" s="155">
        <f>(Table62[[#This Row],[allocation]]*Table62[[#This Row],[odds]]) - Table62[[#This Row],[allocation]]</f>
        <v>0</v>
      </c>
      <c r="S4" s="146"/>
      <c r="T4" s="152">
        <f t="shared" ref="T4:T12" si="1">$B$1</f>
        <v>49</v>
      </c>
      <c r="U4">
        <v>1</v>
      </c>
    </row>
    <row r="5" spans="1:21">
      <c r="A5" s="144">
        <f ca="1">TODAY()</f>
        <v>45626</v>
      </c>
      <c r="B5" s="145">
        <v>0.41666666666666669</v>
      </c>
      <c r="C5" s="147" t="s">
        <v>534</v>
      </c>
      <c r="D5" s="147" t="s">
        <v>535</v>
      </c>
      <c r="E5">
        <v>1.1200000000000001</v>
      </c>
      <c r="F5" s="150">
        <f>IF(Table61[[#This Row],[odds]]&lt;=0, 0,(Table61[[#This Row],[VALUE]]*(Table61[[#This Row],[odds]]-1)))</f>
        <v>5.8800000000000052</v>
      </c>
      <c r="G5" s="155">
        <f>(Table61[[#This Row],[allocation]]*Table61[[#This Row],[odds]]) - Table61[[#This Row],[allocation]]</f>
        <v>0.70560000000000134</v>
      </c>
      <c r="H5" s="146"/>
      <c r="I5" s="151">
        <f t="shared" si="0"/>
        <v>49</v>
      </c>
      <c r="J5">
        <v>2</v>
      </c>
      <c r="L5" s="144">
        <f ca="1">TODAY()</f>
        <v>45626</v>
      </c>
      <c r="M5" s="164">
        <v>6.25E-2</v>
      </c>
      <c r="N5" s="147" t="s">
        <v>282</v>
      </c>
      <c r="O5" s="147" t="s">
        <v>541</v>
      </c>
      <c r="Q5">
        <f>IF(Table62[[#This Row],[odds]] &lt;= 0, 0, (Table62[[#This Row],[Value ]]*(Table62[[#This Row],[odds]]-1)))</f>
        <v>0</v>
      </c>
      <c r="R5" s="155">
        <f>(Table62[[#This Row],[allocation]]*Table62[[#This Row],[odds]]) - Table62[[#This Row],[allocation]]</f>
        <v>0</v>
      </c>
      <c r="S5" s="146"/>
      <c r="T5" s="140">
        <f t="shared" si="1"/>
        <v>49</v>
      </c>
      <c r="U5">
        <v>2</v>
      </c>
    </row>
    <row r="6" spans="1:21">
      <c r="A6" s="144">
        <f ca="1">TODAY()</f>
        <v>45626</v>
      </c>
      <c r="B6" s="161">
        <v>0.41666666666666669</v>
      </c>
      <c r="C6" s="147" t="s">
        <v>536</v>
      </c>
      <c r="D6" s="147" t="s">
        <v>537</v>
      </c>
      <c r="E6">
        <v>1.1200000000000001</v>
      </c>
      <c r="F6" s="150">
        <f>IF(Table61[[#This Row],[odds]]&lt;=0, 0,(Table61[[#This Row],[VALUE]]*(Table61[[#This Row],[odds]]-1)))</f>
        <v>5.8800000000000052</v>
      </c>
      <c r="G6" s="155">
        <f>(Table61[[#This Row],[allocation]]*Table61[[#This Row],[odds]]) - Table61[[#This Row],[allocation]]</f>
        <v>0.70560000000000134</v>
      </c>
      <c r="H6" s="153"/>
      <c r="I6" s="151">
        <f t="shared" si="0"/>
        <v>49</v>
      </c>
      <c r="J6">
        <v>3</v>
      </c>
      <c r="L6" s="162">
        <f ca="1">TODAY()</f>
        <v>45626</v>
      </c>
      <c r="M6" s="164">
        <v>0.16666666666666666</v>
      </c>
      <c r="N6" s="147" t="s">
        <v>542</v>
      </c>
      <c r="O6" s="147" t="s">
        <v>276</v>
      </c>
      <c r="Q6">
        <f>IF(Table62[[#This Row],[odds]] &lt;= 0, 0, (Table62[[#This Row],[Value ]]*(Table62[[#This Row],[odds]]-1)))</f>
        <v>0</v>
      </c>
      <c r="R6" s="155">
        <f>(Table62[[#This Row],[allocation]]*Table62[[#This Row],[odds]]) - Table62[[#This Row],[allocation]]</f>
        <v>0</v>
      </c>
      <c r="S6" s="146"/>
      <c r="T6" s="140">
        <f t="shared" si="1"/>
        <v>49</v>
      </c>
      <c r="U6">
        <v>3</v>
      </c>
    </row>
    <row r="7" spans="1:21">
      <c r="A7" s="144">
        <f ca="1">TODAY()</f>
        <v>45626</v>
      </c>
      <c r="B7" s="145">
        <v>0.41666666666666702</v>
      </c>
      <c r="C7" s="147" t="s">
        <v>538</v>
      </c>
      <c r="D7" s="147" t="s">
        <v>539</v>
      </c>
      <c r="F7" s="150">
        <f>IF(Table61[[#This Row],[odds]]&lt;=0, 0,(Table61[[#This Row],[VALUE]]*(Table61[[#This Row],[odds]]-1)))</f>
        <v>0</v>
      </c>
      <c r="G7" s="155">
        <f>(Table61[[#This Row],[allocation]]*Table61[[#This Row],[odds]]) - Table61[[#This Row],[allocation]]</f>
        <v>0</v>
      </c>
      <c r="H7" s="153"/>
      <c r="I7" s="151">
        <f t="shared" si="0"/>
        <v>49</v>
      </c>
      <c r="J7">
        <v>4</v>
      </c>
      <c r="Q7">
        <f>IF(Table62[[#This Row],[odds]] &lt;= 0, 0, (Table62[[#This Row],[Value ]]*(Table62[[#This Row],[odds]]-1)))</f>
        <v>0</v>
      </c>
      <c r="R7" s="155">
        <f>(Table62[[#This Row],[allocation]]*Table62[[#This Row],[odds]]) - Table62[[#This Row],[allocation]]</f>
        <v>0</v>
      </c>
      <c r="S7" s="146"/>
      <c r="T7" s="140">
        <f t="shared" si="1"/>
        <v>49</v>
      </c>
      <c r="U7">
        <v>4</v>
      </c>
    </row>
    <row r="8" spans="1:21">
      <c r="A8" s="144">
        <f ca="1">TODAY()</f>
        <v>45626</v>
      </c>
      <c r="B8" s="145">
        <v>0.46875</v>
      </c>
      <c r="C8" s="147" t="s">
        <v>283</v>
      </c>
      <c r="D8" s="147" t="s">
        <v>540</v>
      </c>
      <c r="F8" s="150">
        <f>IF(Table61[[#This Row],[odds]]&lt;=0, 0,(Table61[[#This Row],[VALUE]]*(Table61[[#This Row],[odds]]-1)))</f>
        <v>0</v>
      </c>
      <c r="G8" s="155">
        <f>(Table61[[#This Row],[allocation]]*Table61[[#This Row],[odds]]) - Table61[[#This Row],[allocation]]</f>
        <v>0</v>
      </c>
      <c r="H8" s="153"/>
      <c r="I8" s="151">
        <f t="shared" si="0"/>
        <v>49</v>
      </c>
      <c r="J8">
        <v>5</v>
      </c>
      <c r="Q8">
        <f>IF(Table62[[#This Row],[odds]] &lt;= 0, 0, (Table62[[#This Row],[Value ]]*(Table62[[#This Row],[odds]]-1)))</f>
        <v>0</v>
      </c>
      <c r="R8" s="155">
        <f>(Table62[[#This Row],[allocation]]*Table62[[#This Row],[odds]]) - Table62[[#This Row],[allocation]]</f>
        <v>0</v>
      </c>
      <c r="S8" s="146"/>
      <c r="T8" s="140">
        <f t="shared" si="1"/>
        <v>49</v>
      </c>
      <c r="U8">
        <v>5</v>
      </c>
    </row>
    <row r="9" spans="1:21" ht="15" thickBot="1">
      <c r="A9" s="144"/>
      <c r="B9" s="145"/>
      <c r="F9" s="150">
        <f>IF(Table61[[#This Row],[odds]]&lt;=0, 0,(Table61[[#This Row],[VALUE]]*(Table61[[#This Row],[odds]]-1)))</f>
        <v>0</v>
      </c>
      <c r="G9" s="155">
        <f>(Table61[[#This Row],[allocation]]*Table61[[#This Row],[odds]]) - Table61[[#This Row],[allocation]]</f>
        <v>0</v>
      </c>
      <c r="H9" s="153"/>
      <c r="I9" s="151">
        <f t="shared" si="0"/>
        <v>49</v>
      </c>
      <c r="J9">
        <v>6</v>
      </c>
      <c r="Q9">
        <f>IF(Table62[[#This Row],[odds]] &lt;= 0, 0, (Table62[[#This Row],[Value ]]*(Table62[[#This Row],[odds]]-1)))</f>
        <v>0</v>
      </c>
      <c r="R9" s="155">
        <f>(Table62[[#This Row],[allocation]]*Table62[[#This Row],[odds]]) - Table62[[#This Row],[allocation]]</f>
        <v>0</v>
      </c>
      <c r="S9" s="146"/>
      <c r="T9" s="140">
        <f t="shared" si="1"/>
        <v>49</v>
      </c>
      <c r="U9">
        <v>6</v>
      </c>
    </row>
    <row r="10" spans="1:21" ht="15.5" thickTop="1" thickBot="1">
      <c r="A10" s="144"/>
      <c r="B10" s="145"/>
      <c r="F10" s="150">
        <f>IF(Table61[[#This Row],[odds]]&lt;=0, 0,(Table61[[#This Row],[VALUE]]*(Table61[[#This Row],[odds]]-1)))</f>
        <v>0</v>
      </c>
      <c r="G10" s="155">
        <f>(Table61[[#This Row],[allocation]]*Table61[[#This Row],[odds]]) - Table61[[#This Row],[allocation]]</f>
        <v>0</v>
      </c>
      <c r="H10" s="158" t="s">
        <v>513</v>
      </c>
      <c r="I10" s="151">
        <f t="shared" si="0"/>
        <v>49</v>
      </c>
      <c r="J10">
        <v>7</v>
      </c>
      <c r="Q10">
        <f>IF(Table62[[#This Row],[odds]] &lt;= 0, 0, (Table62[[#This Row],[Value ]]*(Table62[[#This Row],[odds]]-1)))</f>
        <v>0</v>
      </c>
      <c r="R10" s="155">
        <f>(Table62[[#This Row],[allocation]]*Table62[[#This Row],[odds]]) - Table62[[#This Row],[allocation]]</f>
        <v>0</v>
      </c>
      <c r="S10" s="158" t="s">
        <v>513</v>
      </c>
      <c r="T10" s="140">
        <f t="shared" si="1"/>
        <v>49</v>
      </c>
      <c r="U10">
        <v>7</v>
      </c>
    </row>
    <row r="11" spans="1:21" ht="15.5" thickTop="1" thickBot="1">
      <c r="A11" s="144"/>
      <c r="B11" s="145"/>
      <c r="F11" s="150">
        <f>IF(Table61[[#This Row],[odds]]&lt;=0, 0,(Table61[[#This Row],[VALUE]]*(Table61[[#This Row],[odds]]-1)))</f>
        <v>0</v>
      </c>
      <c r="G11" s="155">
        <f>(Table61[[#This Row],[allocation]]*Table61[[#This Row],[odds]]) - Table61[[#This Row],[allocation]]</f>
        <v>0</v>
      </c>
      <c r="H11" s="159">
        <f>Table61[[#Totals],[Return]]/B1</f>
        <v>4.3200000000000079E-2</v>
      </c>
      <c r="I11" s="151">
        <f t="shared" si="0"/>
        <v>49</v>
      </c>
      <c r="J11">
        <v>8</v>
      </c>
      <c r="Q11">
        <f>IF(Table62[[#This Row],[odds]] &lt;= 0, 0, (Table62[[#This Row],[Value ]]*(Table62[[#This Row],[odds]]-1)))</f>
        <v>0</v>
      </c>
      <c r="R11" s="155">
        <f>(Table62[[#This Row],[allocation]]*Table62[[#This Row],[odds]]) - Table62[[#This Row],[allocation]]</f>
        <v>0</v>
      </c>
      <c r="S11" s="159">
        <f>Table62[[#Totals],[Return]]/B1</f>
        <v>0</v>
      </c>
      <c r="T11" s="140">
        <f t="shared" si="1"/>
        <v>49</v>
      </c>
      <c r="U11">
        <v>8</v>
      </c>
    </row>
    <row r="12" spans="1:21" ht="15.5" thickTop="1" thickBot="1">
      <c r="A12" s="144"/>
      <c r="B12" s="145"/>
      <c r="F12" s="150">
        <f>IF(Table61[[#This Row],[odds]]&lt;=0, 0,(Table61[[#This Row],[VALUE]]*(Table61[[#This Row],[odds]]-1)))</f>
        <v>0</v>
      </c>
      <c r="G12" s="155">
        <f>(Table61[[#This Row],[allocation]]*Table61[[#This Row],[odds]]) - Table61[[#This Row],[allocation]]</f>
        <v>0</v>
      </c>
      <c r="H12" s="160">
        <f>Table61[[#Totals],[Return]] + B1</f>
        <v>51.116800000000005</v>
      </c>
      <c r="I12" s="151">
        <f t="shared" si="0"/>
        <v>49</v>
      </c>
      <c r="J12">
        <v>9</v>
      </c>
      <c r="Q12">
        <f>IF(Table62[[#This Row],[odds]] &lt;= 0, 0, (Table62[[#This Row],[Value ]]*(Table62[[#This Row],[odds]]-1)))</f>
        <v>0</v>
      </c>
      <c r="R12" s="155">
        <f>(Table62[[#This Row],[allocation]]*Table62[[#This Row],[odds]]) - Table62[[#This Row],[allocation]]</f>
        <v>0</v>
      </c>
      <c r="S12" s="160">
        <f>Table62[[#Totals],[Return]] + B1</f>
        <v>49</v>
      </c>
      <c r="T12" s="140">
        <f t="shared" si="1"/>
        <v>49</v>
      </c>
      <c r="U12">
        <v>9</v>
      </c>
    </row>
    <row r="13" spans="1:21" ht="15" thickTop="1">
      <c r="A13" t="s">
        <v>4</v>
      </c>
      <c r="F13" s="147"/>
      <c r="G13" s="157">
        <f>SUBTOTAL(109,Table61[Return])</f>
        <v>2.116800000000004</v>
      </c>
      <c r="Q13">
        <f>SUBTOTAL(103,Table62[allocation])</f>
        <v>9</v>
      </c>
      <c r="R13" s="157">
        <f>SUBTOTAL(109,Table62[Return])</f>
        <v>0</v>
      </c>
    </row>
    <row r="14" spans="1:21">
      <c r="E14" s="166"/>
    </row>
    <row r="16" spans="1:21">
      <c r="H16" s="165"/>
    </row>
    <row r="19" spans="13:13">
      <c r="M19" s="142"/>
    </row>
    <row r="43" spans="8:14">
      <c r="I43" t="s">
        <v>74</v>
      </c>
      <c r="J43" t="s">
        <v>83</v>
      </c>
      <c r="K43" t="s">
        <v>354</v>
      </c>
      <c r="L43" t="s">
        <v>355</v>
      </c>
      <c r="M43" s="139" t="s">
        <v>356</v>
      </c>
      <c r="N43" t="s">
        <v>357</v>
      </c>
    </row>
    <row r="44" spans="8:14">
      <c r="I44" t="s">
        <v>238</v>
      </c>
      <c r="J44" t="s">
        <v>239</v>
      </c>
      <c r="K44" t="s">
        <v>352</v>
      </c>
      <c r="L44" t="s">
        <v>350</v>
      </c>
      <c r="M44" s="139" t="s">
        <v>351</v>
      </c>
      <c r="N44" t="s">
        <v>353</v>
      </c>
    </row>
    <row r="45" spans="8:14">
      <c r="I45" t="s">
        <v>374</v>
      </c>
      <c r="J45" t="s">
        <v>375</v>
      </c>
      <c r="L45">
        <v>1.24</v>
      </c>
      <c r="M45" s="139"/>
      <c r="N45" s="140">
        <f>(M45*L45)-Table3645[[#This Row],[Column5]]</f>
        <v>0</v>
      </c>
    </row>
    <row r="46" spans="8:14">
      <c r="H46" s="140"/>
      <c r="L46">
        <v>1.1399999999999999</v>
      </c>
      <c r="M46" s="139" t="e">
        <f>IF(Table3645[[#This Row],[Column4]]&lt;=0,0,(L46-1)*#REF!)</f>
        <v>#REF!</v>
      </c>
      <c r="N46" s="140" t="e">
        <f>(M46*L46)-Table3645[[#This Row],[Column5]]</f>
        <v>#REF!</v>
      </c>
    </row>
    <row r="47" spans="8:14">
      <c r="H47" s="140"/>
      <c r="L47">
        <v>1.41</v>
      </c>
      <c r="M47" s="139" t="e">
        <f>IF(Table3645[[#This Row],[Column4]]&lt;=0,0,(L47-1)*#REF!)</f>
        <v>#REF!</v>
      </c>
      <c r="N47" s="140" t="e">
        <f>(M47*L47)-Table3645[[#This Row],[Column5]]</f>
        <v>#REF!</v>
      </c>
    </row>
    <row r="48" spans="8:14">
      <c r="H48" s="140"/>
      <c r="M48" s="139">
        <f>IF(Table3645[[#This Row],[Column4]]&lt;=0,0,(L48-1)*#REF!)</f>
        <v>0</v>
      </c>
      <c r="N48" s="140">
        <f>(M48*L48)-Table3645[[#This Row],[Column5]]</f>
        <v>0</v>
      </c>
    </row>
    <row r="49" spans="6:14">
      <c r="H49" s="140"/>
      <c r="M49" s="139">
        <f>IF(Table3645[[#This Row],[Column4]]&lt;=0,0,(L49-1)*#REF!)</f>
        <v>0</v>
      </c>
      <c r="N49" s="140">
        <f>(M49*L49)-Table3645[[#This Row],[Column5]]</f>
        <v>0</v>
      </c>
    </row>
    <row r="50" spans="6:14">
      <c r="H50" s="140"/>
      <c r="M50" s="139">
        <f>IF(Table3645[[#This Row],[Column4]]&lt;=0,0,(L50-1)*#REF!)</f>
        <v>0</v>
      </c>
      <c r="N50" s="140">
        <f>(M50*L50)-Table3645[[#This Row],[Column5]]</f>
        <v>0</v>
      </c>
    </row>
    <row r="51" spans="6:14">
      <c r="H51" s="140"/>
      <c r="M51" s="139">
        <f>IF(Table3645[[#This Row],[Column4]]&lt;=0,0,(L51-1)*#REF!)</f>
        <v>0</v>
      </c>
      <c r="N51" s="140">
        <f>(M51*L51)-Table3645[[#This Row],[Column5]]</f>
        <v>0</v>
      </c>
    </row>
    <row r="52" spans="6:14">
      <c r="H52" s="140"/>
      <c r="M52" s="139">
        <f>IF(Table3645[[#This Row],[Column4]]&lt;=0,0,(L52-1)*#REF!)</f>
        <v>0</v>
      </c>
      <c r="N52" s="140">
        <f>(M52*L52)-Table3645[[#This Row],[Column5]]</f>
        <v>0</v>
      </c>
    </row>
    <row r="53" spans="6:14">
      <c r="M53" s="139">
        <f>IF(Table3645[[#This Row],[Column4]]&lt;=0,0,(L53-1)*#REF!)</f>
        <v>0</v>
      </c>
      <c r="N53" s="140">
        <f>(M53*L53)-Table3645[[#This Row],[Column5]]</f>
        <v>0</v>
      </c>
    </row>
    <row r="54" spans="6:14">
      <c r="H54" s="140"/>
      <c r="M54" s="139">
        <f>IF(Table3645[[#This Row],[Column4]]&lt;=0,0,(L54-1)*#REF!)</f>
        <v>0</v>
      </c>
      <c r="N54" s="140">
        <f>(M54*L54)-Table3645[[#This Row],[Column5]]</f>
        <v>0</v>
      </c>
    </row>
    <row r="55" spans="6:14">
      <c r="H55" s="140"/>
      <c r="I55" t="s">
        <v>4</v>
      </c>
      <c r="M55" s="143" t="e">
        <f>SUBTOTAL(109,Table3645[Column5])</f>
        <v>#REF!</v>
      </c>
      <c r="N55" s="140" t="e">
        <f>SUBTOTAL(109,Table3645[Column6])</f>
        <v>#REF!</v>
      </c>
    </row>
    <row r="56" spans="6:14">
      <c r="H56" s="140"/>
    </row>
    <row r="57" spans="6:14">
      <c r="H57" s="140"/>
    </row>
    <row r="58" spans="6:14">
      <c r="H58" s="140"/>
    </row>
    <row r="59" spans="6:14">
      <c r="H59" s="140"/>
    </row>
    <row r="60" spans="6:14">
      <c r="H60" s="140"/>
    </row>
    <row r="61" spans="6:14">
      <c r="H61" s="140"/>
    </row>
    <row r="62" spans="6:14">
      <c r="H62" s="140"/>
    </row>
    <row r="63" spans="6:14">
      <c r="H63" s="140"/>
    </row>
    <row r="64" spans="6:14">
      <c r="F64"/>
      <c r="G64"/>
      <c r="J64" s="139"/>
      <c r="K64" s="139"/>
      <c r="L64" s="140"/>
    </row>
    <row r="76" spans="8:8">
      <c r="H76" s="140"/>
    </row>
    <row r="77" spans="8:8">
      <c r="H77" s="140"/>
    </row>
    <row r="78" spans="8:8">
      <c r="H78" s="140"/>
    </row>
    <row r="79" spans="8:8">
      <c r="H79" s="140"/>
    </row>
    <row r="80" spans="8:8">
      <c r="H80" s="140"/>
    </row>
    <row r="81" spans="8:8">
      <c r="H81" s="140"/>
    </row>
    <row r="82" spans="8:8">
      <c r="H82" s="140"/>
    </row>
    <row r="83" spans="8:8">
      <c r="H83" s="140"/>
    </row>
    <row r="84" spans="8:8">
      <c r="H84" s="140"/>
    </row>
    <row r="85" spans="8:8">
      <c r="H85" s="140"/>
    </row>
    <row r="86" spans="8:8">
      <c r="H86" s="140"/>
    </row>
    <row r="87" spans="8:8">
      <c r="H87" s="140"/>
    </row>
    <row r="88" spans="8:8">
      <c r="H88" s="140"/>
    </row>
    <row r="89" spans="8:8">
      <c r="H89" s="140"/>
    </row>
    <row r="90" spans="8:8">
      <c r="H90" s="140"/>
    </row>
    <row r="91" spans="8:8">
      <c r="H91" s="140"/>
    </row>
    <row r="92" spans="8:8">
      <c r="H92" s="140"/>
    </row>
    <row r="93" spans="8:8">
      <c r="H93" s="140"/>
    </row>
    <row r="94" spans="8:8">
      <c r="H94" s="140"/>
    </row>
    <row r="95" spans="8:8">
      <c r="H95" s="140"/>
    </row>
    <row r="96" spans="8:8">
      <c r="H96" s="140"/>
    </row>
    <row r="97" spans="8:8">
      <c r="H97" s="140"/>
    </row>
    <row r="98" spans="8:8">
      <c r="H98" s="140"/>
    </row>
    <row r="99" spans="8:8">
      <c r="H99" s="140"/>
    </row>
    <row r="100" spans="8:8">
      <c r="H100" s="140"/>
    </row>
    <row r="101" spans="8:8">
      <c r="H101" s="140"/>
    </row>
    <row r="102" spans="8:8">
      <c r="H102" s="140"/>
    </row>
    <row r="103" spans="8:8">
      <c r="H103" s="140"/>
    </row>
    <row r="104" spans="8:8">
      <c r="H104" s="140"/>
    </row>
    <row r="105" spans="8:8">
      <c r="H105" s="140"/>
    </row>
    <row r="106" spans="8:8">
      <c r="H106" s="140"/>
    </row>
    <row r="107" spans="8:8">
      <c r="H107" s="140"/>
    </row>
    <row r="108" spans="8:8">
      <c r="H108" s="140"/>
    </row>
    <row r="109" spans="8:8">
      <c r="H109" s="140"/>
    </row>
    <row r="110" spans="8:8">
      <c r="H110" s="140"/>
    </row>
    <row r="111" spans="8:8">
      <c r="H111" s="140"/>
    </row>
    <row r="112" spans="8:8">
      <c r="H112" s="140"/>
    </row>
    <row r="113" spans="8:8">
      <c r="H113" s="140"/>
    </row>
    <row r="114" spans="8:8">
      <c r="H114" s="140"/>
    </row>
    <row r="115" spans="8:8">
      <c r="H115" s="140"/>
    </row>
    <row r="116" spans="8:8">
      <c r="H116" s="140"/>
    </row>
    <row r="117" spans="8:8">
      <c r="H117" s="140"/>
    </row>
    <row r="118" spans="8:8">
      <c r="H118" s="140"/>
    </row>
    <row r="119" spans="8:8">
      <c r="H119" s="140"/>
    </row>
    <row r="120" spans="8:8">
      <c r="H120" s="140"/>
    </row>
    <row r="121" spans="8:8">
      <c r="H121" s="140"/>
    </row>
    <row r="122" spans="8:8">
      <c r="H122" s="140"/>
    </row>
    <row r="123" spans="8:8">
      <c r="H123" s="140"/>
    </row>
    <row r="124" spans="8:8">
      <c r="H124" s="140"/>
    </row>
    <row r="125" spans="8:8">
      <c r="H125" s="140"/>
    </row>
    <row r="126" spans="8:8">
      <c r="H126" s="140"/>
    </row>
    <row r="127" spans="8:8">
      <c r="H127" s="140"/>
    </row>
    <row r="128" spans="8:8">
      <c r="H128" s="140"/>
    </row>
    <row r="129" spans="8:8">
      <c r="H129" s="140"/>
    </row>
    <row r="130" spans="8:8">
      <c r="H130" s="140"/>
    </row>
    <row r="131" spans="8:8">
      <c r="H131" s="140"/>
    </row>
    <row r="132" spans="8:8">
      <c r="H132" s="140"/>
    </row>
    <row r="133" spans="8:8">
      <c r="H133" s="140"/>
    </row>
    <row r="134" spans="8:8">
      <c r="H134" s="140"/>
    </row>
    <row r="135" spans="8:8">
      <c r="H135" s="140"/>
    </row>
    <row r="136" spans="8:8">
      <c r="H136" s="140"/>
    </row>
    <row r="137" spans="8:8">
      <c r="H137" s="140"/>
    </row>
    <row r="138" spans="8:8">
      <c r="H138" s="140"/>
    </row>
    <row r="139" spans="8:8">
      <c r="H139" s="140"/>
    </row>
    <row r="140" spans="8:8">
      <c r="H140" s="140"/>
    </row>
    <row r="141" spans="8:8">
      <c r="H141" s="140"/>
    </row>
    <row r="142" spans="8:8">
      <c r="H142" s="140"/>
    </row>
    <row r="143" spans="8:8">
      <c r="H143" s="140"/>
    </row>
    <row r="144" spans="8:8">
      <c r="H144" s="140"/>
    </row>
    <row r="145" spans="8:8">
      <c r="H145" s="140"/>
    </row>
    <row r="146" spans="8:8">
      <c r="H146" s="140"/>
    </row>
    <row r="147" spans="8:8">
      <c r="H147" s="140"/>
    </row>
    <row r="148" spans="8:8">
      <c r="H148" s="140"/>
    </row>
    <row r="149" spans="8:8">
      <c r="H149" s="140"/>
    </row>
    <row r="150" spans="8:8">
      <c r="H150" s="140"/>
    </row>
    <row r="151" spans="8:8">
      <c r="H151" s="140"/>
    </row>
    <row r="152" spans="8:8">
      <c r="H152" s="140"/>
    </row>
    <row r="153" spans="8:8">
      <c r="H153" s="140"/>
    </row>
    <row r="154" spans="8:8">
      <c r="H154" s="140"/>
    </row>
    <row r="155" spans="8:8">
      <c r="H155" s="140"/>
    </row>
    <row r="156" spans="8:8">
      <c r="H156" s="140"/>
    </row>
    <row r="157" spans="8:8">
      <c r="H157" s="140"/>
    </row>
    <row r="158" spans="8:8">
      <c r="H158" s="140"/>
    </row>
    <row r="159" spans="8:8">
      <c r="H159" s="140"/>
    </row>
    <row r="160" spans="8:8">
      <c r="H160" s="140"/>
    </row>
    <row r="161" spans="8:8">
      <c r="H161" s="140"/>
    </row>
    <row r="162" spans="8:8">
      <c r="H162" s="140"/>
    </row>
    <row r="163" spans="8:8">
      <c r="H163" s="140"/>
    </row>
    <row r="164" spans="8:8">
      <c r="H164" s="140"/>
    </row>
    <row r="165" spans="8:8">
      <c r="H165" s="140"/>
    </row>
    <row r="166" spans="8:8">
      <c r="H166" s="140"/>
    </row>
    <row r="167" spans="8:8">
      <c r="H167" s="140"/>
    </row>
    <row r="168" spans="8:8">
      <c r="H168" s="140"/>
    </row>
    <row r="169" spans="8:8">
      <c r="H169" s="140"/>
    </row>
    <row r="170" spans="8:8">
      <c r="H170" s="140"/>
    </row>
    <row r="171" spans="8:8">
      <c r="H171" s="140"/>
    </row>
    <row r="172" spans="8:8">
      <c r="H172" s="140"/>
    </row>
    <row r="173" spans="8:8">
      <c r="H173" s="140"/>
    </row>
    <row r="174" spans="8:8">
      <c r="H174" s="140"/>
    </row>
    <row r="175" spans="8:8">
      <c r="H175" s="140"/>
    </row>
    <row r="176" spans="8:8">
      <c r="H176" s="140"/>
    </row>
    <row r="177" spans="8:8">
      <c r="H177" s="140"/>
    </row>
    <row r="178" spans="8:8">
      <c r="H178" s="140"/>
    </row>
    <row r="179" spans="8:8">
      <c r="H179" s="140"/>
    </row>
    <row r="180" spans="8:8">
      <c r="H180" s="140"/>
    </row>
    <row r="181" spans="8:8">
      <c r="H181" s="140"/>
    </row>
    <row r="182" spans="8:8">
      <c r="H182" s="140"/>
    </row>
    <row r="183" spans="8:8">
      <c r="H183" s="140"/>
    </row>
    <row r="184" spans="8:8">
      <c r="H184" s="140"/>
    </row>
    <row r="185" spans="8:8">
      <c r="H185" s="140"/>
    </row>
    <row r="186" spans="8:8">
      <c r="H186" s="140"/>
    </row>
    <row r="187" spans="8:8">
      <c r="H187" s="140"/>
    </row>
    <row r="188" spans="8:8">
      <c r="H188" s="140"/>
    </row>
    <row r="189" spans="8:8">
      <c r="H189" s="140"/>
    </row>
    <row r="190" spans="8:8">
      <c r="H190" s="140"/>
    </row>
    <row r="191" spans="8:8">
      <c r="H191" s="140"/>
    </row>
    <row r="192" spans="8:8">
      <c r="H192" s="140"/>
    </row>
    <row r="193" spans="8:8">
      <c r="H193" s="140"/>
    </row>
    <row r="194" spans="8:8">
      <c r="H194" s="140"/>
    </row>
    <row r="195" spans="8:8">
      <c r="H195" s="140"/>
    </row>
    <row r="196" spans="8:8">
      <c r="H196" s="140"/>
    </row>
    <row r="197" spans="8:8">
      <c r="H197" s="140"/>
    </row>
    <row r="198" spans="8:8">
      <c r="H198" s="140"/>
    </row>
    <row r="199" spans="8:8">
      <c r="H199" s="140"/>
    </row>
    <row r="200" spans="8:8">
      <c r="H200" s="140"/>
    </row>
    <row r="201" spans="8:8">
      <c r="H201" s="140"/>
    </row>
    <row r="202" spans="8:8">
      <c r="H202" s="140"/>
    </row>
    <row r="203" spans="8:8">
      <c r="H203" s="140"/>
    </row>
    <row r="204" spans="8:8">
      <c r="H204" s="140"/>
    </row>
    <row r="205" spans="8:8">
      <c r="H205" s="140"/>
    </row>
    <row r="206" spans="8:8">
      <c r="H206" s="140"/>
    </row>
    <row r="207" spans="8:8">
      <c r="H207" s="140"/>
    </row>
    <row r="208" spans="8:8">
      <c r="H208" s="140"/>
    </row>
    <row r="209" spans="8:8">
      <c r="H209" s="140"/>
    </row>
    <row r="210" spans="8:8">
      <c r="H210" s="140"/>
    </row>
    <row r="211" spans="8:8">
      <c r="H211" s="140"/>
    </row>
    <row r="212" spans="8:8">
      <c r="H212" s="140"/>
    </row>
    <row r="213" spans="8:8">
      <c r="H213" s="140"/>
    </row>
    <row r="214" spans="8:8">
      <c r="H214" s="140"/>
    </row>
    <row r="215" spans="8:8">
      <c r="H215" s="140"/>
    </row>
    <row r="216" spans="8:8">
      <c r="H216" s="140"/>
    </row>
    <row r="217" spans="8:8">
      <c r="H217" s="140"/>
    </row>
    <row r="218" spans="8:8">
      <c r="H218" s="140"/>
    </row>
    <row r="219" spans="8:8">
      <c r="H219" s="140"/>
    </row>
    <row r="220" spans="8:8">
      <c r="H220" s="140"/>
    </row>
    <row r="221" spans="8:8">
      <c r="H221" s="140"/>
    </row>
    <row r="222" spans="8:8">
      <c r="H222" s="140"/>
    </row>
    <row r="223" spans="8:8">
      <c r="H223" s="140"/>
    </row>
    <row r="224" spans="8:8">
      <c r="H224" s="140"/>
    </row>
    <row r="225" spans="6:9">
      <c r="F225" s="139" t="e">
        <f>(E224-1)*#REF!</f>
        <v>#REF!</v>
      </c>
      <c r="H225" s="140" t="e">
        <f>F225*E224</f>
        <v>#REF!</v>
      </c>
      <c r="I225" t="s">
        <v>353</v>
      </c>
    </row>
    <row r="226" spans="6:9">
      <c r="F226" s="139" t="e">
        <f>(E225-1)*#REF!</f>
        <v>#REF!</v>
      </c>
      <c r="H226" s="140" t="e">
        <f>F226*E225</f>
        <v>#REF!</v>
      </c>
      <c r="I226" t="s">
        <v>353</v>
      </c>
    </row>
    <row r="227" spans="6:9">
      <c r="F227" s="139" t="e">
        <f>(E226-1)*#REF!</f>
        <v>#REF!</v>
      </c>
      <c r="H227" s="140" t="e">
        <f>F227*E226</f>
        <v>#REF!</v>
      </c>
      <c r="I227" t="s">
        <v>353</v>
      </c>
    </row>
    <row r="228" spans="6:9">
      <c r="F228" s="139" t="e">
        <f>(E227-1)*#REF!</f>
        <v>#REF!</v>
      </c>
      <c r="H228" s="140" t="e">
        <f>F228*E227</f>
        <v>#REF!</v>
      </c>
      <c r="I228" t="s">
        <v>353</v>
      </c>
    </row>
  </sheetData>
  <phoneticPr fontId="29" type="noConversion"/>
  <pageMargins left="0.7" right="0.7" top="0.75" bottom="0.75" header="0.3" footer="0.3"/>
  <pageSetup orientation="portrait" r:id="rId1"/>
  <picture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9592C6-6BD9-4ED3-99B3-108EFBD60E8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3</vt:i4>
      </vt:variant>
    </vt:vector>
  </HeadingPairs>
  <TitlesOfParts>
    <vt:vector size="44" baseType="lpstr">
      <vt:lpstr>HOME  (3)</vt:lpstr>
      <vt:lpstr>AWAY (2)</vt:lpstr>
      <vt:lpstr>PREDICTION</vt:lpstr>
      <vt:lpstr>Data entry</vt:lpstr>
      <vt:lpstr>Brentford</vt:lpstr>
      <vt:lpstr>Getafe</vt:lpstr>
      <vt:lpstr>Ipswich Town</vt:lpstr>
      <vt:lpstr>Celta Vigo</vt:lpstr>
      <vt:lpstr>Alavés</vt:lpstr>
      <vt:lpstr>Real Sociedad</vt:lpstr>
      <vt:lpstr>Osasuna</vt:lpstr>
      <vt:lpstr>Bayer Leverkusen</vt:lpstr>
      <vt:lpstr>Villarreal</vt:lpstr>
      <vt:lpstr>Leganés</vt:lpstr>
      <vt:lpstr>Girona</vt:lpstr>
      <vt:lpstr>Real Valladolid</vt:lpstr>
      <vt:lpstr>Atlético Madrid</vt:lpstr>
      <vt:lpstr>Real Madrid</vt:lpstr>
      <vt:lpstr>Laliga Teams</vt:lpstr>
      <vt:lpstr>Sevilla</vt:lpstr>
      <vt:lpstr>Valencia (2)</vt:lpstr>
      <vt:lpstr>criteria</vt:lpstr>
      <vt:lpstr>Tottenham Hotspur</vt:lpstr>
      <vt:lpstr>Manchester United</vt:lpstr>
      <vt:lpstr>Everton</vt:lpstr>
      <vt:lpstr>Arsenal</vt:lpstr>
      <vt:lpstr>Newcastle United</vt:lpstr>
      <vt:lpstr>Premier League</vt:lpstr>
      <vt:lpstr>Tottehnam</vt:lpstr>
      <vt:lpstr>Chelsea</vt:lpstr>
      <vt:lpstr>Leicester City</vt:lpstr>
      <vt:lpstr>AFC Bournemouth</vt:lpstr>
      <vt:lpstr>Wolverhampton Wanderers</vt:lpstr>
      <vt:lpstr>Tables</vt:lpstr>
      <vt:lpstr>Southampton</vt:lpstr>
      <vt:lpstr>Brighton</vt:lpstr>
      <vt:lpstr>Athletic Club</vt:lpstr>
      <vt:lpstr>Real Betis</vt:lpstr>
      <vt:lpstr>Espanyol</vt:lpstr>
      <vt:lpstr>Barcelona</vt:lpstr>
      <vt:lpstr>Game progress</vt:lpstr>
      <vt:lpstr>Alaves</vt:lpstr>
      <vt:lpstr>H2H</vt:lpstr>
      <vt:lpstr>home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emmanuel mbachu</dc:creator>
  <cp:keywords/>
  <dc:description/>
  <cp:lastModifiedBy>emmanuel mbachu</cp:lastModifiedBy>
  <cp:revision/>
  <cp:lastPrinted>2024-11-12T00:23:21Z</cp:lastPrinted>
  <dcterms:created xsi:type="dcterms:W3CDTF">2024-08-22T00:29:12Z</dcterms:created>
  <dcterms:modified xsi:type="dcterms:W3CDTF">2024-11-30T21:26:27Z</dcterms:modified>
  <cp:category/>
  <cp:contentStatus/>
</cp:coreProperties>
</file>