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5" yWindow="2235" windowWidth="18480" windowHeight="12240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Sheet1!$B$56</definedName>
    <definedName name="solver_lhs2" localSheetId="0" hidden="1">Sheet1!$B$82:$B$83</definedName>
    <definedName name="solver_lhs3" localSheetId="0" hidden="1">Sheet1!$B$74:$B$80</definedName>
    <definedName name="solver_lhs4" localSheetId="0" hidden="1">Sheet1!$B$53:$E$59</definedName>
    <definedName name="solver_lhs5" localSheetId="0" hidden="1">Sheet1!$B$53</definedName>
    <definedName name="solver_lhs6" localSheetId="0" hidden="1">Sheet1!$B$68:$B$71</definedName>
    <definedName name="solver_lhs7" localSheetId="0" hidden="1">Sheet1!$B$81</definedName>
    <definedName name="solver_lin" localSheetId="0" hidden="1">2</definedName>
    <definedName name="solver_neg" localSheetId="0" hidden="1">1</definedName>
    <definedName name="solver_num" localSheetId="0" hidden="1">6</definedName>
    <definedName name="solver_nwt" localSheetId="0" hidden="1">1</definedName>
    <definedName name="solver_opt" localSheetId="0" hidden="1">Sheet1!$B$62</definedName>
    <definedName name="solver_pre" localSheetId="0" hidden="1">0.000001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2</definedName>
    <definedName name="solver_rel6" localSheetId="0" hidden="1">3</definedName>
    <definedName name="solver_rel7" localSheetId="0" hidden="1">2</definedName>
    <definedName name="solver_rhs1" localSheetId="0" hidden="1">0</definedName>
    <definedName name="solver_rhs2" localSheetId="0" hidden="1">Sheet1!$D$82:$D$83</definedName>
    <definedName name="solver_rhs3" localSheetId="0" hidden="1">Sheet1!$D$74:$D$80</definedName>
    <definedName name="solver_rhs4" localSheetId="0" hidden="1">0</definedName>
    <definedName name="solver_rhs5" localSheetId="0" hidden="1">0</definedName>
    <definedName name="solver_rhs6" localSheetId="0" hidden="1">Sheet1!$D$68:$D$71</definedName>
    <definedName name="solver_rhs7" localSheetId="0" hidden="1">Sheet1!$D$81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 concurrentCalc="0"/>
</workbook>
</file>

<file path=xl/calcChain.xml><?xml version="1.0" encoding="utf-8"?>
<calcChain xmlns="http://schemas.openxmlformats.org/spreadsheetml/2006/main">
  <c r="K77" i="1"/>
  <c r="K76"/>
  <c r="E30"/>
  <c r="D30"/>
  <c r="C30"/>
  <c r="B30"/>
  <c r="B62"/>
  <c r="L60"/>
  <c r="D70"/>
  <c r="M70"/>
  <c r="K68"/>
  <c r="L68"/>
  <c r="M68"/>
  <c r="K69"/>
  <c r="L69"/>
  <c r="M69"/>
  <c r="M73"/>
  <c r="K70"/>
  <c r="O70"/>
  <c r="K72"/>
  <c r="O68"/>
  <c r="O69"/>
  <c r="K65"/>
  <c r="G58"/>
  <c r="G53"/>
  <c r="G54"/>
  <c r="G55"/>
  <c r="G56"/>
  <c r="G57"/>
  <c r="G59"/>
  <c r="G60"/>
  <c r="B60"/>
  <c r="E60"/>
  <c r="F54"/>
  <c r="F55"/>
  <c r="F56"/>
  <c r="F57"/>
  <c r="F58"/>
  <c r="F59"/>
  <c r="F53"/>
  <c r="D60"/>
  <c r="C60"/>
  <c r="B77"/>
  <c r="B74"/>
  <c r="B83"/>
  <c r="B82"/>
  <c r="B80"/>
  <c r="B79"/>
  <c r="B78"/>
  <c r="B76"/>
  <c r="B75"/>
  <c r="D75"/>
  <c r="D76"/>
  <c r="D77"/>
  <c r="D78"/>
  <c r="D79"/>
  <c r="D80"/>
  <c r="D74"/>
  <c r="D69"/>
  <c r="D71"/>
  <c r="D68"/>
  <c r="B71"/>
  <c r="B70"/>
  <c r="B69"/>
  <c r="B68"/>
</calcChain>
</file>

<file path=xl/sharedStrings.xml><?xml version="1.0" encoding="utf-8"?>
<sst xmlns="http://schemas.openxmlformats.org/spreadsheetml/2006/main" count="128" uniqueCount="47">
  <si>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</si>
  <si>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</si>
  <si>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</si>
  <si>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</si>
  <si>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</si>
  <si>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</si>
  <si>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</si>
  <si>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</si>
  <si>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</si>
  <si>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</si>
  <si>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</si>
  <si>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</si>
  <si>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</si>
  <si>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</si>
  <si>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</si>
  <si>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</si>
  <si>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</si>
  <si>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</si>
  <si>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</si>
  <si>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</si>
  <si>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</si>
  <si>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</si>
  <si>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OBJECTIVE</t>
  </si>
  <si>
    <t>CONSTRAINTS</t>
  </si>
  <si>
    <t>DECISION</t>
  </si>
  <si>
    <t>&gt;=</t>
  </si>
  <si>
    <t>DEMAND</t>
  </si>
  <si>
    <t>&lt;=</t>
  </si>
  <si>
    <t>CAPACITY</t>
  </si>
  <si>
    <t>=</t>
  </si>
  <si>
    <t>Extra fine</t>
  </si>
  <si>
    <t>COST</t>
  </si>
  <si>
    <t>ORIGINAL</t>
  </si>
  <si>
    <t>SIMULATION AVEC 38600H</t>
  </si>
  <si>
    <t>2.1 ANSWER</t>
  </si>
  <si>
    <t>MEDIUM</t>
  </si>
  <si>
    <t>DE BIASI</t>
  </si>
  <si>
    <t>GIULIANI</t>
  </si>
  <si>
    <t>FILATOI</t>
  </si>
  <si>
    <t>COST P</t>
  </si>
  <si>
    <t>COST TRANS</t>
  </si>
  <si>
    <t>RENTAL COST</t>
  </si>
  <si>
    <t>TOTAL PROD</t>
  </si>
  <si>
    <t>2.2 ANSWER</t>
  </si>
  <si>
    <t>MEDIUM-0-2800</t>
  </si>
  <si>
    <t>MEDIUM-28000-33300</t>
  </si>
  <si>
    <t>ESTIMATES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</si>
</sst>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2" fontId="1" fillId="3" borderId="10" xfId="0" applyNumberFormat="1" applyFont="1" applyFill="1" applyBorder="1" applyAlignment="1">
      <alignment horizontal="left" vertical="center" wrapText="1"/>
    </xf>
    <xf numFmtId="2" fontId="1" fillId="3" borderId="11" xfId="0" applyNumberFormat="1" applyFont="1" applyFill="1" applyBorder="1" applyAlignment="1">
      <alignment horizontal="left" vertical="center" wrapText="1"/>
    </xf>
    <xf numFmtId="2" fontId="1" fillId="3" borderId="9" xfId="0" applyNumberFormat="1" applyFont="1" applyFill="1" applyBorder="1" applyAlignment="1">
      <alignment horizontal="left" vertical="center" wrapText="1"/>
    </xf>
    <xf numFmtId="2" fontId="1" fillId="3" borderId="12" xfId="0" applyNumberFormat="1" applyFont="1" applyFill="1" applyBorder="1" applyAlignment="1">
      <alignment horizontal="left" vertical="center" wrapText="1"/>
    </xf>
    <xf numFmtId="2" fontId="1" fillId="3" borderId="13" xfId="0" applyNumberFormat="1" applyFont="1" applyFill="1" applyBorder="1" applyAlignment="1">
      <alignment horizontal="left" vertical="center" wrapText="1"/>
    </xf>
    <xf numFmtId="2" fontId="1" fillId="3" borderId="14" xfId="0" applyNumberFormat="1" applyFont="1" applyFill="1" applyBorder="1" applyAlignment="1">
      <alignment horizontal="left" vertical="center" wrapText="1"/>
    </xf>
    <xf numFmtId="2" fontId="3" fillId="4" borderId="9" xfId="0" applyNumberFormat="1" applyFont="1" applyFill="1" applyBorder="1" applyAlignment="1">
      <alignment horizontal="left" vertical="center" wrapText="1"/>
    </xf>
    <xf numFmtId="2" fontId="0" fillId="0" borderId="0" xfId="0" applyNumberFormat="1"/>
    <xf numFmtId="0" fontId="1" fillId="0" borderId="0" xfId="0" applyFont="1" applyFill="1" applyBorder="1" applyAlignment="1">
      <alignment horizontal="center" vertical="center" wrapText="1"/>
    </xf>
    <xf numFmtId="2" fontId="1" fillId="3" borderId="10" xfId="0" applyNumberFormat="1" applyFont="1" applyFill="1" applyBorder="1" applyAlignment="1">
      <alignment horizontal="right" vertical="center" wrapText="1"/>
    </xf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2" fontId="0" fillId="0" borderId="0" xfId="0" applyNumberFormat="1"/>
    <xf numFmtId="2" fontId="1" fillId="3" borderId="9" xfId="0" applyNumberFormat="1" applyFont="1" applyFill="1" applyBorder="1" applyAlignment="1">
      <alignment horizontal="right" vertical="center" wrapText="1"/>
    </xf>
    <xf numFmtId="2" fontId="1" fillId="3" borderId="13" xfId="0" applyNumberFormat="1" applyFont="1" applyFill="1" applyBorder="1" applyAlignment="1">
      <alignment horizontal="right" vertical="center" wrapText="1"/>
    </xf>
    <xf numFmtId="2" fontId="1" fillId="3" borderId="11" xfId="0" applyNumberFormat="1" applyFont="1" applyFill="1" applyBorder="1" applyAlignment="1">
      <alignment horizontal="right" vertical="center" wrapText="1"/>
    </xf>
    <xf numFmtId="2" fontId="1" fillId="3" borderId="12" xfId="0" applyNumberFormat="1" applyFont="1" applyFill="1" applyBorder="1" applyAlignment="1">
      <alignment horizontal="right" vertical="center" wrapText="1"/>
    </xf>
    <xf numFmtId="2" fontId="1" fillId="3" borderId="14" xfId="0" applyNumberFormat="1" applyFont="1" applyFill="1" applyBorder="1" applyAlignment="1">
      <alignment horizontal="right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3"/>
  <sheetViews>
    <sheetView tabSelected="1" topLeftCell="A58" workbookViewId="0">
      <selection activeCell="K78" sqref="K78"/>
    </sheetView>
  </sheetViews>
  <sheetFormatPr baseColWidth="10" defaultRowHeight="15.75"/>
  <cols>
    <col min="1" max="1" width="14.25" customWidth="1"/>
    <col min="10" max="10" width="12.875" customWidth="1"/>
    <col min="12" max="12" width="20.125" customWidth="1"/>
  </cols>
  <sheetData>
    <row r="1" spans="1:5">
      <c r="A1" s="13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.5" thickBot="1">
      <c r="A3" s="13" t="s">
        <v>1</v>
      </c>
      <c r="B3" s="1"/>
      <c r="C3" s="1"/>
      <c r="D3" s="1"/>
      <c r="E3" s="1"/>
    </row>
    <row r="4" spans="1:5" ht="16.5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.5" thickBot="1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>
      <c r="A12" s="1"/>
      <c r="B12" s="1"/>
      <c r="C12" s="1"/>
      <c r="D12" s="1"/>
      <c r="E12" s="1"/>
    </row>
    <row r="13" spans="1:5" ht="16.5" thickBot="1">
      <c r="A13" s="13" t="s">
        <v>14</v>
      </c>
      <c r="B13" s="1"/>
      <c r="C13" s="1"/>
      <c r="D13" s="1"/>
      <c r="E13" s="1"/>
    </row>
    <row r="14" spans="1:5" ht="16.5" thickBot="1">
      <c r="A14" s="2" t="s">
        <v>2</v>
      </c>
      <c r="B14" s="4" t="s">
        <v>15</v>
      </c>
      <c r="C14" s="1"/>
      <c r="D14" s="1"/>
      <c r="E14" s="1"/>
    </row>
    <row r="15" spans="1:5">
      <c r="A15" s="5" t="s">
        <v>7</v>
      </c>
      <c r="B15" s="8">
        <v>2500</v>
      </c>
      <c r="C15" s="1"/>
      <c r="D15" s="1"/>
      <c r="E15" s="1"/>
    </row>
    <row r="16" spans="1:5">
      <c r="A16" s="5" t="s">
        <v>8</v>
      </c>
      <c r="B16" s="8">
        <v>3000</v>
      </c>
      <c r="C16" s="1"/>
      <c r="D16" s="1"/>
      <c r="E16" s="1"/>
    </row>
    <row r="17" spans="1:5">
      <c r="A17" s="5" t="s">
        <v>9</v>
      </c>
      <c r="B17" s="8">
        <v>2500</v>
      </c>
      <c r="C17" s="1"/>
      <c r="D17" s="1"/>
      <c r="E17" s="1"/>
    </row>
    <row r="18" spans="1:5">
      <c r="A18" s="5" t="s">
        <v>10</v>
      </c>
      <c r="B18" s="8">
        <v>2600</v>
      </c>
      <c r="C18" s="1"/>
      <c r="D18" s="1"/>
      <c r="E18" s="1"/>
    </row>
    <row r="19" spans="1:5">
      <c r="A19" s="5" t="s">
        <v>11</v>
      </c>
      <c r="B19" s="8">
        <v>2500</v>
      </c>
      <c r="C19" s="1"/>
      <c r="D19" s="1"/>
      <c r="E19" s="1"/>
    </row>
    <row r="20" spans="1:5">
      <c r="A20" s="5" t="s">
        <v>12</v>
      </c>
      <c r="B20" s="8">
        <v>38000</v>
      </c>
      <c r="C20" s="1"/>
      <c r="D20" s="1"/>
      <c r="E20" s="1"/>
    </row>
    <row r="21" spans="1:5" ht="16.5" thickBot="1">
      <c r="A21" s="9" t="s">
        <v>13</v>
      </c>
      <c r="B21" s="10">
        <v>2500</v>
      </c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 ht="16.5" thickBot="1">
      <c r="A23" s="13" t="s">
        <v>16</v>
      </c>
      <c r="B23" s="1"/>
      <c r="C23" s="1"/>
      <c r="D23" s="1"/>
      <c r="E23" s="1"/>
    </row>
    <row r="24" spans="1:5" ht="16.5" thickBot="1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>
      <c r="A30" s="5" t="s">
        <v>12</v>
      </c>
      <c r="B30" s="18">
        <f>18.25*1.05</f>
        <v>19.162500000000001</v>
      </c>
      <c r="C30" s="18">
        <f>13.9*1.05</f>
        <v>14.595000000000001</v>
      </c>
      <c r="D30" s="18">
        <f>11.4*1.05</f>
        <v>11.97</v>
      </c>
      <c r="E30" s="19">
        <f>8.9*1.05</f>
        <v>9.3450000000000006</v>
      </c>
    </row>
    <row r="31" spans="1:5" ht="16.5" thickBot="1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>
      <c r="A32" s="1"/>
      <c r="B32" s="1"/>
      <c r="C32" s="1"/>
      <c r="D32" s="1"/>
      <c r="E32" s="1"/>
    </row>
    <row r="33" spans="1:5" ht="16.5" thickBot="1">
      <c r="A33" s="13" t="s">
        <v>17</v>
      </c>
      <c r="B33" s="1"/>
      <c r="C33" s="1"/>
      <c r="D33" s="1"/>
      <c r="E33" s="1"/>
    </row>
    <row r="34" spans="1:5" ht="16.5" thickBot="1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.5" thickBot="1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>
      <c r="A42" s="1"/>
      <c r="B42" s="1"/>
      <c r="C42" s="1"/>
      <c r="D42" s="1"/>
      <c r="E42" s="1"/>
    </row>
    <row r="43" spans="1:5" ht="16.5" thickBot="1">
      <c r="A43" s="13" t="s">
        <v>18</v>
      </c>
      <c r="B43" s="1"/>
      <c r="C43" s="1"/>
      <c r="D43" s="1"/>
      <c r="E43" s="1"/>
    </row>
    <row r="44" spans="1:5" ht="16.5" thickBot="1">
      <c r="A44" s="2" t="s">
        <v>19</v>
      </c>
      <c r="B44" s="4" t="s">
        <v>20</v>
      </c>
      <c r="C44" s="12"/>
      <c r="D44" s="12"/>
      <c r="E44" s="12"/>
    </row>
    <row r="45" spans="1:5">
      <c r="A45" s="5" t="s">
        <v>3</v>
      </c>
      <c r="B45" s="8">
        <v>25000</v>
      </c>
      <c r="C45" s="7"/>
      <c r="D45" s="7"/>
      <c r="E45" s="7"/>
    </row>
    <row r="46" spans="1:5">
      <c r="A46" s="5" t="s">
        <v>4</v>
      </c>
      <c r="B46" s="8">
        <v>26000</v>
      </c>
      <c r="C46" s="1"/>
      <c r="D46" s="1"/>
      <c r="E46" s="1"/>
    </row>
    <row r="47" spans="1:5">
      <c r="A47" s="5" t="s">
        <v>5</v>
      </c>
      <c r="B47" s="8">
        <v>28000</v>
      </c>
      <c r="C47" s="1"/>
      <c r="D47" s="1"/>
      <c r="E47" s="1"/>
    </row>
    <row r="48" spans="1:5" ht="16.5" thickBot="1">
      <c r="A48" s="9" t="s">
        <v>6</v>
      </c>
      <c r="B48" s="10">
        <v>28000</v>
      </c>
      <c r="C48" s="1"/>
      <c r="D48" s="1"/>
      <c r="E48" s="1"/>
    </row>
    <row r="49" spans="1:13">
      <c r="A49" s="1"/>
      <c r="B49" s="1"/>
      <c r="C49" s="1"/>
      <c r="D49" s="1"/>
      <c r="E49" s="1"/>
    </row>
    <row r="50" spans="1:13">
      <c r="A50" s="1"/>
      <c r="B50" s="1"/>
      <c r="C50" s="1"/>
      <c r="D50" s="1"/>
      <c r="E50" s="1"/>
    </row>
    <row r="51" spans="1:13" ht="16.5" thickBot="1">
      <c r="A51" s="13" t="s">
        <v>21</v>
      </c>
      <c r="B51" s="1"/>
      <c r="C51" s="1"/>
      <c r="D51" s="1"/>
      <c r="E51" s="1"/>
    </row>
    <row r="52" spans="1:13" ht="16.5" thickBot="1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  <c r="G52" s="34" t="s">
        <v>31</v>
      </c>
      <c r="I52" s="37" t="s">
        <v>2</v>
      </c>
      <c r="J52" s="38" t="s">
        <v>3</v>
      </c>
      <c r="K52" s="38" t="s">
        <v>4</v>
      </c>
      <c r="L52" s="38" t="s">
        <v>5</v>
      </c>
      <c r="M52" s="39" t="s">
        <v>6</v>
      </c>
    </row>
    <row r="53" spans="1:13">
      <c r="A53" s="5" t="s">
        <v>7</v>
      </c>
      <c r="B53" s="26">
        <v>0</v>
      </c>
      <c r="C53" s="26">
        <v>6249.9999999999991</v>
      </c>
      <c r="D53" s="26">
        <v>0</v>
      </c>
      <c r="E53" s="27">
        <v>0</v>
      </c>
      <c r="F53" s="33">
        <f>SUM(B53:E53)</f>
        <v>6249.9999999999991</v>
      </c>
      <c r="G53" s="33">
        <f>SUMPRODUCT(B25:E25,B53:E53)-SUMPRODUCT(B53:E53,B35:E35)</f>
        <v>79374.999999999985</v>
      </c>
      <c r="I53" s="40" t="s">
        <v>7</v>
      </c>
      <c r="J53" s="35">
        <v>0</v>
      </c>
      <c r="K53" s="35">
        <v>6250</v>
      </c>
      <c r="L53" s="35">
        <v>0</v>
      </c>
      <c r="M53" s="45">
        <v>0</v>
      </c>
    </row>
    <row r="54" spans="1:13">
      <c r="A54" s="5" t="s">
        <v>8</v>
      </c>
      <c r="B54" s="28">
        <v>4285.7142857142862</v>
      </c>
      <c r="C54" s="28">
        <v>0</v>
      </c>
      <c r="D54" s="28">
        <v>0</v>
      </c>
      <c r="E54" s="29">
        <v>0</v>
      </c>
      <c r="F54" s="33">
        <f t="shared" ref="F54:F59" si="0">SUM(B54:E54)</f>
        <v>4285.7142857142862</v>
      </c>
      <c r="G54" s="33">
        <f t="shared" ref="G54:G59" si="1">SUMPRODUCT(B26:E26,B54:E54)-SUMPRODUCT(B54:E54,B36:E36)</f>
        <v>72857.14285714287</v>
      </c>
      <c r="I54" s="40" t="s">
        <v>8</v>
      </c>
      <c r="J54" s="43">
        <v>4285.7142864285715</v>
      </c>
      <c r="K54" s="43">
        <v>-9.9999999747524271E-7</v>
      </c>
      <c r="L54" s="43">
        <v>0</v>
      </c>
      <c r="M54" s="46">
        <v>0</v>
      </c>
    </row>
    <row r="55" spans="1:13">
      <c r="A55" s="5" t="s">
        <v>9</v>
      </c>
      <c r="B55" s="28">
        <v>3703.7037037037035</v>
      </c>
      <c r="C55" s="28">
        <v>0</v>
      </c>
      <c r="D55" s="28">
        <v>1.1368683772161603E-13</v>
      </c>
      <c r="E55" s="29">
        <v>0</v>
      </c>
      <c r="F55" s="33">
        <f t="shared" si="0"/>
        <v>3703.7037037037035</v>
      </c>
      <c r="G55" s="33">
        <f t="shared" si="1"/>
        <v>61481.481481481474</v>
      </c>
      <c r="I55" s="40" t="s">
        <v>9</v>
      </c>
      <c r="J55" s="43">
        <v>3703.7037037037035</v>
      </c>
      <c r="K55" s="43">
        <v>0</v>
      </c>
      <c r="L55" s="43">
        <v>1.1368683772161603E-13</v>
      </c>
      <c r="M55" s="46">
        <v>0</v>
      </c>
    </row>
    <row r="56" spans="1:13">
      <c r="A56" s="5" t="s">
        <v>10</v>
      </c>
      <c r="B56" s="28">
        <v>0</v>
      </c>
      <c r="C56" s="28">
        <v>0</v>
      </c>
      <c r="D56" s="28">
        <v>2040.1254518901537</v>
      </c>
      <c r="E56" s="29">
        <v>0</v>
      </c>
      <c r="F56" s="33">
        <f t="shared" si="0"/>
        <v>2040.1254518901537</v>
      </c>
      <c r="G56" s="33">
        <f t="shared" si="1"/>
        <v>20809.279609279569</v>
      </c>
      <c r="I56" s="40" t="s">
        <v>10</v>
      </c>
      <c r="J56" s="43">
        <v>0</v>
      </c>
      <c r="K56" s="43">
        <v>0</v>
      </c>
      <c r="L56" s="43">
        <v>2040.125452016209</v>
      </c>
      <c r="M56" s="46">
        <v>0</v>
      </c>
    </row>
    <row r="57" spans="1:13">
      <c r="A57" s="5" t="s">
        <v>11</v>
      </c>
      <c r="B57" s="28">
        <v>3846.1538461538462</v>
      </c>
      <c r="C57" s="28">
        <v>0</v>
      </c>
      <c r="D57" s="28">
        <v>0</v>
      </c>
      <c r="E57" s="29">
        <v>0</v>
      </c>
      <c r="F57" s="33">
        <f t="shared" si="0"/>
        <v>3846.1538461538462</v>
      </c>
      <c r="G57" s="33">
        <f t="shared" si="1"/>
        <v>64615.384615384617</v>
      </c>
      <c r="I57" s="40" t="s">
        <v>11</v>
      </c>
      <c r="J57" s="43">
        <v>3846.1538461538462</v>
      </c>
      <c r="K57" s="43">
        <v>0</v>
      </c>
      <c r="L57" s="43">
        <v>-5.6843418860808015E-14</v>
      </c>
      <c r="M57" s="46">
        <v>0</v>
      </c>
    </row>
    <row r="58" spans="1:13">
      <c r="A58" s="5" t="s">
        <v>12</v>
      </c>
      <c r="B58" s="28">
        <v>13164.428164428165</v>
      </c>
      <c r="C58" s="28">
        <v>19750</v>
      </c>
      <c r="D58" s="28">
        <v>18817.0174052527</v>
      </c>
      <c r="E58" s="29">
        <v>28000</v>
      </c>
      <c r="F58" s="33">
        <f t="shared" si="0"/>
        <v>79731.445569680858</v>
      </c>
      <c r="G58" s="33">
        <f>SUMPRODUCT(B30:E30,B58:E58)</f>
        <v>1027414.3030417296</v>
      </c>
      <c r="H58" s="33"/>
      <c r="I58" s="40" t="s">
        <v>12</v>
      </c>
      <c r="J58" s="43">
        <v>13164.428163713879</v>
      </c>
      <c r="K58" s="43">
        <v>19750.000001</v>
      </c>
      <c r="L58" s="43">
        <v>18817.017405126648</v>
      </c>
      <c r="M58" s="46">
        <v>28000</v>
      </c>
    </row>
    <row r="59" spans="1:13" ht="16.5" thickBot="1">
      <c r="A59" s="9" t="s">
        <v>13</v>
      </c>
      <c r="B59" s="30">
        <v>0</v>
      </c>
      <c r="C59" s="30">
        <v>0</v>
      </c>
      <c r="D59" s="30">
        <v>7142.857142857144</v>
      </c>
      <c r="E59" s="31">
        <v>0</v>
      </c>
      <c r="F59" s="33">
        <f t="shared" si="0"/>
        <v>7142.857142857144</v>
      </c>
      <c r="G59" s="33">
        <f t="shared" si="1"/>
        <v>71428.571428571449</v>
      </c>
      <c r="I59" s="41" t="s">
        <v>13</v>
      </c>
      <c r="J59" s="44">
        <v>0</v>
      </c>
      <c r="K59" s="44">
        <v>0</v>
      </c>
      <c r="L59" s="44">
        <v>7142.8571428571431</v>
      </c>
      <c r="M59" s="47">
        <v>0</v>
      </c>
    </row>
    <row r="60" spans="1:13">
      <c r="B60" s="32">
        <f>SUM(B53:B59)-B58</f>
        <v>11835.571835571835</v>
      </c>
      <c r="C60" s="32">
        <f>SUM(C53:C57)</f>
        <v>6249.9999999999991</v>
      </c>
      <c r="D60" s="32">
        <f>SUM(D53:D59)-D58</f>
        <v>9182.9825947473</v>
      </c>
      <c r="E60" s="32">
        <f>SUM(E53:E59)-E58</f>
        <v>0</v>
      </c>
      <c r="G60" s="33">
        <f>SUM(G53:G59)</f>
        <v>1397981.1630335895</v>
      </c>
      <c r="L60" s="42">
        <f>SUM(L53:L59)</f>
        <v>28000</v>
      </c>
    </row>
    <row r="61" spans="1:13">
      <c r="A61" t="s">
        <v>22</v>
      </c>
    </row>
    <row r="62" spans="1:13">
      <c r="B62" s="48">
        <f>SUMPRODUCT(B25:E31,B53:E59)+SUMPRODUCT(B35:E41,B53:E59)</f>
        <v>1431468.8249359573</v>
      </c>
    </row>
    <row r="63" spans="1:13">
      <c r="I63" t="s">
        <v>32</v>
      </c>
      <c r="K63" s="48">
        <v>1382544.334</v>
      </c>
      <c r="L63" s="33"/>
      <c r="M63" s="33"/>
    </row>
    <row r="64" spans="1:13">
      <c r="A64" t="s">
        <v>23</v>
      </c>
      <c r="I64" t="s">
        <v>33</v>
      </c>
      <c r="K64">
        <v>1381273.75</v>
      </c>
      <c r="L64" s="33"/>
      <c r="M64" s="33"/>
    </row>
    <row r="65" spans="1:15">
      <c r="B65" t="s">
        <v>24</v>
      </c>
      <c r="C65" t="s">
        <v>25</v>
      </c>
      <c r="D65">
        <v>0</v>
      </c>
      <c r="I65" t="s">
        <v>34</v>
      </c>
      <c r="K65">
        <f>K63-K64</f>
        <v>1270.5840000000317</v>
      </c>
    </row>
    <row r="67" spans="1:15">
      <c r="A67" t="s">
        <v>26</v>
      </c>
      <c r="I67" t="s">
        <v>35</v>
      </c>
      <c r="K67" t="s">
        <v>39</v>
      </c>
      <c r="L67" t="s">
        <v>40</v>
      </c>
      <c r="O67" t="s">
        <v>42</v>
      </c>
    </row>
    <row r="68" spans="1:15">
      <c r="A68" t="s">
        <v>30</v>
      </c>
      <c r="B68">
        <f>SUM(B53:B59)</f>
        <v>25000</v>
      </c>
      <c r="C68" t="s">
        <v>25</v>
      </c>
      <c r="D68">
        <f>B45</f>
        <v>25000</v>
      </c>
      <c r="I68" t="s">
        <v>36</v>
      </c>
      <c r="J68">
        <v>2040.13</v>
      </c>
      <c r="K68">
        <f>J68*D28</f>
        <v>22951.462500000001</v>
      </c>
      <c r="L68">
        <f>J68*D38</f>
        <v>2142.1365000000001</v>
      </c>
      <c r="M68" s="33">
        <f>K68+L68</f>
        <v>25093.599000000002</v>
      </c>
      <c r="N68">
        <v>0.35</v>
      </c>
      <c r="O68">
        <f t="shared" ref="O68:O69" si="2">J68/N68</f>
        <v>5828.942857142858</v>
      </c>
    </row>
    <row r="69" spans="1:15">
      <c r="A69" t="s">
        <v>4</v>
      </c>
      <c r="B69">
        <f>SUM(C53:C59)</f>
        <v>26000</v>
      </c>
      <c r="C69" t="s">
        <v>25</v>
      </c>
      <c r="D69">
        <f t="shared" ref="D69:D71" si="3">B46</f>
        <v>26000</v>
      </c>
      <c r="I69" t="s">
        <v>37</v>
      </c>
      <c r="J69">
        <v>7142.86</v>
      </c>
      <c r="K69">
        <f>J69*D31</f>
        <v>76785.744999999995</v>
      </c>
      <c r="L69">
        <f>J69*D41</f>
        <v>5357.1449999999995</v>
      </c>
      <c r="M69">
        <f>K69+L69</f>
        <v>82142.89</v>
      </c>
      <c r="N69">
        <v>0.35</v>
      </c>
      <c r="O69">
        <f t="shared" si="2"/>
        <v>20408.17142857143</v>
      </c>
    </row>
    <row r="70" spans="1:15">
      <c r="A70" t="s">
        <v>5</v>
      </c>
      <c r="B70">
        <f>SUM(D53:D59)</f>
        <v>28000</v>
      </c>
      <c r="C70" t="s">
        <v>25</v>
      </c>
      <c r="D70">
        <f t="shared" si="3"/>
        <v>28000</v>
      </c>
      <c r="I70" t="s">
        <v>38</v>
      </c>
      <c r="J70">
        <v>300</v>
      </c>
      <c r="K70">
        <f>J70*5.7</f>
        <v>1710</v>
      </c>
      <c r="M70">
        <f>D58*D30</f>
        <v>225239.69834087483</v>
      </c>
      <c r="N70">
        <v>0.42499999999999999</v>
      </c>
      <c r="O70">
        <f>J70/N70</f>
        <v>705.88235294117646</v>
      </c>
    </row>
    <row r="71" spans="1:15">
      <c r="A71" t="s">
        <v>6</v>
      </c>
      <c r="B71">
        <f>SUM(E53:E59)</f>
        <v>28000</v>
      </c>
      <c r="C71" t="s">
        <v>25</v>
      </c>
      <c r="D71">
        <f t="shared" si="3"/>
        <v>28000</v>
      </c>
      <c r="I71" t="s">
        <v>41</v>
      </c>
      <c r="K71">
        <v>3000</v>
      </c>
    </row>
    <row r="72" spans="1:15">
      <c r="I72" t="s">
        <v>43</v>
      </c>
      <c r="K72" s="33">
        <f>(O70*((D28+D38)-5.7))</f>
        <v>4658.8235294117649</v>
      </c>
    </row>
    <row r="73" spans="1:15">
      <c r="A73" t="s">
        <v>28</v>
      </c>
      <c r="L73" t="s">
        <v>44</v>
      </c>
      <c r="M73">
        <f>SUM(M68:M70)/D70</f>
        <v>11.874149547888386</v>
      </c>
    </row>
    <row r="74" spans="1:15">
      <c r="A74" t="s">
        <v>7</v>
      </c>
      <c r="B74">
        <f>SUMPRODUCT(B5:E5,B53:E53)</f>
        <v>2500</v>
      </c>
      <c r="C74" t="s">
        <v>27</v>
      </c>
      <c r="D74">
        <f>B15</f>
        <v>2500</v>
      </c>
      <c r="L74" t="s">
        <v>45</v>
      </c>
      <c r="M74">
        <v>12.3</v>
      </c>
    </row>
    <row r="75" spans="1:15">
      <c r="A75" t="s">
        <v>8</v>
      </c>
      <c r="B75">
        <f>SUMPRODUCT(B6:E6,B54:E54)</f>
        <v>3000</v>
      </c>
      <c r="C75" t="s">
        <v>27</v>
      </c>
      <c r="D75">
        <f t="shared" ref="D75:D80" si="4">B16</f>
        <v>3000</v>
      </c>
      <c r="K75" s="48">
        <v>1431468.82</v>
      </c>
    </row>
    <row r="76" spans="1:15">
      <c r="A76" t="s">
        <v>9</v>
      </c>
      <c r="B76">
        <f t="shared" ref="B76:B80" si="5">SUMPRODUCT(B7:E7,B55:E55)</f>
        <v>2500</v>
      </c>
      <c r="C76" t="s">
        <v>27</v>
      </c>
      <c r="D76">
        <f t="shared" si="4"/>
        <v>2500</v>
      </c>
      <c r="I76" s="36" t="s">
        <v>46</v>
      </c>
      <c r="K76">
        <f>B62-K63</f>
        <v>48924.490935957292</v>
      </c>
    </row>
    <row r="77" spans="1:15">
      <c r="A77" t="s">
        <v>10</v>
      </c>
      <c r="B77">
        <f>SUMPRODUCT(B8:E8,B56:E56)</f>
        <v>714.04390816155376</v>
      </c>
      <c r="C77" t="s">
        <v>27</v>
      </c>
      <c r="D77">
        <f t="shared" si="4"/>
        <v>2600</v>
      </c>
      <c r="I77" s="36"/>
      <c r="J77" s="42"/>
      <c r="K77">
        <f>K76/K63</f>
        <v>3.5387285407628234E-2</v>
      </c>
      <c r="M77" s="33"/>
    </row>
    <row r="78" spans="1:15">
      <c r="A78" t="s">
        <v>11</v>
      </c>
      <c r="B78">
        <f>SUMPRODUCT(B9:E9,B57:E57)</f>
        <v>2500</v>
      </c>
      <c r="C78" t="s">
        <v>27</v>
      </c>
      <c r="D78">
        <f t="shared" si="4"/>
        <v>2500</v>
      </c>
      <c r="I78" s="36"/>
      <c r="J78" s="42"/>
      <c r="M78" s="33"/>
    </row>
    <row r="79" spans="1:15">
      <c r="A79" t="s">
        <v>12</v>
      </c>
      <c r="B79">
        <f t="shared" si="5"/>
        <v>38000</v>
      </c>
      <c r="C79" t="s">
        <v>27</v>
      </c>
      <c r="D79">
        <f t="shared" si="4"/>
        <v>38000</v>
      </c>
      <c r="M79" s="33"/>
    </row>
    <row r="80" spans="1:15">
      <c r="A80" t="s">
        <v>13</v>
      </c>
      <c r="B80">
        <f t="shared" si="5"/>
        <v>2500.0000000000005</v>
      </c>
      <c r="C80" t="s">
        <v>27</v>
      </c>
      <c r="D80">
        <f t="shared" si="4"/>
        <v>2500</v>
      </c>
      <c r="M80" s="33"/>
    </row>
    <row r="81" spans="2:4">
      <c r="B81" s="33"/>
    </row>
    <row r="82" spans="2:4">
      <c r="B82">
        <f>B53</f>
        <v>0</v>
      </c>
      <c r="C82" t="s">
        <v>29</v>
      </c>
      <c r="D82">
        <v>0</v>
      </c>
    </row>
    <row r="83" spans="2:4">
      <c r="B83">
        <f>B56</f>
        <v>0</v>
      </c>
      <c r="C83" t="s">
        <v>29</v>
      </c>
      <c r="D83">
        <v>0</v>
      </c>
    </row>
  </sheetData>
  <pageMargins left="0.75" right="0.75" top="1" bottom="1" header="0.5" footer="0.5"/>
  <ignoredErrors>
    <ignoredError sqref="B75 G58" formula="1"/>
    <ignoredError sqref="C60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emmanuel</cp:lastModifiedBy>
  <dcterms:created xsi:type="dcterms:W3CDTF">2014-01-19T03:55:05Z</dcterms:created>
  <dcterms:modified xsi:type="dcterms:W3CDTF">2015-08-12T13:31:16Z</dcterms:modified>
</cp:coreProperties>
</file>