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908B1932-8655-4E2C-B381-EC3B9CE1AD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2017'!$A$4:$H$30</definedName>
    <definedName name="_xlnm._FilterDatabase" localSheetId="0" hidden="1">Staff!$A$4:$H$24</definedName>
    <definedName name="Annual_Salary" localSheetId="2">'Report July 2017'!$N$4:$N$46</definedName>
    <definedName name="Annual_Salary">Staff!$N$4:$N$39</definedName>
    <definedName name="Date_of_Hire" localSheetId="2">'Report July 2017'!$F$4:$F$46</definedName>
    <definedName name="Date_of_Hire">Staff!$F$4:$F$39</definedName>
    <definedName name="Department" localSheetId="2">'Report July 2017'!$H$4:$H$46</definedName>
    <definedName name="Department">Staff!$H$4:$H$39</definedName>
    <definedName name="Email" localSheetId="2">'Report July 2017'!$E$4:$E$46</definedName>
    <definedName name="Email">Staff!$E$4:$E$39</definedName>
    <definedName name="Emp_ID" localSheetId="2">'Report July 2017'!$A$4:$A$46</definedName>
    <definedName name="Emp_ID">Staff!$A$4:$A$39</definedName>
    <definedName name="Extension" localSheetId="2">'Report July 2017'!$K$4:$K$46</definedName>
    <definedName name="Extension">Staff!$K$4:$K$39</definedName>
    <definedName name="First" localSheetId="2">'Report July 2017'!$C$4:$C$46</definedName>
    <definedName name="First">Staff!$C$4:$C$39</definedName>
    <definedName name="Floor" localSheetId="2">'Report July 2017'!$J$4:$J$46</definedName>
    <definedName name="Floor">Staff!$J$4:$J$39</definedName>
    <definedName name="Gender" localSheetId="2">'Report July 2017'!$D$4:$D$46</definedName>
    <definedName name="Gender">Staff!$D$4:$D$39</definedName>
    <definedName name="Last" localSheetId="2">'Report July 2017'!$B$4:$B$46</definedName>
    <definedName name="Last">Staff!$B$4:$B$39</definedName>
    <definedName name="Last_Review" localSheetId="2">'Report July 2017'!$L$4:$L$46</definedName>
    <definedName name="Last_Review">Staff!$L$4:$L$39</definedName>
    <definedName name="Location" localSheetId="2">'Report July 2017'!$I$4:$I$46</definedName>
    <definedName name="Location">Staff!$I$4:$I$39</definedName>
    <definedName name="Next_Review" localSheetId="2">'Report July 2017'!$M$4:$M$46</definedName>
    <definedName name="Next_Review">Staff!$M$4:$M$39</definedName>
    <definedName name="Pension" localSheetId="2">'Report July 2017'!$O$4:$O$46</definedName>
    <definedName name="Pension">Staff!$O$4:$O$39</definedName>
    <definedName name="Pension_Rate" localSheetId="2">'Report July 2017'!$P$1</definedName>
    <definedName name="Pension_Rate">Staff!$P$1</definedName>
    <definedName name="Years_Service" localSheetId="2">'Report July 2017'!$G$4:$G$46</definedName>
    <definedName name="Years_Service">Staff!$G$4:$G$39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P8" i="3"/>
  <c r="O9" i="3"/>
  <c r="P9" i="3"/>
  <c r="O10" i="3"/>
  <c r="P10" i="3"/>
  <c r="O11" i="3"/>
  <c r="P11" i="3"/>
  <c r="O12" i="3"/>
  <c r="P12" i="3"/>
  <c r="O13" i="3"/>
  <c r="P13" i="3"/>
  <c r="P14" i="3"/>
  <c r="O15" i="3"/>
  <c r="P15" i="3"/>
  <c r="O16" i="3"/>
  <c r="P16" i="3"/>
  <c r="P17" i="3"/>
  <c r="O18" i="3"/>
  <c r="P18" i="3"/>
  <c r="P19" i="3"/>
  <c r="O20" i="3"/>
  <c r="P20" i="3"/>
  <c r="O21" i="3"/>
  <c r="P21" i="3"/>
  <c r="O22" i="3"/>
  <c r="P22" i="3"/>
  <c r="P23" i="3"/>
  <c r="O24" i="3"/>
  <c r="P24" i="3"/>
  <c r="O25" i="3"/>
  <c r="P25" i="3"/>
  <c r="O26" i="3"/>
  <c r="P26" i="3"/>
  <c r="O27" i="3"/>
  <c r="P27" i="3"/>
  <c r="O28" i="3"/>
  <c r="P28" i="3"/>
  <c r="P29" i="3"/>
  <c r="O30" i="3"/>
  <c r="P30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P48" i="3"/>
  <c r="O8" i="3"/>
  <c r="O14" i="3"/>
  <c r="O17" i="3"/>
  <c r="O19" i="3"/>
  <c r="O23" i="3"/>
  <c r="O29" i="3"/>
  <c r="O31" i="3"/>
  <c r="O48" i="3"/>
  <c r="N8" i="3"/>
  <c r="N14" i="3"/>
  <c r="N17" i="3"/>
  <c r="N19" i="3"/>
  <c r="N23" i="3"/>
  <c r="N29" i="3"/>
  <c r="N31" i="3"/>
  <c r="N48" i="3"/>
  <c r="P47" i="3"/>
  <c r="O47" i="3"/>
  <c r="N47" i="3"/>
  <c r="G15" i="3"/>
  <c r="G24" i="3"/>
  <c r="G32" i="3"/>
  <c r="G9" i="3"/>
  <c r="G33" i="3"/>
  <c r="G10" i="3"/>
  <c r="G34" i="3"/>
  <c r="G4" i="3"/>
  <c r="G35" i="3"/>
  <c r="G11" i="3"/>
  <c r="G36" i="3"/>
  <c r="G25" i="3"/>
  <c r="G37" i="3"/>
  <c r="G38" i="3"/>
  <c r="G20" i="3"/>
  <c r="G26" i="3"/>
  <c r="G27" i="3"/>
  <c r="G12" i="3"/>
  <c r="G18" i="3"/>
  <c r="G5" i="3"/>
  <c r="G39" i="3"/>
  <c r="G40" i="3"/>
  <c r="G6" i="3"/>
  <c r="G41" i="3"/>
  <c r="G42" i="3"/>
  <c r="G7" i="3"/>
  <c r="G21" i="3"/>
  <c r="G43" i="3"/>
  <c r="G44" i="3"/>
  <c r="G28" i="3"/>
  <c r="G45" i="3"/>
  <c r="G22" i="3"/>
  <c r="G46" i="3"/>
  <c r="G16" i="3"/>
  <c r="G13" i="3"/>
  <c r="G30" i="3"/>
  <c r="M30" i="3"/>
  <c r="K30" i="3"/>
  <c r="J30" i="3"/>
  <c r="E30" i="3"/>
  <c r="M13" i="3"/>
  <c r="K13" i="3"/>
  <c r="J13" i="3"/>
  <c r="E13" i="3"/>
  <c r="M16" i="3"/>
  <c r="K16" i="3"/>
  <c r="J16" i="3"/>
  <c r="E16" i="3"/>
  <c r="M46" i="3"/>
  <c r="K46" i="3"/>
  <c r="J46" i="3"/>
  <c r="E46" i="3"/>
  <c r="M22" i="3"/>
  <c r="K22" i="3"/>
  <c r="J22" i="3"/>
  <c r="E22" i="3"/>
  <c r="M45" i="3"/>
  <c r="K45" i="3"/>
  <c r="J45" i="3"/>
  <c r="E45" i="3"/>
  <c r="M28" i="3"/>
  <c r="K28" i="3"/>
  <c r="J28" i="3"/>
  <c r="E28" i="3"/>
  <c r="M44" i="3"/>
  <c r="K44" i="3"/>
  <c r="J44" i="3"/>
  <c r="E44" i="3"/>
  <c r="M43" i="3"/>
  <c r="K43" i="3"/>
  <c r="J43" i="3"/>
  <c r="E43" i="3"/>
  <c r="M21" i="3"/>
  <c r="K21" i="3"/>
  <c r="J21" i="3"/>
  <c r="E21" i="3"/>
  <c r="M7" i="3"/>
  <c r="K7" i="3"/>
  <c r="J7" i="3"/>
  <c r="E7" i="3"/>
  <c r="M42" i="3"/>
  <c r="K42" i="3"/>
  <c r="J42" i="3"/>
  <c r="E42" i="3"/>
  <c r="M41" i="3"/>
  <c r="K41" i="3"/>
  <c r="J41" i="3"/>
  <c r="E41" i="3"/>
  <c r="M6" i="3"/>
  <c r="K6" i="3"/>
  <c r="J6" i="3"/>
  <c r="E6" i="3"/>
  <c r="M40" i="3"/>
  <c r="K40" i="3"/>
  <c r="J40" i="3"/>
  <c r="E40" i="3"/>
  <c r="M39" i="3"/>
  <c r="K39" i="3"/>
  <c r="J39" i="3"/>
  <c r="E39" i="3"/>
  <c r="M5" i="3"/>
  <c r="K5" i="3"/>
  <c r="J5" i="3"/>
  <c r="E5" i="3"/>
  <c r="M18" i="3"/>
  <c r="K18" i="3"/>
  <c r="J18" i="3"/>
  <c r="E18" i="3"/>
  <c r="M12" i="3"/>
  <c r="K12" i="3"/>
  <c r="J12" i="3"/>
  <c r="E12" i="3"/>
  <c r="M27" i="3"/>
  <c r="K27" i="3"/>
  <c r="J27" i="3"/>
  <c r="E27" i="3"/>
  <c r="M26" i="3"/>
  <c r="K26" i="3"/>
  <c r="J26" i="3"/>
  <c r="E26" i="3"/>
  <c r="M20" i="3"/>
  <c r="K20" i="3"/>
  <c r="J20" i="3"/>
  <c r="E20" i="3"/>
  <c r="M38" i="3"/>
  <c r="K38" i="3"/>
  <c r="J38" i="3"/>
  <c r="E38" i="3"/>
  <c r="M37" i="3"/>
  <c r="K37" i="3"/>
  <c r="J37" i="3"/>
  <c r="E37" i="3"/>
  <c r="M25" i="3"/>
  <c r="K25" i="3"/>
  <c r="J25" i="3"/>
  <c r="E25" i="3"/>
  <c r="M36" i="3"/>
  <c r="K36" i="3"/>
  <c r="J36" i="3"/>
  <c r="E36" i="3"/>
  <c r="M11" i="3"/>
  <c r="K11" i="3"/>
  <c r="J11" i="3"/>
  <c r="E11" i="3"/>
  <c r="M35" i="3"/>
  <c r="K35" i="3"/>
  <c r="J35" i="3"/>
  <c r="E35" i="3"/>
  <c r="M4" i="3"/>
  <c r="K4" i="3"/>
  <c r="J4" i="3"/>
  <c r="E4" i="3"/>
  <c r="M34" i="3"/>
  <c r="K34" i="3"/>
  <c r="J34" i="3"/>
  <c r="E34" i="3"/>
  <c r="M10" i="3"/>
  <c r="K10" i="3"/>
  <c r="J10" i="3"/>
  <c r="E10" i="3"/>
  <c r="M33" i="3"/>
  <c r="K33" i="3"/>
  <c r="J33" i="3"/>
  <c r="E33" i="3"/>
  <c r="M9" i="3"/>
  <c r="K9" i="3"/>
  <c r="J9" i="3"/>
  <c r="E9" i="3"/>
  <c r="M32" i="3"/>
  <c r="K32" i="3"/>
  <c r="J32" i="3"/>
  <c r="E32" i="3"/>
  <c r="M24" i="3"/>
  <c r="K24" i="3"/>
  <c r="J24" i="3"/>
  <c r="E24" i="3"/>
  <c r="M15" i="3"/>
  <c r="K15" i="3"/>
  <c r="J15" i="3"/>
  <c r="E1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22" i="2"/>
  <c r="C22" i="2"/>
  <c r="D22" i="2"/>
  <c r="E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<sst xmlns="http://schemas.openxmlformats.org/spreadsheetml/2006/main" count="496" uniqueCount="185">
  <si>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</si>
  <si>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</si>
  <si>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</si>
  <si>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</si>
  <si>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</si>
  <si>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</si>
  <si>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</si>
  <si>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</si>
  <si>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</si>
  <si>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</si>
  <si>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</si>
  <si>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</si>
  <si>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</si>
  <si>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</si>
  <si>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</si>
  <si>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</si>
  <si>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</si>
  <si>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</si>
  <si>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</si>
  <si>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</si>
  <si>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</si>
  <si>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</si>
  <si>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</si>
  <si>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</si>
  <si>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</si>
  <si>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</si>
  <si>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</si>
  <si>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</si>
  <si>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</si>
  <si>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</si>
  <si>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</si>
  <si>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</si>
  <si>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</si>
  <si>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</si>
  <si>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</si>
  <si>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</si>
  <si>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</si>
  <si>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</si>
  <si>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</si>
  <si>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</si>
  <si>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</si>
  <si>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</si>
  <si>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</si>
  <si>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</si>
  <si>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</si>
  <si>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</si>
  <si>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</si>
  <si>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</si>
  <si>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</si>
  <si>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</si>
  <si>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</si>
  <si>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</si>
  <si>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</si>
  <si>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</si>
  <si>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</si>
  <si>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</si>
  <si>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</si>
  <si>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</si>
  <si>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</si>
  <si>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</si>
  <si>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</si>
  <si>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</si>
  <si>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</si>
  <si>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</si>
  <si>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</si>
  <si>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</si>
  <si>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</si>
  <si>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</si>
  <si>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</si>
  <si>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</si>
  <si>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</si>
  <si>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</si>
  <si>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</si>
  <si>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</si>
  <si>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</si>
  <si>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</si>
  <si>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</si>
  <si>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</si>
  <si>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</si>
  <si>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</si>
  <si>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</si>
  <si>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</si>
  <si>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</si>
  <si>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</si>
  <si>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</si>
  <si>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</si>
  <si>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</si>
  <si>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</si>
  <si>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</si>
  <si>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</si>
  <si>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</si>
  <si>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</si>
  <si>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</si>
  <si>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</si>
  <si>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</si>
  <si>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</si>
  <si>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</si>
  <si>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</si>
  <si>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</si>
  <si>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</si>
  <si>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</si>
  <si>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</si>
  <si>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</si>
  <si>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</si>
  <si>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</si>
  <si>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</si>
  <si>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</si>
  <si>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</si>
  <si>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</si>
  <si>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</si>
  <si>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</si>
  <si>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</si>
  <si>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</si>
  <si>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</si>
  <si>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</si>
  <si>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</si>
  <si>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</si>
  <si>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</si>
  <si>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</si>
  <si>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</si>
  <si>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</si>
  <si>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</si>
  <si>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</si>
  <si>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</si>
  <si>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</si>
  <si>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</si>
  <si>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</si>
  <si>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</si>
  <si>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</si>
  <si>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</si>
  <si>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</si>
  <si>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</si>
  <si>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</si>
  <si>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</si>
  <si>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</si>
  <si>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</si>
  <si>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</si>
  <si>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</si>
  <si>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</si>
  <si>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</si>
  <si>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</si>
  <si>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</si>
  <si>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</si>
  <si>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</si>
  <si>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</si>
  <si>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</si>
  <si>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</si>
  <si>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</si>
  <si>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</si>
  <si>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</si>
  <si>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</si>
  <si>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</si>
  <si>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</si>
  <si>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</si>
  <si>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</si>
  <si>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</si>
  <si>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</si>
  <si>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</si>
  <si>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</si>
  <si>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</si>
  <si>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</si>
  <si>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</si>
  <si>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</si>
  <si>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</si>
  <si>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</si>
  <si>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</si>
  <si>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</si>
  <si>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</si>
  <si>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</si>
  <si>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</si>
  <si>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</si>
  <si>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</si>
  <si>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</si>
  <si>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</si>
  <si>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</si>
  <si>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</si>
  <si>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Total Accounting</t>
  </si>
  <si>
    <t>Total Customer Service</t>
  </si>
  <si>
    <t>Total Executive</t>
  </si>
  <si>
    <t>Total Facilities</t>
  </si>
  <si>
    <t>Total Human Resources</t>
  </si>
  <si>
    <t>Total IT</t>
  </si>
  <si>
    <t>Total Marketing</t>
  </si>
  <si>
    <t>Total Sales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</si>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</sst>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9" fillId="5" borderId="2" xfId="0" applyFont="1" applyFill="1" applyBorder="1"/>
    <xf numFmtId="0" fontId="9" fillId="5" borderId="3" xfId="0" applyFont="1" applyFill="1" applyBorder="1"/>
    <xf numFmtId="0" fontId="9" fillId="5" borderId="4" xfId="0" applyFont="1" applyFill="1" applyBorder="1"/>
    <xf numFmtId="0" fontId="0" fillId="0" borderId="0" xfId="0" applyFont="1" applyBorder="1"/>
    <xf numFmtId="0" fontId="0" fillId="0" borderId="5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67" fontId="0" fillId="0" borderId="6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14" fontId="0" fillId="0" borderId="8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/>
    <xf numFmtId="167" fontId="0" fillId="0" borderId="9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left" wrapText="1"/>
    </xf>
  </cellXfs>
  <cellStyles count="5">
    <cellStyle name="20% - Énfasis1" xfId="4" builtinId="30"/>
    <cellStyle name="Énfasis1" xfId="2" builtinId="29"/>
    <cellStyle name="Normal" xfId="0" builtinId="0"/>
    <cellStyle name="Salida" xfId="3" builtinId="21"/>
    <cellStyle name="Título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5E1-4C6F-9FE2-B992552D0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1" totalsRowDxfId="30"/>
    <tableColumn id="2" xr3:uid="{00000000-0010-0000-0000-000002000000}" name="Last"/>
    <tableColumn id="3" xr3:uid="{00000000-0010-0000-0000-000003000000}" name="First" dataDxfId="29" totalsRowDxfId="28"/>
    <tableColumn id="4" xr3:uid="{00000000-0010-0000-0000-000004000000}" name="Gender" dataDxfId="27" totalsRowDxfId="26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5" totalsRowDxfId="24"/>
    <tableColumn id="7" xr3:uid="{00000000-0010-0000-0000-000007000000}" name="Years Service" totalsRowFunction="average" dataDxfId="23" totalsRowDxfId="22">
      <calculatedColumnFormula>YEARFRAC(F4,TODAY())</calculatedColumnFormula>
    </tableColumn>
    <tableColumn id="8" xr3:uid="{00000000-0010-0000-0000-000008000000}" name="Department" dataDxfId="21" totalsRowDxfId="20"/>
    <tableColumn id="9" xr3:uid="{00000000-0010-0000-0000-000009000000}" name="Location" dataDxfId="19" totalsRowDxfId="18"/>
    <tableColumn id="10" xr3:uid="{00000000-0010-0000-0000-00000A000000}" name="Floor" dataDxfId="17" totalsRowDxfId="16">
      <calculatedColumnFormula>LEFT(I4,2)</calculatedColumnFormula>
    </tableColumn>
    <tableColumn id="11" xr3:uid="{00000000-0010-0000-0000-00000B000000}" name="Extension" dataDxfId="15" totalsRowDxfId="14">
      <calculatedColumnFormula>RIGHT(I4,4)</calculatedColumnFormula>
    </tableColumn>
    <tableColumn id="12" xr3:uid="{00000000-0010-0000-0000-00000C000000}" name="Last Review" dataDxfId="13" totalsRowDxfId="12"/>
    <tableColumn id="13" xr3:uid="{00000000-0010-0000-0000-00000D000000}" name="Next Review" dataDxfId="11" totalsRowDxfId="10">
      <calculatedColumnFormula>L4+365</calculatedColumnFormula>
    </tableColumn>
    <tableColumn id="14" xr3:uid="{00000000-0010-0000-0000-00000E000000}" name="Annual Salary" totalsRowFunction="sum" dataDxfId="9" totalsRowDxfId="8"/>
    <tableColumn id="15" xr3:uid="{00000000-0010-0000-0000-00000F000000}" name="Pension" totalsRowFunction="sum" dataDxfId="7" totalsRowDxfId="6">
      <calculatedColumnFormula>N4*Pension_Rate</calculatedColumnFormula>
    </tableColumn>
    <tableColumn id="16" xr3:uid="{00000000-0010-0000-0000-000010000000}" name="Package" totalsRowFunction="sum" dataDxfId="5" totalsRowDxfId="4">
      <calculatedColumnFormula>SUM(HR[[#This Row],[Annual Salary]:[Pension]])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5"/>
    <tableColumn id="2" xr3:uid="{00000000-0010-0000-0100-000002000000}" name="Total Salary" dataDxfId="34">
      <calculatedColumnFormula>SUMIFS(Annual_Salary,Department,A16)</calculatedColumnFormula>
    </tableColumn>
    <tableColumn id="3" xr3:uid="{00000000-0010-0000-0100-000003000000}" name="M" dataDxfId="33">
      <calculatedColumnFormula>SUMIFS(Annual_Salary,Department,A16,Gender,$C$15)</calculatedColumnFormula>
    </tableColumn>
    <tableColumn id="4" xr3:uid="{00000000-0010-0000-0100-000004000000}" name="F" dataDxfId="32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E27" zoomScaleNormal="100" zoomScalePageLayoutView="70" workbookViewId="0">
      <selection activeCell="I12" sqref="I12"/>
    </sheetView>
  </sheetViews>
  <sheetFormatPr baseColWidth="10"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1.28515625" bestFit="1" customWidth="1"/>
    <col min="16" max="16" width="14.1406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21.633333333333333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SUM(HR[[#This Row],[Annual Salary]:[Pension]])</f>
        <v>110526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21.56111111111111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SUM(HR[[#This Row],[Annual Salary]:[Pension]])</f>
        <v>76627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20.022222222222222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SUM(HR[[#This Row],[Annual Salary]:[Pension]])</f>
        <v>74992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18.408333333333335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SUM(HR[[#This Row],[Annual Salary]:[Pension]])</f>
        <v>64528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17.177777777777777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SUM(HR[[#This Row],[Annual Salary]:[Pension]])</f>
        <v>68561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16.644444444444446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SUM(HR[[#This Row],[Annual Salary]:[Pension]])</f>
        <v>63656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16.491666666666667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SUM(HR[[#This Row],[Annual Salary]:[Pension]])</f>
        <v>64528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15.880555555555556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SUM(HR[[#This Row],[Annual Salary]:[Pension]])</f>
        <v>56244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14.433333333333334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SUM(HR[[#This Row],[Annual Salary]:[Pension]])</f>
        <v>63438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14.063888888888888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SUM(HR[[#This Row],[Annual Salary]:[Pension]])</f>
        <v>60822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12.766666666666667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SUM(HR[[#This Row],[Annual Salary]:[Pension]])</f>
        <v>60495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12.605555555555556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SUM(HR[[#This Row],[Annual Salary]:[Pension]])</f>
        <v>52756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11.577777777777778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SUM(HR[[#This Row],[Annual Salary]:[Pension]])</f>
        <v>64637</v>
      </c>
    </row>
    <row r="17" spans="1:16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11.25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SUM(HR[[#This Row],[Annual Salary]:[Pension]])</f>
        <v>61040</v>
      </c>
    </row>
    <row r="18" spans="1:16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10.480555555555556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SUM(HR[[#This Row],[Annual Salary]:[Pension]])</f>
        <v>68888</v>
      </c>
    </row>
    <row r="19" spans="1:16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9.9888888888888889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SUM(HR[[#This Row],[Annual Salary]:[Pension]])</f>
        <v>56353</v>
      </c>
    </row>
    <row r="20" spans="1:16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9.8916666666666675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SUM(HR[[#This Row],[Annual Salary]:[Pension]])</f>
        <v>54064</v>
      </c>
    </row>
    <row r="21" spans="1:16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9.3666666666666671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SUM(HR[[#This Row],[Annual Salary]:[Pension]])</f>
        <v>49159</v>
      </c>
    </row>
    <row r="22" spans="1:16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8.3083333333333336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SUM(HR[[#This Row],[Annual Salary]:[Pension]])</f>
        <v>45889</v>
      </c>
    </row>
    <row r="23" spans="1:16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8.0222222222222221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SUM(HR[[#This Row],[Annual Salary]:[Pension]])</f>
        <v>68452</v>
      </c>
    </row>
    <row r="24" spans="1:16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7.9944444444444445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SUM(HR[[#This Row],[Annual Salary]:[Pension]])</f>
        <v>59623</v>
      </c>
    </row>
    <row r="25" spans="1:16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7.85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SUM(HR[[#This Row],[Annual Salary]:[Pension]])</f>
        <v>57334</v>
      </c>
    </row>
    <row r="26" spans="1:16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7.7583333333333337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SUM(HR[[#This Row],[Annual Salary]:[Pension]])</f>
        <v>63765</v>
      </c>
    </row>
    <row r="27" spans="1:16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7.7222222222222223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SUM(HR[[#This Row],[Annual Salary]:[Pension]])</f>
        <v>50685</v>
      </c>
    </row>
    <row r="28" spans="1:16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7.3972222222222221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SUM(HR[[#This Row],[Annual Salary]:[Pension]])</f>
        <v>61258</v>
      </c>
    </row>
    <row r="29" spans="1:16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7.1027777777777779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SUM(HR[[#This Row],[Annual Salary]:[Pension]])</f>
        <v>59841</v>
      </c>
    </row>
    <row r="30" spans="1:16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7.1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SUM(HR[[#This Row],[Annual Salary]:[Pension]])</f>
        <v>52211</v>
      </c>
    </row>
    <row r="31" spans="1:16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6.85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SUM(HR[[#This Row],[Annual Salary]:[Pension]])</f>
        <v>54064</v>
      </c>
    </row>
    <row r="32" spans="1:16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6.8416666666666668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SUM(HR[[#This Row],[Annual Salary]:[Pension]])</f>
        <v>38804</v>
      </c>
    </row>
    <row r="33" spans="1:16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6.7138888888888886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SUM(HR[[#This Row],[Annual Salary]:[Pension]])</f>
        <v>63765</v>
      </c>
    </row>
    <row r="34" spans="1:16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6.677777777777778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SUM(HR[[#This Row],[Annual Salary]:[Pension]])</f>
        <v>56026</v>
      </c>
    </row>
    <row r="35" spans="1:16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5.8388888888888886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SUM(HR[[#This Row],[Annual Salary]:[Pension]])</f>
        <v>42074</v>
      </c>
    </row>
    <row r="36" spans="1:16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5.7555555555555555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SUM(HR[[#This Row],[Annual Salary]:[Pension]])</f>
        <v>44145</v>
      </c>
    </row>
    <row r="37" spans="1:16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12.691666666666666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SUM(HR[[#This Row],[Annual Salary]:[Pension]])</f>
        <v>105076</v>
      </c>
    </row>
    <row r="38" spans="1:16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5.333333333333333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SUM(HR[[#This Row],[Annual Salary]:[Pension]])</f>
        <v>40330</v>
      </c>
    </row>
    <row r="39" spans="1:16" x14ac:dyDescent="0.25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5.1722222222222225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SUM(HR[[#This Row],[Annual Salary]:[Pension]])</f>
        <v>105730</v>
      </c>
    </row>
    <row r="40" spans="1:16" x14ac:dyDescent="0.25">
      <c r="A40" s="3">
        <f>SUBTOTAL(103,HR[Emp ID])</f>
        <v>36</v>
      </c>
      <c r="C40" s="2"/>
      <c r="D40" s="19"/>
      <c r="G40" s="4">
        <f ca="1">SUBTOTAL(101,HR[Years Service])</f>
        <v>10.982638888888893</v>
      </c>
      <c r="H40" s="21"/>
      <c r="I40" s="22"/>
      <c r="J40" s="3"/>
      <c r="K40" s="3"/>
      <c r="L40" s="3"/>
      <c r="M40" s="3"/>
      <c r="N40" s="8">
        <f>SUBTOTAL(109,HR[Annual Salary])</f>
        <v>2055400</v>
      </c>
      <c r="O40" s="16">
        <f>SUBTOTAL(109,HR[Pension])</f>
        <v>184986</v>
      </c>
      <c r="P40" s="24">
        <f>SUBTOTAL(109,HR[Package])</f>
        <v>2240386</v>
      </c>
    </row>
    <row r="42" spans="1:16" ht="15.75" x14ac:dyDescent="0.25">
      <c r="E42" s="13"/>
    </row>
    <row r="43" spans="1:16" ht="15.75" x14ac:dyDescent="0.25">
      <c r="E43" s="13"/>
    </row>
    <row r="44" spans="1:16" ht="15.75" x14ac:dyDescent="0.25">
      <c r="E44" s="13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topLeftCell="A5" zoomScaleNormal="100" zoomScalePageLayoutView="70" workbookViewId="0">
      <selection activeCell="N11" sqref="N11"/>
    </sheetView>
  </sheetViews>
  <sheetFormatPr baseColWidth="10" defaultColWidth="8.85546875" defaultRowHeight="15" x14ac:dyDescent="0.25"/>
  <cols>
    <col min="1" max="1" width="29.710937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2055400</v>
      </c>
    </row>
    <row r="5" spans="1:4" ht="23.25" customHeight="1" x14ac:dyDescent="0.25">
      <c r="A5" s="9" t="s">
        <v>135</v>
      </c>
      <c r="B5" s="10">
        <f>AVERAGE(Annual_Salary)</f>
        <v>57094.444444444445</v>
      </c>
    </row>
    <row r="6" spans="1:4" ht="23.25" customHeight="1" x14ac:dyDescent="0.25">
      <c r="A6" s="9" t="s">
        <v>136</v>
      </c>
      <c r="B6" s="11">
        <f ca="1">MAX(Years_Service)</f>
        <v>21.633333333333333</v>
      </c>
    </row>
    <row r="7" spans="1:4" ht="23.25" customHeight="1" x14ac:dyDescent="0.25">
      <c r="A7" s="9" t="s">
        <v>137</v>
      </c>
      <c r="B7" s="12">
        <f>MAX(Date_of_Hire)</f>
        <v>42933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18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B442-EE1A-498A-B9B2-9BA6DE20301B}">
  <dimension ref="A1:P52"/>
  <sheetViews>
    <sheetView zoomScaleNormal="100" zoomScalePageLayoutView="70" workbookViewId="0">
      <selection activeCell="G17" sqref="G17"/>
    </sheetView>
  </sheetViews>
  <sheetFormatPr baseColWidth="10" defaultColWidth="8.85546875" defaultRowHeight="15" outlineLevelRow="2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hidden="1" customWidth="1"/>
    <col min="10" max="10" width="10.42578125" hidden="1" customWidth="1"/>
    <col min="11" max="11" width="12.85546875" hidden="1" customWidth="1"/>
    <col min="12" max="12" width="14.140625" hidden="1" customWidth="1"/>
    <col min="13" max="13" width="14.42578125" hidden="1" customWidth="1"/>
    <col min="14" max="14" width="15.140625" customWidth="1"/>
    <col min="15" max="15" width="11.28515625" bestFit="1" customWidth="1"/>
    <col min="16" max="16" width="13.285156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s="25" t="s">
        <v>0</v>
      </c>
      <c r="B3" s="26" t="s">
        <v>1</v>
      </c>
      <c r="C3" s="26" t="s">
        <v>2</v>
      </c>
      <c r="D3" s="26" t="s">
        <v>164</v>
      </c>
      <c r="E3" s="26" t="s">
        <v>3</v>
      </c>
      <c r="F3" s="26" t="s">
        <v>4</v>
      </c>
      <c r="G3" s="26" t="s">
        <v>62</v>
      </c>
      <c r="H3" s="26" t="s">
        <v>5</v>
      </c>
      <c r="I3" s="26" t="s">
        <v>6</v>
      </c>
      <c r="J3" s="26" t="s">
        <v>60</v>
      </c>
      <c r="K3" s="26" t="s">
        <v>7</v>
      </c>
      <c r="L3" s="26" t="s">
        <v>132</v>
      </c>
      <c r="M3" s="26" t="s">
        <v>133</v>
      </c>
      <c r="N3" s="26" t="s">
        <v>170</v>
      </c>
      <c r="O3" s="26" t="s">
        <v>160</v>
      </c>
      <c r="P3" s="27" t="s">
        <v>171</v>
      </c>
    </row>
    <row r="4" spans="1:16" outlineLevel="2" x14ac:dyDescent="0.25">
      <c r="A4" s="29" t="s">
        <v>67</v>
      </c>
      <c r="B4" s="28" t="s">
        <v>51</v>
      </c>
      <c r="C4" s="30" t="s">
        <v>50</v>
      </c>
      <c r="D4" s="31" t="s">
        <v>165</v>
      </c>
      <c r="E4" s="28" t="str">
        <f>LOWER(C4&amp;"."&amp;B4&amp;"@pushpin.com")</f>
        <v>nicholas.fernandes@pushpin.com</v>
      </c>
      <c r="F4" s="32">
        <v>39023</v>
      </c>
      <c r="G4" s="33">
        <f ca="1">YEARFRAC(F4,TODAY())</f>
        <v>15.880555555555556</v>
      </c>
      <c r="H4" s="34" t="s">
        <v>15</v>
      </c>
      <c r="I4" s="35" t="s">
        <v>122</v>
      </c>
      <c r="J4" s="36" t="str">
        <f>LEFT(I4,2)</f>
        <v>02</v>
      </c>
      <c r="K4" s="36" t="str">
        <f>RIGHT(I4,4)</f>
        <v>2372</v>
      </c>
      <c r="L4" s="32">
        <v>42614</v>
      </c>
      <c r="M4" s="32">
        <f>L4+365</f>
        <v>42979</v>
      </c>
      <c r="N4" s="37">
        <v>51600</v>
      </c>
      <c r="O4" s="38">
        <f>N4*Pension_Rate</f>
        <v>4644</v>
      </c>
      <c r="P4" s="39">
        <f>SUM('Report July 2017'!$N4:$O4)</f>
        <v>56244</v>
      </c>
    </row>
    <row r="5" spans="1:16" outlineLevel="2" x14ac:dyDescent="0.25">
      <c r="A5" s="29" t="s">
        <v>79</v>
      </c>
      <c r="B5" s="28" t="s">
        <v>139</v>
      </c>
      <c r="C5" s="30" t="s">
        <v>27</v>
      </c>
      <c r="D5" s="31" t="s">
        <v>165</v>
      </c>
      <c r="E5" s="28" t="str">
        <f>LOWER(C5&amp;"."&amp;B5&amp;"@pushpin.com")</f>
        <v>jim.boller@pushpin.com</v>
      </c>
      <c r="F5" s="32">
        <v>41893</v>
      </c>
      <c r="G5" s="33">
        <f ca="1">YEARFRAC(F5,TODAY())</f>
        <v>8.0222222222222221</v>
      </c>
      <c r="H5" s="34" t="s">
        <v>15</v>
      </c>
      <c r="I5" s="35" t="s">
        <v>116</v>
      </c>
      <c r="J5" s="36" t="str">
        <f>LEFT(I5,2)</f>
        <v>03</v>
      </c>
      <c r="K5" s="36" t="str">
        <f>RIGHT(I5,4)</f>
        <v>2318</v>
      </c>
      <c r="L5" s="32">
        <v>42835</v>
      </c>
      <c r="M5" s="32">
        <f>L5+365</f>
        <v>43200</v>
      </c>
      <c r="N5" s="37">
        <v>62800</v>
      </c>
      <c r="O5" s="38">
        <f>N5*Pension_Rate</f>
        <v>5652</v>
      </c>
      <c r="P5" s="39">
        <f>SUM('Report July 2017'!$N5:$O5)</f>
        <v>68452</v>
      </c>
    </row>
    <row r="6" spans="1:16" outlineLevel="2" x14ac:dyDescent="0.25">
      <c r="A6" s="29" t="s">
        <v>82</v>
      </c>
      <c r="B6" s="28" t="s">
        <v>145</v>
      </c>
      <c r="C6" s="30" t="s">
        <v>146</v>
      </c>
      <c r="D6" s="31" t="s">
        <v>166</v>
      </c>
      <c r="E6" s="28" t="str">
        <f>LOWER(C6&amp;"."&amp;B6&amp;"@pushpin.com")</f>
        <v>anna.clark@pushpin.com</v>
      </c>
      <c r="F6" s="32">
        <v>41989</v>
      </c>
      <c r="G6" s="33">
        <f ca="1">YEARFRAC(F6,TODAY())</f>
        <v>7.7583333333333337</v>
      </c>
      <c r="H6" s="34" t="s">
        <v>15</v>
      </c>
      <c r="I6" s="35" t="s">
        <v>106</v>
      </c>
      <c r="J6" s="36" t="str">
        <f>LEFT(I6,2)</f>
        <v>03</v>
      </c>
      <c r="K6" s="36" t="str">
        <f>RIGHT(I6,4)</f>
        <v>2601</v>
      </c>
      <c r="L6" s="32">
        <v>42731</v>
      </c>
      <c r="M6" s="32">
        <f>L6+365</f>
        <v>43096</v>
      </c>
      <c r="N6" s="37">
        <v>58500</v>
      </c>
      <c r="O6" s="38">
        <f>N6*Pension_Rate</f>
        <v>5265</v>
      </c>
      <c r="P6" s="39">
        <f>SUM('Report July 2017'!$N6:$O6)</f>
        <v>63765</v>
      </c>
    </row>
    <row r="7" spans="1:16" outlineLevel="2" x14ac:dyDescent="0.25">
      <c r="A7" s="29" t="s">
        <v>85</v>
      </c>
      <c r="B7" s="28" t="s">
        <v>151</v>
      </c>
      <c r="C7" s="30" t="s">
        <v>26</v>
      </c>
      <c r="D7" s="31" t="s">
        <v>166</v>
      </c>
      <c r="E7" s="28" t="str">
        <f>LOWER(C7&amp;"."&amp;B7&amp;"@pushpin.com")</f>
        <v>alexandra.donnell@pushpin.com</v>
      </c>
      <c r="F7" s="32">
        <v>42228</v>
      </c>
      <c r="G7" s="33">
        <f ca="1">YEARFRAC(F7,TODAY())</f>
        <v>7.1027777777777779</v>
      </c>
      <c r="H7" s="34" t="s">
        <v>15</v>
      </c>
      <c r="I7" s="35" t="s">
        <v>110</v>
      </c>
      <c r="J7" s="36" t="str">
        <f>LEFT(I7,2)</f>
        <v>03</v>
      </c>
      <c r="K7" s="36" t="str">
        <f>RIGHT(I7,4)</f>
        <v>2082</v>
      </c>
      <c r="L7" s="32">
        <v>42629</v>
      </c>
      <c r="M7" s="32">
        <f>L7+365</f>
        <v>42994</v>
      </c>
      <c r="N7" s="37">
        <v>54900</v>
      </c>
      <c r="O7" s="38">
        <f>N7*Pension_Rate</f>
        <v>4941</v>
      </c>
      <c r="P7" s="39">
        <f>SUM('Report July 2017'!$N7:$O7)</f>
        <v>59841</v>
      </c>
    </row>
    <row r="8" spans="1:16" outlineLevel="1" x14ac:dyDescent="0.25">
      <c r="A8" s="29"/>
      <c r="B8" s="28"/>
      <c r="C8" s="30"/>
      <c r="D8" s="31"/>
      <c r="E8" s="28"/>
      <c r="F8" s="32"/>
      <c r="G8" s="33"/>
      <c r="H8" s="56" t="s">
        <v>176</v>
      </c>
      <c r="I8" s="35"/>
      <c r="J8" s="36"/>
      <c r="K8" s="36"/>
      <c r="L8" s="32"/>
      <c r="M8" s="32"/>
      <c r="N8" s="37">
        <f>SUBTOTAL(9,N4:N7)</f>
        <v>227800</v>
      </c>
      <c r="O8" s="38">
        <f>SUBTOTAL(9,O4:O7)</f>
        <v>20502</v>
      </c>
      <c r="P8" s="39">
        <f>SUBTOTAL(9,P4:P7)</f>
        <v>248302</v>
      </c>
    </row>
    <row r="9" spans="1:16" outlineLevel="2" x14ac:dyDescent="0.25">
      <c r="A9" s="29" t="s">
        <v>63</v>
      </c>
      <c r="B9" s="28" t="s">
        <v>138</v>
      </c>
      <c r="C9" s="30" t="s">
        <v>12</v>
      </c>
      <c r="D9" s="31" t="s">
        <v>165</v>
      </c>
      <c r="E9" s="28" t="str">
        <f>LOWER(C9&amp;"."&amp;B9&amp;"@pushpin.com")</f>
        <v>adam.barry@pushpin.com</v>
      </c>
      <c r="F9" s="32">
        <v>38099</v>
      </c>
      <c r="G9" s="33">
        <f ca="1">YEARFRAC(F9,TODAY())</f>
        <v>18.408333333333335</v>
      </c>
      <c r="H9" s="34" t="s">
        <v>24</v>
      </c>
      <c r="I9" s="35" t="s">
        <v>97</v>
      </c>
      <c r="J9" s="36" t="str">
        <f>LEFT(I9,2)</f>
        <v>02</v>
      </c>
      <c r="K9" s="36" t="str">
        <f>RIGHT(I9,4)</f>
        <v>2018</v>
      </c>
      <c r="L9" s="32">
        <v>42860</v>
      </c>
      <c r="M9" s="32">
        <f>L9+365</f>
        <v>43225</v>
      </c>
      <c r="N9" s="37">
        <v>59200</v>
      </c>
      <c r="O9" s="38">
        <f>N9*Pension_Rate</f>
        <v>5328</v>
      </c>
      <c r="P9" s="39">
        <f>SUM('Report July 2017'!$N9:$O9)</f>
        <v>64528</v>
      </c>
    </row>
    <row r="10" spans="1:16" outlineLevel="2" x14ac:dyDescent="0.25">
      <c r="A10" s="29" t="s">
        <v>65</v>
      </c>
      <c r="B10" s="28" t="s">
        <v>154</v>
      </c>
      <c r="C10" s="30" t="s">
        <v>14</v>
      </c>
      <c r="D10" s="31" t="s">
        <v>166</v>
      </c>
      <c r="E10" s="28" t="str">
        <f>LOWER(C10&amp;"."&amp;B10&amp;"@pushpin.com")</f>
        <v>susan.filosa@pushpin.com</v>
      </c>
      <c r="F10" s="32">
        <v>38744</v>
      </c>
      <c r="G10" s="33">
        <f ca="1">YEARFRAC(F10,TODAY())</f>
        <v>16.644444444444446</v>
      </c>
      <c r="H10" s="34" t="s">
        <v>24</v>
      </c>
      <c r="I10" s="35" t="s">
        <v>112</v>
      </c>
      <c r="J10" s="36" t="str">
        <f>LEFT(I10,2)</f>
        <v>02</v>
      </c>
      <c r="K10" s="36" t="str">
        <f>RIGHT(I10,4)</f>
        <v>2279</v>
      </c>
      <c r="L10" s="32">
        <v>42596</v>
      </c>
      <c r="M10" s="32">
        <f>L10+365</f>
        <v>42961</v>
      </c>
      <c r="N10" s="37">
        <v>58400</v>
      </c>
      <c r="O10" s="38">
        <f>N10*Pension_Rate</f>
        <v>5256</v>
      </c>
      <c r="P10" s="39">
        <f>SUM('Report July 2017'!$N10:$O10)</f>
        <v>63656</v>
      </c>
    </row>
    <row r="11" spans="1:16" outlineLevel="2" x14ac:dyDescent="0.25">
      <c r="A11" s="29" t="s">
        <v>69</v>
      </c>
      <c r="B11" s="28" t="s">
        <v>148</v>
      </c>
      <c r="C11" s="30" t="s">
        <v>18</v>
      </c>
      <c r="D11" s="31" t="s">
        <v>166</v>
      </c>
      <c r="E11" s="28" t="str">
        <f>LOWER(C11&amp;"."&amp;B11&amp;"@pushpin.com")</f>
        <v>janet.comuntzis@pushpin.com</v>
      </c>
      <c r="F11" s="32">
        <v>39686</v>
      </c>
      <c r="G11" s="33">
        <f ca="1">YEARFRAC(F11,TODAY())</f>
        <v>14.063888888888888</v>
      </c>
      <c r="H11" s="34" t="s">
        <v>24</v>
      </c>
      <c r="I11" s="35" t="s">
        <v>109</v>
      </c>
      <c r="J11" s="36" t="str">
        <f>LEFT(I11,2)</f>
        <v>02</v>
      </c>
      <c r="K11" s="36" t="str">
        <f>RIGHT(I11,4)</f>
        <v>2286</v>
      </c>
      <c r="L11" s="32">
        <v>42658</v>
      </c>
      <c r="M11" s="32">
        <f>L11+365</f>
        <v>43023</v>
      </c>
      <c r="N11" s="37">
        <v>55800</v>
      </c>
      <c r="O11" s="38">
        <f>N11*Pension_Rate</f>
        <v>5022</v>
      </c>
      <c r="P11" s="39">
        <f>SUM('Report July 2017'!$N11:$O11)</f>
        <v>60822</v>
      </c>
    </row>
    <row r="12" spans="1:16" outlineLevel="2" x14ac:dyDescent="0.25">
      <c r="A12" s="29" t="s">
        <v>77</v>
      </c>
      <c r="B12" s="28" t="s">
        <v>147</v>
      </c>
      <c r="C12" s="30" t="s">
        <v>20</v>
      </c>
      <c r="D12" s="31" t="s">
        <v>166</v>
      </c>
      <c r="E12" s="28" t="str">
        <f>LOWER(C12&amp;"."&amp;B12&amp;"@pushpin.com")</f>
        <v>sabrina.cole@pushpin.com</v>
      </c>
      <c r="F12" s="32">
        <v>41401</v>
      </c>
      <c r="G12" s="33">
        <f ca="1">YEARFRAC(F12,TODAY())</f>
        <v>9.3666666666666671</v>
      </c>
      <c r="H12" s="34" t="s">
        <v>24</v>
      </c>
      <c r="I12" s="35" t="s">
        <v>108</v>
      </c>
      <c r="J12" s="36" t="str">
        <f>LEFT(I12,2)</f>
        <v>02</v>
      </c>
      <c r="K12" s="36" t="str">
        <f>RIGHT(I12,4)</f>
        <v>2537</v>
      </c>
      <c r="L12" s="32">
        <v>42710</v>
      </c>
      <c r="M12" s="32">
        <f>L12+365</f>
        <v>43075</v>
      </c>
      <c r="N12" s="37">
        <v>45100</v>
      </c>
      <c r="O12" s="38">
        <f>N12*Pension_Rate</f>
        <v>4059</v>
      </c>
      <c r="P12" s="39">
        <f>SUM('Report July 2017'!$N12:$O12)</f>
        <v>49159</v>
      </c>
    </row>
    <row r="13" spans="1:16" outlineLevel="2" x14ac:dyDescent="0.25">
      <c r="A13" s="29" t="s">
        <v>94</v>
      </c>
      <c r="B13" s="28" t="s">
        <v>145</v>
      </c>
      <c r="C13" s="30" t="s">
        <v>16</v>
      </c>
      <c r="D13" s="31" t="s">
        <v>166</v>
      </c>
      <c r="E13" s="28" t="str">
        <f>LOWER(C13&amp;"."&amp;B13&amp;"@pushpin.com")</f>
        <v>elizabeth.clark@pushpin.com</v>
      </c>
      <c r="F13" s="32">
        <v>42874</v>
      </c>
      <c r="G13" s="33">
        <f ca="1">YEARFRAC(F13,TODAY())</f>
        <v>5.333333333333333</v>
      </c>
      <c r="H13" s="34" t="s">
        <v>24</v>
      </c>
      <c r="I13" s="35" t="s">
        <v>107</v>
      </c>
      <c r="J13" s="36" t="str">
        <f>LEFT(I13,2)</f>
        <v>02</v>
      </c>
      <c r="K13" s="36" t="str">
        <f>RIGHT(I13,4)</f>
        <v>2414</v>
      </c>
      <c r="L13" s="32">
        <v>42720</v>
      </c>
      <c r="M13" s="32">
        <f>L13+365</f>
        <v>43085</v>
      </c>
      <c r="N13" s="37">
        <v>37000</v>
      </c>
      <c r="O13" s="38">
        <f>N13*Pension_Rate</f>
        <v>3330</v>
      </c>
      <c r="P13" s="39">
        <f>SUM('Report July 2017'!$N13:$O13)</f>
        <v>40330</v>
      </c>
    </row>
    <row r="14" spans="1:16" outlineLevel="1" x14ac:dyDescent="0.25">
      <c r="A14" s="29"/>
      <c r="B14" s="28"/>
      <c r="C14" s="30"/>
      <c r="D14" s="31"/>
      <c r="E14" s="28"/>
      <c r="F14" s="32"/>
      <c r="G14" s="33"/>
      <c r="H14" s="53" t="s">
        <v>177</v>
      </c>
      <c r="I14" s="35"/>
      <c r="J14" s="36"/>
      <c r="K14" s="36"/>
      <c r="L14" s="32"/>
      <c r="M14" s="32"/>
      <c r="N14" s="37">
        <f>SUBTOTAL(9,N9:N13)</f>
        <v>255500</v>
      </c>
      <c r="O14" s="38">
        <f>SUBTOTAL(9,O9:O13)</f>
        <v>22995</v>
      </c>
      <c r="P14" s="39">
        <f>SUBTOTAL(9,P9:P13)</f>
        <v>278495</v>
      </c>
    </row>
    <row r="15" spans="1:16" outlineLevel="2" x14ac:dyDescent="0.25">
      <c r="A15" s="29" t="s">
        <v>8</v>
      </c>
      <c r="B15" s="28" t="s">
        <v>140</v>
      </c>
      <c r="C15" s="30" t="s">
        <v>23</v>
      </c>
      <c r="D15" s="31" t="s">
        <v>165</v>
      </c>
      <c r="E15" s="28" t="str">
        <f>LOWER(C15&amp;"."&amp;B15&amp;"@pushpin.com")</f>
        <v>joe.carol@pushpin.com</v>
      </c>
      <c r="F15" s="32">
        <v>36923</v>
      </c>
      <c r="G15" s="33">
        <f ca="1">YEARFRAC(F15,TODAY())</f>
        <v>21.633333333333333</v>
      </c>
      <c r="H15" s="34" t="s">
        <v>22</v>
      </c>
      <c r="I15" s="35" t="s">
        <v>118</v>
      </c>
      <c r="J15" s="36" t="str">
        <f>LEFT(I15,2)</f>
        <v>01</v>
      </c>
      <c r="K15" s="36" t="str">
        <f>RIGHT(I15,4)</f>
        <v>2321</v>
      </c>
      <c r="L15" s="32">
        <v>42817</v>
      </c>
      <c r="M15" s="32">
        <f>L15+365</f>
        <v>43182</v>
      </c>
      <c r="N15" s="37">
        <v>101400</v>
      </c>
      <c r="O15" s="38">
        <f>N15*Pension_Rate</f>
        <v>9126</v>
      </c>
      <c r="P15" s="39">
        <f>SUM('Report July 2017'!$N15:$O15)</f>
        <v>110526</v>
      </c>
    </row>
    <row r="16" spans="1:16" outlineLevel="2" x14ac:dyDescent="0.25">
      <c r="A16" s="29" t="s">
        <v>93</v>
      </c>
      <c r="B16" s="28" t="s">
        <v>159</v>
      </c>
      <c r="C16" s="30" t="s">
        <v>57</v>
      </c>
      <c r="D16" s="31" t="s">
        <v>166</v>
      </c>
      <c r="E16" s="28" t="str">
        <f>LOWER(C16&amp;"."&amp;B16&amp;"@pushpin.com")</f>
        <v>mei.wang@pushpin.com</v>
      </c>
      <c r="F16" s="32">
        <v>40188</v>
      </c>
      <c r="G16" s="33">
        <f ca="1">YEARFRAC(F16,TODAY())</f>
        <v>12.691666666666666</v>
      </c>
      <c r="H16" s="34" t="s">
        <v>22</v>
      </c>
      <c r="I16" s="35" t="s">
        <v>114</v>
      </c>
      <c r="J16" s="36" t="str">
        <f>LEFT(I16,2)</f>
        <v>01</v>
      </c>
      <c r="K16" s="36" t="str">
        <f>RIGHT(I16,4)</f>
        <v>2783</v>
      </c>
      <c r="L16" s="32">
        <v>42544</v>
      </c>
      <c r="M16" s="32">
        <f>L16+365</f>
        <v>42909</v>
      </c>
      <c r="N16" s="37">
        <v>96400</v>
      </c>
      <c r="O16" s="38">
        <f>N16*Pension_Rate</f>
        <v>8676</v>
      </c>
      <c r="P16" s="39">
        <f>SUM('Report July 2017'!$N16:$O16)</f>
        <v>105076</v>
      </c>
    </row>
    <row r="17" spans="1:16" outlineLevel="1" x14ac:dyDescent="0.25">
      <c r="A17" s="29"/>
      <c r="B17" s="28"/>
      <c r="C17" s="30"/>
      <c r="D17" s="31"/>
      <c r="E17" s="28"/>
      <c r="F17" s="32"/>
      <c r="G17" s="33"/>
      <c r="H17" s="53" t="s">
        <v>178</v>
      </c>
      <c r="I17" s="35"/>
      <c r="J17" s="36"/>
      <c r="K17" s="36"/>
      <c r="L17" s="32"/>
      <c r="M17" s="32"/>
      <c r="N17" s="37">
        <f>SUBTOTAL(9,N15:N16)</f>
        <v>197800</v>
      </c>
      <c r="O17" s="38">
        <f>SUBTOTAL(9,O15:O16)</f>
        <v>17802</v>
      </c>
      <c r="P17" s="39">
        <f>SUBTOTAL(9,P15:P16)</f>
        <v>215602</v>
      </c>
    </row>
    <row r="18" spans="1:16" outlineLevel="2" x14ac:dyDescent="0.25">
      <c r="A18" s="29" t="s">
        <v>78</v>
      </c>
      <c r="B18" s="28" t="s">
        <v>141</v>
      </c>
      <c r="C18" s="30" t="s">
        <v>27</v>
      </c>
      <c r="D18" s="31" t="s">
        <v>165</v>
      </c>
      <c r="E18" s="28" t="str">
        <f>LOWER(C18&amp;"."&amp;B18&amp;"@pushpin.com")</f>
        <v>jim.chaffee@pushpin.com</v>
      </c>
      <c r="F18" s="32">
        <v>41787</v>
      </c>
      <c r="G18" s="33">
        <f ca="1">YEARFRAC(F18,TODAY())</f>
        <v>8.3083333333333336</v>
      </c>
      <c r="H18" s="34" t="s">
        <v>13</v>
      </c>
      <c r="I18" s="35" t="s">
        <v>102</v>
      </c>
      <c r="J18" s="36" t="str">
        <f>LEFT(I18,2)</f>
        <v>03</v>
      </c>
      <c r="K18" s="36" t="str">
        <f>RIGHT(I18,4)</f>
        <v>2432</v>
      </c>
      <c r="L18" s="32">
        <v>42804</v>
      </c>
      <c r="M18" s="32">
        <f>L18+365</f>
        <v>43169</v>
      </c>
      <c r="N18" s="37">
        <v>42100</v>
      </c>
      <c r="O18" s="38">
        <f>N18*Pension_Rate</f>
        <v>3789</v>
      </c>
      <c r="P18" s="39">
        <f>SUM('Report July 2017'!$N18:$O18)</f>
        <v>45889</v>
      </c>
    </row>
    <row r="19" spans="1:16" outlineLevel="1" x14ac:dyDescent="0.25">
      <c r="A19" s="29"/>
      <c r="B19" s="28"/>
      <c r="C19" s="30"/>
      <c r="D19" s="31"/>
      <c r="E19" s="28"/>
      <c r="F19" s="32"/>
      <c r="G19" s="33"/>
      <c r="H19" s="53" t="s">
        <v>179</v>
      </c>
      <c r="I19" s="35"/>
      <c r="J19" s="36"/>
      <c r="K19" s="36"/>
      <c r="L19" s="32"/>
      <c r="M19" s="32"/>
      <c r="N19" s="37">
        <f>SUBTOTAL(9,N18:N18)</f>
        <v>42100</v>
      </c>
      <c r="O19" s="38">
        <f>SUBTOTAL(9,O18:O18)</f>
        <v>3789</v>
      </c>
      <c r="P19" s="39">
        <f>SUBTOTAL(9,P18:P18)</f>
        <v>45889</v>
      </c>
    </row>
    <row r="20" spans="1:16" outlineLevel="2" x14ac:dyDescent="0.25">
      <c r="A20" s="29" t="s">
        <v>74</v>
      </c>
      <c r="B20" s="28" t="s">
        <v>142</v>
      </c>
      <c r="C20" s="30" t="s">
        <v>61</v>
      </c>
      <c r="D20" s="31" t="s">
        <v>166</v>
      </c>
      <c r="E20" s="28" t="str">
        <f>LOWER(C20&amp;"."&amp;B20&amp;"@pushpin.com")</f>
        <v>uma.chaudri@pushpin.com</v>
      </c>
      <c r="F20" s="32">
        <v>40994</v>
      </c>
      <c r="G20" s="33">
        <f ca="1">YEARFRAC(F20,TODAY())</f>
        <v>10.480555555555556</v>
      </c>
      <c r="H20" s="34" t="s">
        <v>17</v>
      </c>
      <c r="I20" s="35" t="s">
        <v>119</v>
      </c>
      <c r="J20" s="36" t="str">
        <f>LEFT(I20,2)</f>
        <v>03</v>
      </c>
      <c r="K20" s="36" t="str">
        <f>RIGHT(I20,4)</f>
        <v>2134</v>
      </c>
      <c r="L20" s="32">
        <v>42776</v>
      </c>
      <c r="M20" s="32">
        <f>L20+365</f>
        <v>43141</v>
      </c>
      <c r="N20" s="37">
        <v>63200</v>
      </c>
      <c r="O20" s="38">
        <f>N20*Pension_Rate</f>
        <v>5688</v>
      </c>
      <c r="P20" s="39">
        <f>SUM('Report July 2017'!$N20:$O20)</f>
        <v>68888</v>
      </c>
    </row>
    <row r="21" spans="1:16" outlineLevel="2" x14ac:dyDescent="0.25">
      <c r="A21" s="29" t="s">
        <v>86</v>
      </c>
      <c r="B21" s="28" t="s">
        <v>156</v>
      </c>
      <c r="C21" s="30" t="s">
        <v>157</v>
      </c>
      <c r="D21" s="31" t="s">
        <v>165</v>
      </c>
      <c r="E21" s="28" t="str">
        <f>LOWER(C21&amp;"."&amp;B21&amp;"@pushpin.com")</f>
        <v>carlos.martinez@pushpin.com</v>
      </c>
      <c r="F21" s="32">
        <v>42229</v>
      </c>
      <c r="G21" s="33">
        <f ca="1">YEARFRAC(F21,TODAY())</f>
        <v>7.1</v>
      </c>
      <c r="H21" s="34" t="s">
        <v>17</v>
      </c>
      <c r="I21" s="35" t="s">
        <v>99</v>
      </c>
      <c r="J21" s="36" t="str">
        <f>LEFT(I21,2)</f>
        <v>03</v>
      </c>
      <c r="K21" s="36" t="str">
        <f>RIGHT(I21,4)</f>
        <v>2764</v>
      </c>
      <c r="L21" s="32">
        <v>42845</v>
      </c>
      <c r="M21" s="32">
        <f>L21+365</f>
        <v>43210</v>
      </c>
      <c r="N21" s="37">
        <v>47900</v>
      </c>
      <c r="O21" s="38">
        <f>N21*Pension_Rate</f>
        <v>4311</v>
      </c>
      <c r="P21" s="39">
        <f>SUM('Report July 2017'!$N21:$O21)</f>
        <v>52211</v>
      </c>
    </row>
    <row r="22" spans="1:16" outlineLevel="2" x14ac:dyDescent="0.25">
      <c r="A22" s="29" t="s">
        <v>91</v>
      </c>
      <c r="B22" s="28" t="s">
        <v>158</v>
      </c>
      <c r="C22" s="30" t="s">
        <v>58</v>
      </c>
      <c r="D22" s="31" t="s">
        <v>165</v>
      </c>
      <c r="E22" s="28" t="str">
        <f>LOWER(C22&amp;"."&amp;B22&amp;"@pushpin.com")</f>
        <v>sean.sanders@pushpin.com</v>
      </c>
      <c r="F22" s="32">
        <v>42691</v>
      </c>
      <c r="G22" s="33">
        <f ca="1">YEARFRAC(F22,TODAY())</f>
        <v>5.8388888888888886</v>
      </c>
      <c r="H22" s="34" t="s">
        <v>17</v>
      </c>
      <c r="I22" s="35" t="s">
        <v>113</v>
      </c>
      <c r="J22" s="36" t="str">
        <f>LEFT(I22,2)</f>
        <v>03</v>
      </c>
      <c r="K22" s="36" t="str">
        <f>RIGHT(I22,4)</f>
        <v>2765</v>
      </c>
      <c r="L22" s="32">
        <v>42566</v>
      </c>
      <c r="M22" s="32">
        <f>L22+365</f>
        <v>42931</v>
      </c>
      <c r="N22" s="37">
        <v>38600</v>
      </c>
      <c r="O22" s="38">
        <f>N22*Pension_Rate</f>
        <v>3474</v>
      </c>
      <c r="P22" s="39">
        <f>SUM('Report July 2017'!$N22:$O22)</f>
        <v>42074</v>
      </c>
    </row>
    <row r="23" spans="1:16" outlineLevel="1" x14ac:dyDescent="0.25">
      <c r="A23" s="29"/>
      <c r="B23" s="28"/>
      <c r="C23" s="30"/>
      <c r="D23" s="31"/>
      <c r="E23" s="28"/>
      <c r="F23" s="32"/>
      <c r="G23" s="33"/>
      <c r="H23" s="53" t="s">
        <v>180</v>
      </c>
      <c r="I23" s="35"/>
      <c r="J23" s="36"/>
      <c r="K23" s="36"/>
      <c r="L23" s="32"/>
      <c r="M23" s="32"/>
      <c r="N23" s="37">
        <f>SUBTOTAL(9,N20:N22)</f>
        <v>149700</v>
      </c>
      <c r="O23" s="38">
        <f>SUBTOTAL(9,O20:O22)</f>
        <v>13473</v>
      </c>
      <c r="P23" s="39">
        <f>SUBTOTAL(9,P20:P22)</f>
        <v>163173</v>
      </c>
    </row>
    <row r="24" spans="1:16" outlineLevel="2" x14ac:dyDescent="0.25">
      <c r="A24" s="29" t="s">
        <v>9</v>
      </c>
      <c r="B24" s="28" t="s">
        <v>144</v>
      </c>
      <c r="C24" s="30" t="s">
        <v>56</v>
      </c>
      <c r="D24" s="31" t="s">
        <v>165</v>
      </c>
      <c r="E24" s="28" t="str">
        <f>LOWER(C24&amp;"."&amp;B24&amp;"@pushpin.com")</f>
        <v>eric.chung@pushpin.com</v>
      </c>
      <c r="F24" s="32">
        <v>36949</v>
      </c>
      <c r="G24" s="33">
        <f ca="1">YEARFRAC(F24,TODAY())</f>
        <v>21.56111111111111</v>
      </c>
      <c r="H24" s="34" t="s">
        <v>59</v>
      </c>
      <c r="I24" s="35" t="s">
        <v>105</v>
      </c>
      <c r="J24" s="36" t="str">
        <f>LEFT(I24,2)</f>
        <v>03</v>
      </c>
      <c r="K24" s="36" t="str">
        <f>RIGHT(I24,4)</f>
        <v>2796</v>
      </c>
      <c r="L24" s="32">
        <v>42731</v>
      </c>
      <c r="M24" s="32">
        <f>L24+365</f>
        <v>43096</v>
      </c>
      <c r="N24" s="37">
        <v>70300</v>
      </c>
      <c r="O24" s="38">
        <f>N24*Pension_Rate</f>
        <v>6327</v>
      </c>
      <c r="P24" s="39">
        <f>SUM('Report July 2017'!$N24:$O24)</f>
        <v>76627</v>
      </c>
    </row>
    <row r="25" spans="1:16" outlineLevel="2" x14ac:dyDescent="0.25">
      <c r="A25" s="29" t="s">
        <v>71</v>
      </c>
      <c r="B25" s="28" t="s">
        <v>143</v>
      </c>
      <c r="C25" s="30" t="s">
        <v>16</v>
      </c>
      <c r="D25" s="31" t="s">
        <v>166</v>
      </c>
      <c r="E25" s="28" t="str">
        <f>LOWER(C25&amp;"."&amp;B25&amp;"@pushpin.com")</f>
        <v>elizabeth.chu@pushpin.com</v>
      </c>
      <c r="F25" s="32">
        <v>40220</v>
      </c>
      <c r="G25" s="33">
        <f ca="1">YEARFRAC(F25,TODAY())</f>
        <v>12.605555555555556</v>
      </c>
      <c r="H25" s="34" t="s">
        <v>59</v>
      </c>
      <c r="I25" s="35" t="s">
        <v>104</v>
      </c>
      <c r="J25" s="36" t="str">
        <f>LEFT(I25,2)</f>
        <v>01</v>
      </c>
      <c r="K25" s="36" t="str">
        <f>RIGHT(I25,4)</f>
        <v>2425</v>
      </c>
      <c r="L25" s="32">
        <v>42761</v>
      </c>
      <c r="M25" s="32">
        <f>L25+365</f>
        <v>43126</v>
      </c>
      <c r="N25" s="37">
        <v>48400</v>
      </c>
      <c r="O25" s="38">
        <f>N25*Pension_Rate</f>
        <v>4356</v>
      </c>
      <c r="P25" s="39">
        <f>SUM('Report July 2017'!$N25:$O25)</f>
        <v>52756</v>
      </c>
    </row>
    <row r="26" spans="1:16" outlineLevel="2" x14ac:dyDescent="0.25">
      <c r="A26" s="29" t="s">
        <v>75</v>
      </c>
      <c r="B26" s="28" t="s">
        <v>150</v>
      </c>
      <c r="C26" s="30" t="s">
        <v>28</v>
      </c>
      <c r="D26" s="31" t="s">
        <v>166</v>
      </c>
      <c r="E26" s="28" t="str">
        <f>LOWER(C26&amp;"."&amp;B26&amp;"@pushpin.com")</f>
        <v>tina.desiato@pushpin.com</v>
      </c>
      <c r="F26" s="32">
        <v>41175</v>
      </c>
      <c r="G26" s="33">
        <f ca="1">YEARFRAC(F26,TODAY())</f>
        <v>9.9888888888888889</v>
      </c>
      <c r="H26" s="28" t="s">
        <v>59</v>
      </c>
      <c r="I26" s="35" t="s">
        <v>121</v>
      </c>
      <c r="J26" s="36" t="str">
        <f>LEFT(I26,2)</f>
        <v>01</v>
      </c>
      <c r="K26" s="36" t="str">
        <f>RIGHT(I26,4)</f>
        <v>2358</v>
      </c>
      <c r="L26" s="32">
        <v>42652</v>
      </c>
      <c r="M26" s="32">
        <f>L26+365</f>
        <v>43017</v>
      </c>
      <c r="N26" s="37">
        <v>51700</v>
      </c>
      <c r="O26" s="38">
        <f>N26*Pension_Rate</f>
        <v>4653</v>
      </c>
      <c r="P26" s="39">
        <f>SUM('Report July 2017'!$N26:$O26)</f>
        <v>56353</v>
      </c>
    </row>
    <row r="27" spans="1:16" outlineLevel="2" x14ac:dyDescent="0.25">
      <c r="A27" s="29" t="s">
        <v>76</v>
      </c>
      <c r="B27" s="28" t="s">
        <v>149</v>
      </c>
      <c r="C27" s="30" t="s">
        <v>19</v>
      </c>
      <c r="D27" s="31" t="s">
        <v>165</v>
      </c>
      <c r="E27" s="28" t="str">
        <f>LOWER(C27&amp;"."&amp;B27&amp;"@pushpin.com")</f>
        <v>bob.decker@pushpin.com</v>
      </c>
      <c r="F27" s="32">
        <v>41210</v>
      </c>
      <c r="G27" s="33">
        <f ca="1">YEARFRAC(F27,TODAY())</f>
        <v>9.8916666666666675</v>
      </c>
      <c r="H27" s="34" t="s">
        <v>59</v>
      </c>
      <c r="I27" s="35" t="s">
        <v>120</v>
      </c>
      <c r="J27" s="36" t="str">
        <f>LEFT(I27,2)</f>
        <v>01</v>
      </c>
      <c r="K27" s="36" t="str">
        <f>RIGHT(I27,4)</f>
        <v>2086</v>
      </c>
      <c r="L27" s="32">
        <v>42656</v>
      </c>
      <c r="M27" s="32">
        <f>L27+365</f>
        <v>43021</v>
      </c>
      <c r="N27" s="37">
        <v>49600</v>
      </c>
      <c r="O27" s="38">
        <f>N27*Pension_Rate</f>
        <v>4464</v>
      </c>
      <c r="P27" s="39">
        <f>SUM('Report July 2017'!$N27:$O27)</f>
        <v>54064</v>
      </c>
    </row>
    <row r="28" spans="1:16" outlineLevel="2" x14ac:dyDescent="0.25">
      <c r="A28" s="29" t="s">
        <v>89</v>
      </c>
      <c r="B28" s="28" t="s">
        <v>152</v>
      </c>
      <c r="C28" s="30" t="s">
        <v>25</v>
      </c>
      <c r="D28" s="31" t="s">
        <v>165</v>
      </c>
      <c r="E28" s="28" t="str">
        <f>LOWER(C28&amp;"."&amp;B28&amp;"@pushpin.com")</f>
        <v>mark.ellis@pushpin.com</v>
      </c>
      <c r="F28" s="32">
        <v>42371</v>
      </c>
      <c r="G28" s="33">
        <f ca="1">YEARFRAC(F28,TODAY())</f>
        <v>6.7138888888888886</v>
      </c>
      <c r="H28" s="34" t="s">
        <v>59</v>
      </c>
      <c r="I28" s="35" t="s">
        <v>111</v>
      </c>
      <c r="J28" s="36" t="str">
        <f>LEFT(I28,2)</f>
        <v>03</v>
      </c>
      <c r="K28" s="36" t="str">
        <f>RIGHT(I28,4)</f>
        <v>2482</v>
      </c>
      <c r="L28" s="32">
        <v>42619</v>
      </c>
      <c r="M28" s="32">
        <f>L28+365</f>
        <v>42984</v>
      </c>
      <c r="N28" s="37">
        <v>58500</v>
      </c>
      <c r="O28" s="38">
        <f>N28*Pension_Rate</f>
        <v>5265</v>
      </c>
      <c r="P28" s="39">
        <f>SUM('Report July 2017'!$N28:$O28)</f>
        <v>63765</v>
      </c>
    </row>
    <row r="29" spans="1:16" outlineLevel="1" x14ac:dyDescent="0.25">
      <c r="A29" s="29"/>
      <c r="B29" s="28"/>
      <c r="C29" s="30"/>
      <c r="D29" s="31"/>
      <c r="E29" s="28"/>
      <c r="F29" s="32"/>
      <c r="G29" s="33"/>
      <c r="H29" s="53" t="s">
        <v>181</v>
      </c>
      <c r="I29" s="35"/>
      <c r="J29" s="36"/>
      <c r="K29" s="36"/>
      <c r="L29" s="32"/>
      <c r="M29" s="32"/>
      <c r="N29" s="37">
        <f>SUBTOTAL(9,N24:N28)</f>
        <v>278500</v>
      </c>
      <c r="O29" s="38">
        <f>SUBTOTAL(9,O24:O28)</f>
        <v>25065</v>
      </c>
      <c r="P29" s="39">
        <f>SUBTOTAL(9,P24:P28)</f>
        <v>303565</v>
      </c>
    </row>
    <row r="30" spans="1:16" outlineLevel="2" x14ac:dyDescent="0.25">
      <c r="A30" s="29" t="s">
        <v>172</v>
      </c>
      <c r="B30" s="28" t="s">
        <v>173</v>
      </c>
      <c r="C30" s="30" t="s">
        <v>174</v>
      </c>
      <c r="D30" s="31" t="s">
        <v>165</v>
      </c>
      <c r="E30" s="28" t="str">
        <f>LOWER(C30&amp;"."&amp;B30&amp;"@pushpin.com")</f>
        <v>william.grey@pushpin.com</v>
      </c>
      <c r="F30" s="40">
        <v>42933</v>
      </c>
      <c r="G30" s="33">
        <f ca="1">YEARFRAC(F30,TODAY())</f>
        <v>5.1722222222222225</v>
      </c>
      <c r="H30" s="34" t="s">
        <v>175</v>
      </c>
      <c r="I30" s="35"/>
      <c r="J30" s="36" t="str">
        <f>LEFT(I30,2)</f>
        <v/>
      </c>
      <c r="K30" s="36" t="str">
        <f>RIGHT(I30,4)</f>
        <v/>
      </c>
      <c r="L30" s="40">
        <v>42933</v>
      </c>
      <c r="M30" s="40">
        <f>L30+365</f>
        <v>43298</v>
      </c>
      <c r="N30" s="37">
        <v>97000</v>
      </c>
      <c r="O30" s="38">
        <f>N30*Pension_Rate</f>
        <v>8730</v>
      </c>
      <c r="P30" s="39">
        <f>SUM('Report July 2017'!$N30:$O30)</f>
        <v>105730</v>
      </c>
    </row>
    <row r="31" spans="1:16" outlineLevel="1" x14ac:dyDescent="0.25">
      <c r="A31" s="29"/>
      <c r="B31" s="28"/>
      <c r="C31" s="30"/>
      <c r="D31" s="31"/>
      <c r="E31" s="28"/>
      <c r="F31" s="40"/>
      <c r="G31" s="33"/>
      <c r="H31" s="53" t="s">
        <v>182</v>
      </c>
      <c r="I31" s="35"/>
      <c r="J31" s="36"/>
      <c r="K31" s="36"/>
      <c r="L31" s="40"/>
      <c r="M31" s="40"/>
      <c r="N31" s="37">
        <f>SUBTOTAL(9,N30:N30)</f>
        <v>97000</v>
      </c>
      <c r="O31" s="38">
        <f>SUBTOTAL(9,O30:O30)</f>
        <v>8730</v>
      </c>
      <c r="P31" s="39">
        <f>SUBTOTAL(9,P30:P30)</f>
        <v>105730</v>
      </c>
    </row>
    <row r="32" spans="1:16" outlineLevel="2" x14ac:dyDescent="0.25">
      <c r="A32" s="29" t="s">
        <v>11</v>
      </c>
      <c r="B32" s="28" t="s">
        <v>155</v>
      </c>
      <c r="C32" s="30" t="s">
        <v>10</v>
      </c>
      <c r="D32" s="31" t="s">
        <v>165</v>
      </c>
      <c r="E32" s="28" t="str">
        <f>LOWER(C32&amp;"."&amp;B32&amp;"@pushpin.com")</f>
        <v>daniel.flanders@pushpin.com</v>
      </c>
      <c r="F32" s="32">
        <v>37510</v>
      </c>
      <c r="G32" s="33">
        <f ca="1">YEARFRAC(F32,TODAY())</f>
        <v>20.022222222222222</v>
      </c>
      <c r="H32" s="34" t="s">
        <v>55</v>
      </c>
      <c r="I32" s="35" t="s">
        <v>124</v>
      </c>
      <c r="J32" s="36" t="str">
        <f>LEFT(I32,2)</f>
        <v>02</v>
      </c>
      <c r="K32" s="36" t="str">
        <f>RIGHT(I32,4)</f>
        <v>2639</v>
      </c>
      <c r="L32" s="32">
        <v>42590</v>
      </c>
      <c r="M32" s="32">
        <f>L32+365</f>
        <v>42955</v>
      </c>
      <c r="N32" s="37">
        <v>68800</v>
      </c>
      <c r="O32" s="38">
        <f>N32*Pension_Rate</f>
        <v>6192</v>
      </c>
      <c r="P32" s="39">
        <f>SUM('Report July 2017'!$N32:$O32)</f>
        <v>74992</v>
      </c>
    </row>
    <row r="33" spans="1:16" outlineLevel="2" x14ac:dyDescent="0.25">
      <c r="A33" s="29" t="s">
        <v>64</v>
      </c>
      <c r="B33" s="28" t="s">
        <v>153</v>
      </c>
      <c r="C33" s="30" t="s">
        <v>21</v>
      </c>
      <c r="D33" s="31" t="s">
        <v>166</v>
      </c>
      <c r="E33" s="28" t="str">
        <f>LOWER(C33&amp;"."&amp;B33&amp;"@pushpin.com")</f>
        <v>mary.ferris@pushpin.com</v>
      </c>
      <c r="F33" s="32">
        <v>38548</v>
      </c>
      <c r="G33" s="33">
        <f ca="1">YEARFRAC(F33,TODAY())</f>
        <v>17.177777777777777</v>
      </c>
      <c r="H33" s="34" t="s">
        <v>55</v>
      </c>
      <c r="I33" s="35" t="s">
        <v>123</v>
      </c>
      <c r="J33" s="36" t="str">
        <f>LEFT(I33,2)</f>
        <v>03</v>
      </c>
      <c r="K33" s="36" t="str">
        <f>RIGHT(I33,4)</f>
        <v>2392</v>
      </c>
      <c r="L33" s="32">
        <v>42598</v>
      </c>
      <c r="M33" s="32">
        <f>L33+365</f>
        <v>42963</v>
      </c>
      <c r="N33" s="37">
        <v>62900</v>
      </c>
      <c r="O33" s="38">
        <f>N33*Pension_Rate</f>
        <v>5661</v>
      </c>
      <c r="P33" s="39">
        <f>SUM('Report July 2017'!$N33:$O33)</f>
        <v>68561</v>
      </c>
    </row>
    <row r="34" spans="1:16" outlineLevel="2" x14ac:dyDescent="0.25">
      <c r="A34" s="29" t="s">
        <v>66</v>
      </c>
      <c r="B34" s="28" t="s">
        <v>29</v>
      </c>
      <c r="C34" s="30" t="s">
        <v>28</v>
      </c>
      <c r="D34" s="31" t="s">
        <v>166</v>
      </c>
      <c r="E34" s="28" t="str">
        <f>LOWER(C34&amp;"."&amp;B34&amp;"@pushpin.com")</f>
        <v>tina.carlton@pushpin.com</v>
      </c>
      <c r="F34" s="32">
        <v>38798</v>
      </c>
      <c r="G34" s="33">
        <f ca="1">YEARFRAC(F34,TODAY())</f>
        <v>16.491666666666667</v>
      </c>
      <c r="H34" s="34" t="s">
        <v>55</v>
      </c>
      <c r="I34" s="35" t="s">
        <v>101</v>
      </c>
      <c r="J34" s="36" t="str">
        <f>LEFT(I34,2)</f>
        <v>02</v>
      </c>
      <c r="K34" s="36" t="str">
        <f>RIGHT(I34,4)</f>
        <v>2699</v>
      </c>
      <c r="L34" s="32">
        <v>42825</v>
      </c>
      <c r="M34" s="32">
        <f>L34+365</f>
        <v>43190</v>
      </c>
      <c r="N34" s="37">
        <v>59200</v>
      </c>
      <c r="O34" s="38">
        <f>N34*Pension_Rate</f>
        <v>5328</v>
      </c>
      <c r="P34" s="39">
        <f>SUM('Report July 2017'!$N34:$O34)</f>
        <v>64528</v>
      </c>
    </row>
    <row r="35" spans="1:16" outlineLevel="2" x14ac:dyDescent="0.25">
      <c r="A35" s="29" t="s">
        <v>68</v>
      </c>
      <c r="B35" s="28" t="s">
        <v>49</v>
      </c>
      <c r="C35" s="30" t="s">
        <v>48</v>
      </c>
      <c r="D35" s="31" t="s">
        <v>165</v>
      </c>
      <c r="E35" s="28" t="str">
        <f>LOWER(C35&amp;"."&amp;B35&amp;"@pushpin.com")</f>
        <v>stevie.bacata@pushpin.com</v>
      </c>
      <c r="F35" s="32">
        <v>39551</v>
      </c>
      <c r="G35" s="33">
        <f ca="1">YEARFRAC(F35,TODAY())</f>
        <v>14.433333333333334</v>
      </c>
      <c r="H35" s="34" t="s">
        <v>55</v>
      </c>
      <c r="I35" s="35" t="s">
        <v>96</v>
      </c>
      <c r="J35" s="36" t="str">
        <f>LEFT(I35,2)</f>
        <v>02</v>
      </c>
      <c r="K35" s="36" t="str">
        <f>RIGHT(I35,4)</f>
        <v>2635</v>
      </c>
      <c r="L35" s="32">
        <v>42507</v>
      </c>
      <c r="M35" s="32">
        <f>L35+365</f>
        <v>42872</v>
      </c>
      <c r="N35" s="37">
        <v>58200</v>
      </c>
      <c r="O35" s="38">
        <f>N35*Pension_Rate</f>
        <v>5238</v>
      </c>
      <c r="P35" s="39">
        <f>SUM('Report July 2017'!$N35:$O35)</f>
        <v>63438</v>
      </c>
    </row>
    <row r="36" spans="1:16" outlineLevel="2" x14ac:dyDescent="0.25">
      <c r="A36" s="29" t="s">
        <v>70</v>
      </c>
      <c r="B36" s="28" t="s">
        <v>33</v>
      </c>
      <c r="C36" s="30" t="s">
        <v>32</v>
      </c>
      <c r="D36" s="31" t="s">
        <v>165</v>
      </c>
      <c r="E36" s="28" t="str">
        <f>LOWER(C36&amp;"."&amp;B36&amp;"@pushpin.com")</f>
        <v>mihael.khan@pushpin.com</v>
      </c>
      <c r="F36" s="32">
        <v>40160</v>
      </c>
      <c r="G36" s="33">
        <f ca="1">YEARFRAC(F36,TODAY())</f>
        <v>12.766666666666667</v>
      </c>
      <c r="H36" s="34" t="s">
        <v>55</v>
      </c>
      <c r="I36" s="35" t="s">
        <v>127</v>
      </c>
      <c r="J36" s="36" t="str">
        <f>LEFT(I36,2)</f>
        <v>02</v>
      </c>
      <c r="K36" s="36" t="str">
        <f>RIGHT(I36,4)</f>
        <v>2294</v>
      </c>
      <c r="L36" s="32">
        <v>42566</v>
      </c>
      <c r="M36" s="32">
        <f>L36+365</f>
        <v>42931</v>
      </c>
      <c r="N36" s="37">
        <v>55500</v>
      </c>
      <c r="O36" s="38">
        <f>N36*Pension_Rate</f>
        <v>4995</v>
      </c>
      <c r="P36" s="39">
        <f>SUM('Report July 2017'!$N36:$O36)</f>
        <v>60495</v>
      </c>
    </row>
    <row r="37" spans="1:16" outlineLevel="2" x14ac:dyDescent="0.25">
      <c r="A37" s="29" t="s">
        <v>72</v>
      </c>
      <c r="B37" s="28" t="s">
        <v>31</v>
      </c>
      <c r="C37" s="30" t="s">
        <v>30</v>
      </c>
      <c r="D37" s="31" t="s">
        <v>166</v>
      </c>
      <c r="E37" s="28" t="str">
        <f>LOWER(C37&amp;"."&amp;B37&amp;"@pushpin.com")</f>
        <v>samantha.chairs@pushpin.com</v>
      </c>
      <c r="F37" s="32">
        <v>40595</v>
      </c>
      <c r="G37" s="33">
        <f ca="1">YEARFRAC(F37,TODAY())</f>
        <v>11.577777777777778</v>
      </c>
      <c r="H37" s="34" t="s">
        <v>55</v>
      </c>
      <c r="I37" s="35" t="s">
        <v>103</v>
      </c>
      <c r="J37" s="36" t="str">
        <f>LEFT(I37,2)</f>
        <v>02</v>
      </c>
      <c r="K37" s="36" t="str">
        <f>RIGHT(I37,4)</f>
        <v>2962</v>
      </c>
      <c r="L37" s="32">
        <v>42801</v>
      </c>
      <c r="M37" s="32">
        <f>L37+365</f>
        <v>43166</v>
      </c>
      <c r="N37" s="37">
        <v>59300</v>
      </c>
      <c r="O37" s="38">
        <f>N37*Pension_Rate</f>
        <v>5337</v>
      </c>
      <c r="P37" s="39">
        <f>SUM('Report July 2017'!$N37:$O37)</f>
        <v>64637</v>
      </c>
    </row>
    <row r="38" spans="1:16" outlineLevel="2" x14ac:dyDescent="0.25">
      <c r="A38" s="29" t="s">
        <v>73</v>
      </c>
      <c r="B38" s="28" t="s">
        <v>39</v>
      </c>
      <c r="C38" s="30" t="s">
        <v>38</v>
      </c>
      <c r="D38" s="31" t="s">
        <v>166</v>
      </c>
      <c r="E38" s="28" t="str">
        <f>LOWER(C38&amp;"."&amp;B38&amp;"@pushpin.com")</f>
        <v>natasha.song@pushpin.com</v>
      </c>
      <c r="F38" s="32">
        <v>40713</v>
      </c>
      <c r="G38" s="33">
        <f ca="1">YEARFRAC(F38,TODAY())</f>
        <v>11.25</v>
      </c>
      <c r="H38" s="34" t="s">
        <v>55</v>
      </c>
      <c r="I38" s="35" t="s">
        <v>129</v>
      </c>
      <c r="J38" s="36" t="str">
        <f>LEFT(I38,2)</f>
        <v>02</v>
      </c>
      <c r="K38" s="36" t="str">
        <f>RIGHT(I38,4)</f>
        <v>2578</v>
      </c>
      <c r="L38" s="32">
        <v>42552</v>
      </c>
      <c r="M38" s="32">
        <f>L38+365</f>
        <v>42917</v>
      </c>
      <c r="N38" s="37">
        <v>56000</v>
      </c>
      <c r="O38" s="38">
        <f>N38*Pension_Rate</f>
        <v>5040</v>
      </c>
      <c r="P38" s="39">
        <f>SUM('Report July 2017'!$N38:$O38)</f>
        <v>61040</v>
      </c>
    </row>
    <row r="39" spans="1:16" outlineLevel="2" x14ac:dyDescent="0.25">
      <c r="A39" s="29" t="s">
        <v>80</v>
      </c>
      <c r="B39" s="28" t="s">
        <v>47</v>
      </c>
      <c r="C39" s="30" t="s">
        <v>46</v>
      </c>
      <c r="D39" s="31" t="s">
        <v>165</v>
      </c>
      <c r="E39" s="28" t="str">
        <f>LOWER(C39&amp;"."&amp;B39&amp;"@pushpin.com")</f>
        <v>charlie.bui@pushpin.com</v>
      </c>
      <c r="F39" s="32">
        <v>41903</v>
      </c>
      <c r="G39" s="33">
        <f ca="1">YEARFRAC(F39,TODAY())</f>
        <v>7.9944444444444445</v>
      </c>
      <c r="H39" s="34" t="s">
        <v>55</v>
      </c>
      <c r="I39" s="35" t="s">
        <v>117</v>
      </c>
      <c r="J39" s="36" t="str">
        <f>LEFT(I39,2)</f>
        <v>02</v>
      </c>
      <c r="K39" s="36" t="str">
        <f>RIGHT(I39,4)</f>
        <v>2694</v>
      </c>
      <c r="L39" s="32">
        <v>42828</v>
      </c>
      <c r="M39" s="32">
        <f>L39+365</f>
        <v>43193</v>
      </c>
      <c r="N39" s="37">
        <v>54700</v>
      </c>
      <c r="O39" s="38">
        <f>N39*Pension_Rate</f>
        <v>4923</v>
      </c>
      <c r="P39" s="39">
        <f>SUM('Report July 2017'!$N39:$O39)</f>
        <v>59623</v>
      </c>
    </row>
    <row r="40" spans="1:16" outlineLevel="2" x14ac:dyDescent="0.25">
      <c r="A40" s="29" t="s">
        <v>81</v>
      </c>
      <c r="B40" s="28" t="s">
        <v>43</v>
      </c>
      <c r="C40" s="30" t="s">
        <v>42</v>
      </c>
      <c r="D40" s="31" t="s">
        <v>165</v>
      </c>
      <c r="E40" s="28" t="str">
        <f>LOWER(C40&amp;"."&amp;B40&amp;"@pushpin.com")</f>
        <v>connor.betts@pushpin.com</v>
      </c>
      <c r="F40" s="32">
        <v>41956</v>
      </c>
      <c r="G40" s="33">
        <f ca="1">YEARFRAC(F40,TODAY())</f>
        <v>7.85</v>
      </c>
      <c r="H40" s="34" t="s">
        <v>55</v>
      </c>
      <c r="I40" s="35" t="s">
        <v>98</v>
      </c>
      <c r="J40" s="36" t="str">
        <f>LEFT(I40,2)</f>
        <v>02</v>
      </c>
      <c r="K40" s="36" t="str">
        <f>RIGHT(I40,4)</f>
        <v>2347</v>
      </c>
      <c r="L40" s="32">
        <v>42848</v>
      </c>
      <c r="M40" s="32">
        <f>L40+365</f>
        <v>43213</v>
      </c>
      <c r="N40" s="37">
        <v>52600</v>
      </c>
      <c r="O40" s="38">
        <f>N40*Pension_Rate</f>
        <v>4734</v>
      </c>
      <c r="P40" s="39">
        <f>SUM('Report July 2017'!$N40:$O40)</f>
        <v>57334</v>
      </c>
    </row>
    <row r="41" spans="1:16" outlineLevel="2" x14ac:dyDescent="0.25">
      <c r="A41" s="29" t="s">
        <v>83</v>
      </c>
      <c r="B41" s="28" t="s">
        <v>41</v>
      </c>
      <c r="C41" s="30" t="s">
        <v>40</v>
      </c>
      <c r="D41" s="31" t="s">
        <v>166</v>
      </c>
      <c r="E41" s="28" t="str">
        <f>LOWER(C41&amp;"."&amp;B41&amp;"@pushpin.com")</f>
        <v>aanya.zhang@pushpin.com</v>
      </c>
      <c r="F41" s="32">
        <v>42002</v>
      </c>
      <c r="G41" s="33">
        <f ca="1">YEARFRAC(F41,TODAY())</f>
        <v>7.7222222222222223</v>
      </c>
      <c r="H41" s="34" t="s">
        <v>55</v>
      </c>
      <c r="I41" s="35" t="s">
        <v>131</v>
      </c>
      <c r="J41" s="36" t="str">
        <f>LEFT(I41,2)</f>
        <v>02</v>
      </c>
      <c r="K41" s="36" t="str">
        <f>RIGHT(I41,4)</f>
        <v>2793</v>
      </c>
      <c r="L41" s="32">
        <v>42540</v>
      </c>
      <c r="M41" s="32">
        <f>L41+365</f>
        <v>42905</v>
      </c>
      <c r="N41" s="37">
        <v>46500</v>
      </c>
      <c r="O41" s="38">
        <f>N41*Pension_Rate</f>
        <v>4185</v>
      </c>
      <c r="P41" s="39">
        <f>SUM('Report July 2017'!$N41:$O41)</f>
        <v>50685</v>
      </c>
    </row>
    <row r="42" spans="1:16" outlineLevel="2" x14ac:dyDescent="0.25">
      <c r="A42" s="29" t="s">
        <v>84</v>
      </c>
      <c r="B42" s="28" t="s">
        <v>37</v>
      </c>
      <c r="C42" s="30" t="s">
        <v>36</v>
      </c>
      <c r="D42" s="31" t="s">
        <v>165</v>
      </c>
      <c r="E42" s="28" t="str">
        <f>LOWER(C42&amp;"."&amp;B42&amp;"@pushpin.com")</f>
        <v>leighton.forrest@pushpin.com</v>
      </c>
      <c r="F42" s="32">
        <v>42120</v>
      </c>
      <c r="G42" s="33">
        <f ca="1">YEARFRAC(F42,TODAY())</f>
        <v>7.3972222222222221</v>
      </c>
      <c r="H42" s="34" t="s">
        <v>55</v>
      </c>
      <c r="I42" s="35" t="s">
        <v>125</v>
      </c>
      <c r="J42" s="36" t="str">
        <f>LEFT(I42,2)</f>
        <v>02</v>
      </c>
      <c r="K42" s="36" t="str">
        <f>RIGHT(I42,4)</f>
        <v>2284</v>
      </c>
      <c r="L42" s="32">
        <v>42586</v>
      </c>
      <c r="M42" s="32">
        <f>L42+365</f>
        <v>42951</v>
      </c>
      <c r="N42" s="37">
        <v>56200</v>
      </c>
      <c r="O42" s="38">
        <f>N42*Pension_Rate</f>
        <v>5058</v>
      </c>
      <c r="P42" s="39">
        <f>SUM('Report July 2017'!$N42:$O42)</f>
        <v>61258</v>
      </c>
    </row>
    <row r="43" spans="1:16" outlineLevel="2" x14ac:dyDescent="0.25">
      <c r="A43" s="29" t="s">
        <v>87</v>
      </c>
      <c r="B43" s="28" t="s">
        <v>53</v>
      </c>
      <c r="C43" s="30" t="s">
        <v>115</v>
      </c>
      <c r="D43" s="31" t="s">
        <v>165</v>
      </c>
      <c r="E43" s="28" t="str">
        <f>LOWER(C43&amp;"."&amp;B43&amp;"@pushpin.com")</f>
        <v>peter.staples@pushpin.com</v>
      </c>
      <c r="F43" s="32">
        <v>42321</v>
      </c>
      <c r="G43" s="33">
        <f ca="1">YEARFRAC(F43,TODAY())</f>
        <v>6.85</v>
      </c>
      <c r="H43" s="34" t="s">
        <v>55</v>
      </c>
      <c r="I43" s="35" t="s">
        <v>130</v>
      </c>
      <c r="J43" s="36" t="str">
        <f>LEFT(I43,2)</f>
        <v>02</v>
      </c>
      <c r="K43" s="36" t="str">
        <f>RIGHT(I43,4)</f>
        <v>2654</v>
      </c>
      <c r="L43" s="32">
        <v>42551</v>
      </c>
      <c r="M43" s="32">
        <f>L43+365</f>
        <v>42916</v>
      </c>
      <c r="N43" s="37">
        <v>49600</v>
      </c>
      <c r="O43" s="38">
        <f>N43*Pension_Rate</f>
        <v>4464</v>
      </c>
      <c r="P43" s="39">
        <f>SUM('Report July 2017'!$N43:$O43)</f>
        <v>54064</v>
      </c>
    </row>
    <row r="44" spans="1:16" outlineLevel="2" x14ac:dyDescent="0.25">
      <c r="A44" s="29" t="s">
        <v>88</v>
      </c>
      <c r="B44" s="28" t="s">
        <v>54</v>
      </c>
      <c r="C44" s="30" t="s">
        <v>52</v>
      </c>
      <c r="D44" s="31" t="s">
        <v>166</v>
      </c>
      <c r="E44" s="28" t="str">
        <f>LOWER(C44&amp;"."&amp;B44&amp;"@pushpin.com")</f>
        <v>radhya.senome@pushpin.com</v>
      </c>
      <c r="F44" s="32">
        <v>42324</v>
      </c>
      <c r="G44" s="33">
        <f ca="1">YEARFRAC(F44,TODAY())</f>
        <v>6.8416666666666668</v>
      </c>
      <c r="H44" s="34" t="s">
        <v>55</v>
      </c>
      <c r="I44" s="35" t="s">
        <v>128</v>
      </c>
      <c r="J44" s="36" t="str">
        <f>LEFT(I44,2)</f>
        <v>02</v>
      </c>
      <c r="K44" s="36" t="str">
        <f>RIGHT(I44,4)</f>
        <v>2260</v>
      </c>
      <c r="L44" s="32">
        <v>42563</v>
      </c>
      <c r="M44" s="32">
        <f>L44+365</f>
        <v>42928</v>
      </c>
      <c r="N44" s="37">
        <v>35600</v>
      </c>
      <c r="O44" s="38">
        <f>N44*Pension_Rate</f>
        <v>3204</v>
      </c>
      <c r="P44" s="39">
        <f>SUM('Report July 2017'!$N44:$O44)</f>
        <v>38804</v>
      </c>
    </row>
    <row r="45" spans="1:16" outlineLevel="2" x14ac:dyDescent="0.25">
      <c r="A45" s="29" t="s">
        <v>90</v>
      </c>
      <c r="B45" s="28" t="s">
        <v>45</v>
      </c>
      <c r="C45" s="30" t="s">
        <v>44</v>
      </c>
      <c r="D45" s="31" t="s">
        <v>166</v>
      </c>
      <c r="E45" s="28" t="str">
        <f>LOWER(C45&amp;"."&amp;B45&amp;"@pushpin.com")</f>
        <v>yvette.biti@pushpin.com</v>
      </c>
      <c r="F45" s="32">
        <v>42384</v>
      </c>
      <c r="G45" s="33">
        <f ca="1">YEARFRAC(F45,TODAY())</f>
        <v>6.677777777777778</v>
      </c>
      <c r="H45" s="34" t="s">
        <v>55</v>
      </c>
      <c r="I45" s="35" t="s">
        <v>100</v>
      </c>
      <c r="J45" s="36" t="str">
        <f>LEFT(I45,2)</f>
        <v>02</v>
      </c>
      <c r="K45" s="36" t="str">
        <f>RIGHT(I45,4)</f>
        <v>2589</v>
      </c>
      <c r="L45" s="32">
        <v>42839</v>
      </c>
      <c r="M45" s="32">
        <f>L45+365</f>
        <v>43204</v>
      </c>
      <c r="N45" s="37">
        <v>51400</v>
      </c>
      <c r="O45" s="38">
        <f>N45*Pension_Rate</f>
        <v>4626</v>
      </c>
      <c r="P45" s="39">
        <f>SUM('Report July 2017'!$N45:$O45)</f>
        <v>56026</v>
      </c>
    </row>
    <row r="46" spans="1:16" outlineLevel="2" x14ac:dyDescent="0.25">
      <c r="A46" s="41" t="s">
        <v>92</v>
      </c>
      <c r="B46" s="42" t="s">
        <v>35</v>
      </c>
      <c r="C46" s="43" t="s">
        <v>34</v>
      </c>
      <c r="D46" s="44" t="s">
        <v>166</v>
      </c>
      <c r="E46" s="42" t="str">
        <f>LOWER(C46&amp;"."&amp;B46&amp;"@pushpin.com")</f>
        <v>phoebe.gour@pushpin.com</v>
      </c>
      <c r="F46" s="45">
        <v>42721</v>
      </c>
      <c r="G46" s="46">
        <f ca="1">YEARFRAC(F46,TODAY())</f>
        <v>5.7555555555555555</v>
      </c>
      <c r="H46" s="47" t="s">
        <v>55</v>
      </c>
      <c r="I46" s="48" t="s">
        <v>126</v>
      </c>
      <c r="J46" s="49" t="str">
        <f>LEFT(I46,2)</f>
        <v>02</v>
      </c>
      <c r="K46" s="49" t="str">
        <f>RIGHT(I46,4)</f>
        <v>2910</v>
      </c>
      <c r="L46" s="45">
        <v>42539</v>
      </c>
      <c r="M46" s="45">
        <f>L46+365</f>
        <v>42904</v>
      </c>
      <c r="N46" s="50">
        <v>40500</v>
      </c>
      <c r="O46" s="51">
        <f>N46*Pension_Rate</f>
        <v>3645</v>
      </c>
      <c r="P46" s="52">
        <f>SUM('Report July 2017'!$N46:$O46)</f>
        <v>44145</v>
      </c>
    </row>
    <row r="47" spans="1:16" outlineLevel="1" x14ac:dyDescent="0.25">
      <c r="A47" s="54"/>
      <c r="B47" s="28"/>
      <c r="C47" s="30"/>
      <c r="D47" s="31"/>
      <c r="E47" s="28"/>
      <c r="F47" s="32"/>
      <c r="G47" s="33"/>
      <c r="H47" s="53" t="s">
        <v>183</v>
      </c>
      <c r="I47" s="35"/>
      <c r="J47" s="36"/>
      <c r="K47" s="36"/>
      <c r="L47" s="32"/>
      <c r="M47" s="32"/>
      <c r="N47" s="37">
        <f>SUBTOTAL(9,N32:N46)</f>
        <v>807000</v>
      </c>
      <c r="O47" s="38">
        <f>SUBTOTAL(9,O32:O46)</f>
        <v>72630</v>
      </c>
      <c r="P47" s="55">
        <f>SUBTOTAL(9,P32:P46)</f>
        <v>879630</v>
      </c>
    </row>
    <row r="48" spans="1:16" x14ac:dyDescent="0.25">
      <c r="A48" s="54"/>
      <c r="B48" s="28"/>
      <c r="C48" s="30"/>
      <c r="D48" s="31"/>
      <c r="E48" s="28"/>
      <c r="F48" s="32"/>
      <c r="G48" s="33"/>
      <c r="H48" s="53" t="s">
        <v>184</v>
      </c>
      <c r="I48" s="35"/>
      <c r="J48" s="36"/>
      <c r="K48" s="36"/>
      <c r="L48" s="32"/>
      <c r="M48" s="32"/>
      <c r="N48" s="37">
        <f>SUBTOTAL(9,N4:N46)</f>
        <v>2055400</v>
      </c>
      <c r="O48" s="38">
        <f>SUBTOTAL(9,O4:O46)</f>
        <v>184986</v>
      </c>
      <c r="P48" s="55">
        <f>SUBTOTAL(9,P4:P46)</f>
        <v>2240386</v>
      </c>
    </row>
    <row r="50" spans="5:5" ht="15.75" x14ac:dyDescent="0.25">
      <c r="E50" s="13"/>
    </row>
    <row r="51" spans="5:5" ht="15.75" x14ac:dyDescent="0.25">
      <c r="E51" s="13"/>
    </row>
    <row r="52" spans="5:5" ht="15.75" x14ac:dyDescent="0.25">
      <c r="E52" s="13"/>
    </row>
  </sheetData>
  <conditionalFormatting sqref="M4:M4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2022-09-19T14:37:08Z</dcterms:modified>
</cp:coreProperties>
</file>