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01 - Daten Harald\01 - Arbeitsunterlagen\06 - Sustainable resource base\ERA_method_v_2_2 - wo AOD\ESB\"/>
    </mc:Choice>
  </mc:AlternateContent>
  <bookViews>
    <workbookView xWindow="0" yWindow="0" windowWidth="19200" windowHeight="11480"/>
  </bookViews>
  <sheets>
    <sheet name="PB" sheetId="1" r:id="rId1"/>
    <sheet name="CC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4" i="1" l="1"/>
  <c r="F34" i="1"/>
  <c r="D34" i="1"/>
  <c r="F32" i="1" l="1"/>
  <c r="D32" i="1"/>
  <c r="F27" i="1"/>
  <c r="F26" i="1"/>
  <c r="D26" i="1"/>
  <c r="D25" i="1"/>
  <c r="F25" i="1" l="1"/>
  <c r="C19" i="3" l="1"/>
  <c r="C18" i="3"/>
  <c r="C17" i="3"/>
  <c r="C16" i="3"/>
  <c r="C15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G16" i="3"/>
  <c r="F16" i="3"/>
  <c r="L15" i="3"/>
  <c r="M15" i="3"/>
  <c r="N15" i="3"/>
  <c r="O15" i="3"/>
  <c r="P15" i="3"/>
  <c r="Q15" i="3"/>
  <c r="R15" i="3"/>
  <c r="S15" i="3"/>
  <c r="T15" i="3"/>
  <c r="F15" i="3"/>
  <c r="K15" i="3"/>
  <c r="G15" i="3"/>
  <c r="H15" i="3"/>
  <c r="I15" i="3"/>
  <c r="J15" i="3"/>
  <c r="K13" i="3"/>
  <c r="L13" i="3"/>
  <c r="M13" i="3"/>
  <c r="N13" i="3"/>
  <c r="O13" i="3"/>
  <c r="P13" i="3"/>
  <c r="Q13" i="3"/>
  <c r="R13" i="3"/>
  <c r="S13" i="3"/>
  <c r="T13" i="3"/>
  <c r="J13" i="3"/>
  <c r="E11" i="3"/>
  <c r="F11" i="3"/>
  <c r="G11" i="3"/>
  <c r="H11" i="3"/>
  <c r="I11" i="3"/>
  <c r="J11" i="3"/>
  <c r="D11" i="3"/>
  <c r="C5" i="3"/>
  <c r="V24" i="1" l="1"/>
  <c r="U24" i="1"/>
  <c r="F18" i="1" l="1"/>
  <c r="D18" i="1"/>
  <c r="N27" i="1" l="1"/>
  <c r="D27" i="1" s="1"/>
</calcChain>
</file>

<file path=xl/sharedStrings.xml><?xml version="1.0" encoding="utf-8"?>
<sst xmlns="http://schemas.openxmlformats.org/spreadsheetml/2006/main" count="165" uniqueCount="103">
  <si>
    <t>Beta-PERT (min, mode, max)</t>
  </si>
  <si>
    <t>lognormal (log mode, (log max-log mode)/3)</t>
  </si>
  <si>
    <t>triangular (min, mode, max)</t>
  </si>
  <si>
    <t>normal (mode, sigma = (max-mode)/3)</t>
  </si>
  <si>
    <t>balance coefficient</t>
  </si>
  <si>
    <t>Planetary Boundaries</t>
  </si>
  <si>
    <t>current</t>
  </si>
  <si>
    <t>conversion factors</t>
  </si>
  <si>
    <t>Boundary category</t>
  </si>
  <si>
    <t>control variable</t>
  </si>
  <si>
    <t>unit</t>
  </si>
  <si>
    <t>min</t>
  </si>
  <si>
    <t>mode</t>
  </si>
  <si>
    <t>max</t>
  </si>
  <si>
    <t>d</t>
  </si>
  <si>
    <t>Unit</t>
  </si>
  <si>
    <t>Source</t>
  </si>
  <si>
    <t>Climate change</t>
  </si>
  <si>
    <t>CO2 concentration</t>
  </si>
  <si>
    <t>ppm CO2</t>
  </si>
  <si>
    <t>Steffen_2015</t>
  </si>
  <si>
    <t>energy imbalance on top of atmosphere</t>
  </si>
  <si>
    <t>W/m²</t>
  </si>
  <si>
    <t>biodiversity loss</t>
  </si>
  <si>
    <t>Biodiversity intactness index reduction</t>
  </si>
  <si>
    <t>BII</t>
  </si>
  <si>
    <t>Ozone depletion</t>
  </si>
  <si>
    <t>O3 concentration reduction</t>
  </si>
  <si>
    <t>DU</t>
  </si>
  <si>
    <t>terrestrial accidification</t>
  </si>
  <si>
    <t>biogeochemical flows</t>
  </si>
  <si>
    <t>P from freshwater to oceans</t>
  </si>
  <si>
    <t>kg P/a</t>
  </si>
  <si>
    <t>Industrial and biologial fixation of N</t>
  </si>
  <si>
    <t>kg N/a</t>
  </si>
  <si>
    <t>Land system change</t>
  </si>
  <si>
    <t>Forest area loss</t>
  </si>
  <si>
    <t>Rockstrom_2009</t>
  </si>
  <si>
    <t>Freshwater use</t>
  </si>
  <si>
    <t>consumptive blue water use</t>
  </si>
  <si>
    <t>km³/a</t>
  </si>
  <si>
    <t>blue water withdrawl as fraction of mean monthly river flow</t>
  </si>
  <si>
    <t>-</t>
  </si>
  <si>
    <t>Atmospheric aerosol loading</t>
  </si>
  <si>
    <t>AOD</t>
  </si>
  <si>
    <t>Novel entities</t>
  </si>
  <si>
    <t>Energy</t>
  </si>
  <si>
    <t>TJ</t>
  </si>
  <si>
    <t>translation</t>
  </si>
  <si>
    <t>direct CO2 emissions</t>
  </si>
  <si>
    <t>kg CO2/a</t>
  </si>
  <si>
    <t>kg CO2-eq/a</t>
  </si>
  <si>
    <t>W.a/m².kgCO2-eq(GWP100)</t>
  </si>
  <si>
    <t>Doka_2016</t>
  </si>
  <si>
    <t>species.a/a</t>
  </si>
  <si>
    <t>global estimated species</t>
  </si>
  <si>
    <t>ozone depletion potential</t>
  </si>
  <si>
    <t>kg ODP-eq/a</t>
  </si>
  <si>
    <t>m².a/a</t>
  </si>
  <si>
    <t>m³/a</t>
  </si>
  <si>
    <t>ERA of renewable energy</t>
  </si>
  <si>
    <t>P from fertilizer to soil</t>
  </si>
  <si>
    <t>Ryberg_2018, Doka_2016</t>
  </si>
  <si>
    <t>ReCiPe_2013</t>
  </si>
  <si>
    <t>DU.a/kgCFC-11-eq</t>
  </si>
  <si>
    <t>Doka_2016, IPCC_2013</t>
  </si>
  <si>
    <t xml:space="preserve">Appropriate ice-free land area </t>
  </si>
  <si>
    <t>Röckstrom</t>
  </si>
  <si>
    <t>Cropland</t>
  </si>
  <si>
    <t>Dinerstein_2017 + Steffen_2015</t>
  </si>
  <si>
    <t>Antropogenic increase in aerosol optical depth</t>
  </si>
  <si>
    <t>total</t>
  </si>
  <si>
    <t>SI_renewable_energy_calculation.xlsx</t>
  </si>
  <si>
    <t>Ryberg</t>
  </si>
  <si>
    <t>300a time horizon</t>
  </si>
  <si>
    <t>Climate catastrophy</t>
  </si>
  <si>
    <t>CO2 boundary calculations</t>
  </si>
  <si>
    <t>cumulative CO2 emissions 1750-2012</t>
  </si>
  <si>
    <t>Gt</t>
  </si>
  <si>
    <t>pre-industrial CO2 concentration</t>
  </si>
  <si>
    <t>ppm</t>
  </si>
  <si>
    <t>year</t>
  </si>
  <si>
    <t>time series CO2 concentration (from graph), if anthropogenic CO2 emission would stop in 2015)</t>
  </si>
  <si>
    <t>exponential increase function</t>
  </si>
  <si>
    <t>exponential decrease function</t>
  </si>
  <si>
    <t>Area</t>
  </si>
  <si>
    <t>ppm*a</t>
  </si>
  <si>
    <t>Natural background concentration</t>
  </si>
  <si>
    <t>Anthropogenic concentration impact</t>
  </si>
  <si>
    <t>ppm*a/Gt</t>
  </si>
  <si>
    <t>Gt/a</t>
  </si>
  <si>
    <t>emission allowance</t>
  </si>
  <si>
    <t>total remaining CO2 budget as of 1.1.2018</t>
  </si>
  <si>
    <t>p=0.66</t>
  </si>
  <si>
    <t>p=0.5</t>
  </si>
  <si>
    <t>p=0.33</t>
  </si>
  <si>
    <t>IPCC_2018 SR1.5°C</t>
  </si>
  <si>
    <t>assuming a rectangular distribution</t>
  </si>
  <si>
    <t>old version</t>
  </si>
  <si>
    <t>IPCC_2018</t>
  </si>
  <si>
    <t>GWP100</t>
  </si>
  <si>
    <t>rectangular (min, max)</t>
  </si>
  <si>
    <t>MJ-el/a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</si>
</sst>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 * #,##0.00_ ;_ * \-#,##0.00_ ;_ * &quot;-&quot;??_ ;_ @_ "/>
  </numFmts>
  <fonts count="4" x14ac:knownFonts="1">
    <font>
      <sz val="10"/>
      <color theme="1"/>
      <name val="Segoe UI"/>
      <family val="2"/>
    </font>
    <font>
      <sz val="10"/>
      <name val="Segoe UI"/>
      <family val="2"/>
    </font>
    <font>
      <sz val="10"/>
      <color theme="1"/>
      <name val="Segoe UI"/>
      <family val="2"/>
    </font>
    <font>
      <sz val="10"/>
      <color rgb="FFFF0000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</cellStyleXfs>
  <cellXfs count="28">
    <xf numFmtId="0" fontId="0" fillId="0" borderId="0" xfId="0"/>
    <xf numFmtId="1" fontId="0" fillId="0" borderId="0" xfId="0" applyNumberFormat="1"/>
    <xf numFmtId="0" fontId="0" fillId="4" borderId="0" xfId="0" applyFill="1" applyAlignment="1">
      <alignment horizontal="center"/>
    </xf>
    <xf numFmtId="0" fontId="0" fillId="2" borderId="0" xfId="0" applyFill="1"/>
    <xf numFmtId="1" fontId="0" fillId="2" borderId="0" xfId="0" applyNumberFormat="1" applyFill="1"/>
    <xf numFmtId="0" fontId="0" fillId="3" borderId="0" xfId="0" applyFill="1"/>
    <xf numFmtId="0" fontId="0" fillId="4" borderId="0" xfId="0" applyFill="1"/>
    <xf numFmtId="1" fontId="0" fillId="4" borderId="0" xfId="0" applyNumberFormat="1" applyFill="1"/>
    <xf numFmtId="11" fontId="0" fillId="0" borderId="0" xfId="0" applyNumberFormat="1"/>
    <xf numFmtId="11" fontId="1" fillId="0" borderId="0" xfId="0" applyNumberFormat="1" applyFont="1"/>
    <xf numFmtId="1" fontId="0" fillId="3" borderId="0" xfId="0" applyNumberFormat="1" applyFill="1"/>
    <xf numFmtId="0" fontId="0" fillId="0" borderId="0" xfId="0" applyFill="1"/>
    <xf numFmtId="0" fontId="0" fillId="0" borderId="0" xfId="0" applyFont="1"/>
    <xf numFmtId="0" fontId="1" fillId="0" borderId="0" xfId="0" applyFont="1"/>
    <xf numFmtId="9" fontId="1" fillId="0" borderId="0" xfId="1" applyFont="1"/>
    <xf numFmtId="11" fontId="0" fillId="0" borderId="0" xfId="0" applyNumberFormat="1" applyFont="1"/>
    <xf numFmtId="11" fontId="0" fillId="0" borderId="0" xfId="0" applyNumberFormat="1"/>
    <xf numFmtId="11" fontId="0" fillId="0" borderId="0" xfId="0" applyNumberFormat="1"/>
    <xf numFmtId="164" fontId="0" fillId="0" borderId="0" xfId="2" applyFont="1"/>
    <xf numFmtId="11" fontId="3" fillId="0" borderId="0" xfId="0" applyNumberFormat="1" applyFont="1"/>
    <xf numFmtId="0" fontId="0" fillId="0" borderId="0" xfId="0" applyNumberFormat="1"/>
    <xf numFmtId="0" fontId="0" fillId="4" borderId="0" xfId="0" applyNumberFormat="1" applyFill="1" applyAlignment="1">
      <alignment horizontal="center"/>
    </xf>
    <xf numFmtId="0" fontId="0" fillId="4" borderId="0" xfId="0" applyNumberFormat="1" applyFill="1"/>
    <xf numFmtId="0" fontId="0" fillId="3" borderId="0" xfId="0" applyNumberFormat="1" applyFill="1"/>
    <xf numFmtId="1" fontId="1" fillId="0" borderId="0" xfId="0" applyNumberFormat="1" applyFont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</cellXfs>
  <cellStyles count="3">
    <cellStyle name="Komma" xfId="2" builtinId="3"/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0916410075606219"/>
          <c:y val="5.42857142857142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CC!$D$9:$T$9</c:f>
              <c:numCache>
                <c:formatCode>General</c:formatCode>
                <c:ptCount val="17"/>
                <c:pt idx="0">
                  <c:v>1750</c:v>
                </c:pt>
                <c:pt idx="1">
                  <c:v>1800</c:v>
                </c:pt>
                <c:pt idx="2">
                  <c:v>1850</c:v>
                </c:pt>
                <c:pt idx="3">
                  <c:v>1900</c:v>
                </c:pt>
                <c:pt idx="4">
                  <c:v>1950</c:v>
                </c:pt>
                <c:pt idx="5">
                  <c:v>2000</c:v>
                </c:pt>
                <c:pt idx="6">
                  <c:v>2015</c:v>
                </c:pt>
                <c:pt idx="7">
                  <c:v>2050</c:v>
                </c:pt>
                <c:pt idx="8">
                  <c:v>2100</c:v>
                </c:pt>
                <c:pt idx="9">
                  <c:v>2150</c:v>
                </c:pt>
                <c:pt idx="10">
                  <c:v>2200</c:v>
                </c:pt>
                <c:pt idx="11">
                  <c:v>2250</c:v>
                </c:pt>
                <c:pt idx="12">
                  <c:v>2300</c:v>
                </c:pt>
                <c:pt idx="13">
                  <c:v>2350</c:v>
                </c:pt>
                <c:pt idx="14">
                  <c:v>2400</c:v>
                </c:pt>
                <c:pt idx="15">
                  <c:v>2450</c:v>
                </c:pt>
                <c:pt idx="16">
                  <c:v>2500</c:v>
                </c:pt>
              </c:numCache>
            </c:numRef>
          </c:xVal>
          <c:yVal>
            <c:numRef>
              <c:f>CC!$D$10:$T$10</c:f>
              <c:numCache>
                <c:formatCode>General</c:formatCode>
                <c:ptCount val="17"/>
                <c:pt idx="0">
                  <c:v>278</c:v>
                </c:pt>
                <c:pt idx="2">
                  <c:v>284</c:v>
                </c:pt>
                <c:pt idx="3">
                  <c:v>291</c:v>
                </c:pt>
                <c:pt idx="4">
                  <c:v>306</c:v>
                </c:pt>
                <c:pt idx="5">
                  <c:v>364</c:v>
                </c:pt>
                <c:pt idx="6">
                  <c:v>398</c:v>
                </c:pt>
                <c:pt idx="7">
                  <c:v>366</c:v>
                </c:pt>
                <c:pt idx="8">
                  <c:v>350</c:v>
                </c:pt>
                <c:pt idx="9">
                  <c:v>343</c:v>
                </c:pt>
                <c:pt idx="10">
                  <c:v>338</c:v>
                </c:pt>
                <c:pt idx="11">
                  <c:v>336</c:v>
                </c:pt>
                <c:pt idx="12">
                  <c:v>333</c:v>
                </c:pt>
                <c:pt idx="13">
                  <c:v>331</c:v>
                </c:pt>
                <c:pt idx="14">
                  <c:v>329</c:v>
                </c:pt>
                <c:pt idx="15">
                  <c:v>327</c:v>
                </c:pt>
                <c:pt idx="16">
                  <c:v>326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B48-4208-A1C6-8D3C0D9F6C95}"/>
            </c:ext>
          </c:extLst>
        </c:ser>
        <c:ser>
          <c:idx val="1"/>
          <c:order val="1"/>
          <c:tx>
            <c:strRef>
              <c:f>CC!$A$11</c:f>
              <c:strCache>
                <c:ptCount val="1"/>
                <c:pt idx="0">
                  <c:v>exponential increase function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CC!$D$9:$K$9</c:f>
              <c:numCache>
                <c:formatCode>General</c:formatCode>
                <c:ptCount val="8"/>
                <c:pt idx="0">
                  <c:v>1750</c:v>
                </c:pt>
                <c:pt idx="1">
                  <c:v>1800</c:v>
                </c:pt>
                <c:pt idx="2">
                  <c:v>1850</c:v>
                </c:pt>
                <c:pt idx="3">
                  <c:v>1900</c:v>
                </c:pt>
                <c:pt idx="4">
                  <c:v>1950</c:v>
                </c:pt>
                <c:pt idx="5">
                  <c:v>2000</c:v>
                </c:pt>
                <c:pt idx="6">
                  <c:v>2015</c:v>
                </c:pt>
                <c:pt idx="7">
                  <c:v>2050</c:v>
                </c:pt>
              </c:numCache>
            </c:numRef>
          </c:xVal>
          <c:yVal>
            <c:numRef>
              <c:f>CC!$D$11:$J$11</c:f>
              <c:numCache>
                <c:formatCode>General</c:formatCode>
                <c:ptCount val="7"/>
                <c:pt idx="0">
                  <c:v>278.31733556833069</c:v>
                </c:pt>
                <c:pt idx="1">
                  <c:v>278.9725872504527</c:v>
                </c:pt>
                <c:pt idx="2">
                  <c:v>280.9808381226191</c:v>
                </c:pt>
                <c:pt idx="3">
                  <c:v>287.13583424944511</c:v>
                </c:pt>
                <c:pt idx="4">
                  <c:v>306</c:v>
                </c:pt>
                <c:pt idx="5">
                  <c:v>363.81591769220404</c:v>
                </c:pt>
                <c:pt idx="6">
                  <c:v>398.0855625766639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B48-4208-A1C6-8D3C0D9F6C95}"/>
            </c:ext>
          </c:extLst>
        </c:ser>
        <c:ser>
          <c:idx val="2"/>
          <c:order val="2"/>
          <c:tx>
            <c:strRef>
              <c:f>CC!$A$12</c:f>
              <c:strCache>
                <c:ptCount val="1"/>
                <c:pt idx="0">
                  <c:v>exponential decrease function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CC!$J$9:$T$9</c:f>
              <c:numCache>
                <c:formatCode>General</c:formatCode>
                <c:ptCount val="11"/>
                <c:pt idx="0">
                  <c:v>2015</c:v>
                </c:pt>
                <c:pt idx="1">
                  <c:v>2050</c:v>
                </c:pt>
                <c:pt idx="2">
                  <c:v>2100</c:v>
                </c:pt>
                <c:pt idx="3">
                  <c:v>2150</c:v>
                </c:pt>
                <c:pt idx="4">
                  <c:v>2200</c:v>
                </c:pt>
                <c:pt idx="5">
                  <c:v>2250</c:v>
                </c:pt>
                <c:pt idx="6">
                  <c:v>2300</c:v>
                </c:pt>
                <c:pt idx="7">
                  <c:v>2350</c:v>
                </c:pt>
                <c:pt idx="8">
                  <c:v>2400</c:v>
                </c:pt>
                <c:pt idx="9">
                  <c:v>2450</c:v>
                </c:pt>
                <c:pt idx="10">
                  <c:v>2500</c:v>
                </c:pt>
              </c:numCache>
            </c:numRef>
          </c:xVal>
          <c:yVal>
            <c:numRef>
              <c:f>CC!$J$12:$T$12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B48-4208-A1C6-8D3C0D9F6C95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CC!$D$9:$T$9</c:f>
              <c:numCache>
                <c:formatCode>General</c:formatCode>
                <c:ptCount val="17"/>
                <c:pt idx="0">
                  <c:v>1750</c:v>
                </c:pt>
                <c:pt idx="1">
                  <c:v>1800</c:v>
                </c:pt>
                <c:pt idx="2">
                  <c:v>1850</c:v>
                </c:pt>
                <c:pt idx="3">
                  <c:v>1900</c:v>
                </c:pt>
                <c:pt idx="4">
                  <c:v>1950</c:v>
                </c:pt>
                <c:pt idx="5">
                  <c:v>2000</c:v>
                </c:pt>
                <c:pt idx="6">
                  <c:v>2015</c:v>
                </c:pt>
                <c:pt idx="7">
                  <c:v>2050</c:v>
                </c:pt>
                <c:pt idx="8">
                  <c:v>2100</c:v>
                </c:pt>
                <c:pt idx="9">
                  <c:v>2150</c:v>
                </c:pt>
                <c:pt idx="10">
                  <c:v>2200</c:v>
                </c:pt>
                <c:pt idx="11">
                  <c:v>2250</c:v>
                </c:pt>
                <c:pt idx="12">
                  <c:v>2300</c:v>
                </c:pt>
                <c:pt idx="13">
                  <c:v>2350</c:v>
                </c:pt>
                <c:pt idx="14">
                  <c:v>2400</c:v>
                </c:pt>
                <c:pt idx="15">
                  <c:v>2450</c:v>
                </c:pt>
                <c:pt idx="16">
                  <c:v>2500</c:v>
                </c:pt>
              </c:numCache>
            </c:numRef>
          </c:xVal>
          <c:yVal>
            <c:numRef>
              <c:f>CC!$D$13:$T$13</c:f>
              <c:numCache>
                <c:formatCode>General</c:formatCode>
                <c:ptCount val="17"/>
                <c:pt idx="6">
                  <c:v>398</c:v>
                </c:pt>
                <c:pt idx="7">
                  <c:v>374.1540596900407</c:v>
                </c:pt>
                <c:pt idx="8">
                  <c:v>352.93720857916043</c:v>
                </c:pt>
                <c:pt idx="9">
                  <c:v>340.87839596804764</c:v>
                </c:pt>
                <c:pt idx="10">
                  <c:v>334.0246474626739</c:v>
                </c:pt>
                <c:pt idx="11">
                  <c:v>330.12924995632039</c:v>
                </c:pt>
                <c:pt idx="12">
                  <c:v>327.91526125793035</c:v>
                </c:pt>
                <c:pt idx="13">
                  <c:v>326.6569183163939</c:v>
                </c:pt>
                <c:pt idx="14">
                  <c:v>325.94172633747087</c:v>
                </c:pt>
                <c:pt idx="15">
                  <c:v>325.5352397193704</c:v>
                </c:pt>
                <c:pt idx="16">
                  <c:v>325.3042089254518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B48-4208-A1C6-8D3C0D9F6C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5220912"/>
        <c:axId val="615219272"/>
      </c:scatterChart>
      <c:valAx>
        <c:axId val="615220912"/>
        <c:scaling>
          <c:orientation val="minMax"/>
          <c:max val="2500"/>
          <c:min val="17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219272"/>
        <c:crosses val="autoZero"/>
        <c:crossBetween val="midCat"/>
        <c:majorUnit val="50"/>
      </c:valAx>
      <c:valAx>
        <c:axId val="615219272"/>
        <c:scaling>
          <c:orientation val="minMax"/>
          <c:max val="550"/>
          <c:min val="2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220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152400</xdr:colOff>
      <xdr:row>19</xdr:row>
      <xdr:rowOff>127000</xdr:rowOff>
    </xdr:from>
    <xdr:to>
      <xdr:col>20</xdr:col>
      <xdr:colOff>130313</xdr:colOff>
      <xdr:row>43</xdr:row>
      <xdr:rowOff>103188</xdr:rowOff>
    </xdr:to>
    <xdr:pic>
      <xdr:nvPicPr>
        <xdr:cNvPr id="2" name="Inhaltsplatzhalter 5"/>
        <xdr:cNvPicPr>
          <a:picLocks noGrp="1"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 bwMode="auto">
        <a:xfrm>
          <a:off x="9931400" y="3987800"/>
          <a:ext cx="6073913" cy="48529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571500</xdr:colOff>
      <xdr:row>19</xdr:row>
      <xdr:rowOff>139700</xdr:rowOff>
    </xdr:from>
    <xdr:to>
      <xdr:col>12</xdr:col>
      <xdr:colOff>95250</xdr:colOff>
      <xdr:row>41</xdr:row>
      <xdr:rowOff>114300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6"/>
  <sheetViews>
    <sheetView tabSelected="1" topLeftCell="A8" zoomScaleNormal="100" workbookViewId="0">
      <selection activeCell="B37" sqref="B37"/>
    </sheetView>
  </sheetViews>
  <sheetFormatPr baseColWidth="10" defaultRowHeight="16" x14ac:dyDescent="0.45"/>
  <cols>
    <col min="1" max="1" width="25.453125" bestFit="1" customWidth="1"/>
    <col min="2" max="2" width="51.26953125" bestFit="1" customWidth="1"/>
    <col min="3" max="3" width="13.81640625" bestFit="1" customWidth="1"/>
    <col min="4" max="4" width="12.54296875" bestFit="1" customWidth="1"/>
    <col min="5" max="5" width="12.26953125" bestFit="1" customWidth="1"/>
    <col min="6" max="6" width="12.453125" bestFit="1" customWidth="1"/>
    <col min="7" max="7" width="3.54296875" style="1" customWidth="1"/>
    <col min="11" max="11" width="4.7265625" customWidth="1"/>
    <col min="12" max="14" width="12.26953125" bestFit="1" customWidth="1"/>
    <col min="15" max="15" width="11.54296875" style="20"/>
    <col min="16" max="16" width="24.453125" bestFit="1" customWidth="1"/>
    <col min="17" max="17" width="21" bestFit="1" customWidth="1"/>
    <col min="21" max="22" width="12" bestFit="1" customWidth="1"/>
  </cols>
  <sheetData>
    <row r="1" spans="1:17" x14ac:dyDescent="0.45">
      <c r="H1" s="1">
        <v>1</v>
      </c>
      <c r="I1" s="1" t="s">
        <v>0</v>
      </c>
      <c r="J1" s="1"/>
      <c r="K1" s="1"/>
      <c r="L1" s="1">
        <v>4</v>
      </c>
      <c r="M1" s="1" t="s">
        <v>1</v>
      </c>
    </row>
    <row r="2" spans="1:17" x14ac:dyDescent="0.45">
      <c r="H2" s="1">
        <v>2</v>
      </c>
      <c r="I2" s="1" t="s">
        <v>2</v>
      </c>
      <c r="J2" s="1"/>
      <c r="K2" s="1"/>
      <c r="L2" s="1">
        <v>5</v>
      </c>
      <c r="M2" s="1" t="s">
        <v>101</v>
      </c>
    </row>
    <row r="3" spans="1:17" x14ac:dyDescent="0.45">
      <c r="H3" s="1">
        <v>3</v>
      </c>
      <c r="I3" s="1" t="s">
        <v>3</v>
      </c>
      <c r="J3" s="1"/>
      <c r="K3" s="1"/>
      <c r="L3" s="1">
        <v>6</v>
      </c>
      <c r="M3" s="1" t="s">
        <v>4</v>
      </c>
    </row>
    <row r="4" spans="1:17" x14ac:dyDescent="0.45">
      <c r="D4" s="25" t="s">
        <v>5</v>
      </c>
      <c r="E4" s="25"/>
      <c r="F4" s="25"/>
      <c r="G4" s="25"/>
      <c r="H4" s="26" t="s">
        <v>6</v>
      </c>
      <c r="I4" s="26"/>
      <c r="J4" s="26"/>
      <c r="K4" s="26"/>
      <c r="L4" s="27" t="s">
        <v>7</v>
      </c>
      <c r="M4" s="27"/>
      <c r="N4" s="27"/>
      <c r="O4" s="21"/>
      <c r="P4" s="2"/>
    </row>
    <row r="5" spans="1:17" x14ac:dyDescent="0.45">
      <c r="A5" t="s">
        <v>8</v>
      </c>
      <c r="B5" t="s">
        <v>9</v>
      </c>
      <c r="C5" t="s">
        <v>10</v>
      </c>
      <c r="D5" s="3" t="s">
        <v>11</v>
      </c>
      <c r="E5" s="3" t="s">
        <v>12</v>
      </c>
      <c r="F5" s="3" t="s">
        <v>13</v>
      </c>
      <c r="G5" s="4" t="s">
        <v>14</v>
      </c>
      <c r="H5" s="5" t="s">
        <v>11</v>
      </c>
      <c r="I5" s="5" t="s">
        <v>12</v>
      </c>
      <c r="J5" s="5" t="s">
        <v>13</v>
      </c>
      <c r="K5" s="5" t="s">
        <v>14</v>
      </c>
      <c r="L5" s="6" t="s">
        <v>11</v>
      </c>
      <c r="M5" s="7" t="s">
        <v>12</v>
      </c>
      <c r="N5" s="6" t="s">
        <v>13</v>
      </c>
      <c r="O5" s="22" t="s">
        <v>14</v>
      </c>
      <c r="P5" s="6" t="s">
        <v>15</v>
      </c>
      <c r="Q5" t="s">
        <v>16</v>
      </c>
    </row>
    <row r="6" spans="1:17" x14ac:dyDescent="0.45">
      <c r="A6" s="3" t="s">
        <v>17</v>
      </c>
      <c r="B6" s="8" t="s">
        <v>18</v>
      </c>
      <c r="C6" s="8" t="s">
        <v>19</v>
      </c>
      <c r="D6" s="8">
        <v>350</v>
      </c>
      <c r="E6" s="8"/>
      <c r="F6" s="8">
        <v>450</v>
      </c>
      <c r="G6" s="1">
        <v>5</v>
      </c>
      <c r="H6" s="8">
        <v>395.5</v>
      </c>
      <c r="Q6" t="s">
        <v>20</v>
      </c>
    </row>
    <row r="7" spans="1:17" x14ac:dyDescent="0.45">
      <c r="A7" s="3" t="s">
        <v>17</v>
      </c>
      <c r="B7" s="8" t="s">
        <v>21</v>
      </c>
      <c r="C7" s="8" t="s">
        <v>22</v>
      </c>
      <c r="D7" s="8">
        <v>1</v>
      </c>
      <c r="E7" s="8"/>
      <c r="F7" s="8">
        <v>1.5</v>
      </c>
      <c r="G7" s="1">
        <v>5</v>
      </c>
      <c r="H7" s="8">
        <v>1.1000000000000001</v>
      </c>
      <c r="I7" s="8">
        <v>2.2999999999999998</v>
      </c>
      <c r="J7" s="8">
        <v>3.3</v>
      </c>
      <c r="Q7" t="s">
        <v>20</v>
      </c>
    </row>
    <row r="8" spans="1:17" x14ac:dyDescent="0.45">
      <c r="A8" s="3" t="s">
        <v>23</v>
      </c>
      <c r="B8" s="8" t="s">
        <v>24</v>
      </c>
      <c r="C8" s="9" t="s">
        <v>25</v>
      </c>
      <c r="D8" s="9">
        <v>0.1</v>
      </c>
      <c r="E8" s="9"/>
      <c r="F8" s="9">
        <v>0.7</v>
      </c>
      <c r="G8" s="1">
        <v>5</v>
      </c>
      <c r="H8" s="8">
        <v>0.16</v>
      </c>
      <c r="Q8" t="s">
        <v>20</v>
      </c>
    </row>
    <row r="9" spans="1:17" x14ac:dyDescent="0.45">
      <c r="A9" s="3" t="s">
        <v>26</v>
      </c>
      <c r="B9" s="8" t="s">
        <v>27</v>
      </c>
      <c r="C9" s="8" t="s">
        <v>28</v>
      </c>
      <c r="D9" s="8">
        <v>14.5</v>
      </c>
      <c r="E9" s="8"/>
      <c r="F9" s="8">
        <v>29</v>
      </c>
      <c r="G9" s="1">
        <v>5</v>
      </c>
      <c r="H9" s="8">
        <v>0</v>
      </c>
      <c r="J9">
        <v>90</v>
      </c>
      <c r="Q9" t="s">
        <v>20</v>
      </c>
    </row>
    <row r="10" spans="1:17" hidden="1" x14ac:dyDescent="0.45">
      <c r="A10" s="3" t="s">
        <v>29</v>
      </c>
      <c r="B10" s="8"/>
      <c r="C10" s="8"/>
      <c r="D10" s="8"/>
      <c r="E10" s="8"/>
      <c r="F10" s="8"/>
      <c r="H10" s="8"/>
    </row>
    <row r="11" spans="1:17" x14ac:dyDescent="0.45">
      <c r="A11" s="3" t="s">
        <v>30</v>
      </c>
      <c r="B11" s="8" t="s">
        <v>31</v>
      </c>
      <c r="C11" s="8" t="s">
        <v>32</v>
      </c>
      <c r="D11" s="8">
        <v>11000000000</v>
      </c>
      <c r="E11" s="8"/>
      <c r="F11" s="8">
        <v>100000000000</v>
      </c>
      <c r="G11" s="1">
        <v>5</v>
      </c>
      <c r="H11" s="8">
        <v>22000000000</v>
      </c>
      <c r="Q11" t="s">
        <v>20</v>
      </c>
    </row>
    <row r="12" spans="1:17" x14ac:dyDescent="0.45">
      <c r="A12" s="3" t="s">
        <v>30</v>
      </c>
      <c r="B12" s="8" t="s">
        <v>61</v>
      </c>
      <c r="C12" s="8" t="s">
        <v>32</v>
      </c>
      <c r="D12" s="8">
        <v>6200000000</v>
      </c>
      <c r="F12" s="8">
        <v>11200000000</v>
      </c>
      <c r="G12" s="1">
        <v>5</v>
      </c>
      <c r="H12" s="8">
        <v>14000000000</v>
      </c>
      <c r="Q12" t="s">
        <v>20</v>
      </c>
    </row>
    <row r="13" spans="1:17" x14ac:dyDescent="0.45">
      <c r="A13" s="3" t="s">
        <v>30</v>
      </c>
      <c r="B13" s="8" t="s">
        <v>33</v>
      </c>
      <c r="C13" s="8" t="s">
        <v>34</v>
      </c>
      <c r="D13" s="8">
        <v>62000000000</v>
      </c>
      <c r="E13" s="8"/>
      <c r="F13" s="8">
        <v>82000000000</v>
      </c>
      <c r="G13" s="1">
        <v>5</v>
      </c>
      <c r="H13" s="8">
        <v>150000000000</v>
      </c>
      <c r="Q13" t="s">
        <v>20</v>
      </c>
    </row>
    <row r="14" spans="1:17" x14ac:dyDescent="0.45">
      <c r="A14" s="3" t="s">
        <v>35</v>
      </c>
      <c r="B14" s="8" t="s">
        <v>36</v>
      </c>
      <c r="C14" s="8" t="s">
        <v>42</v>
      </c>
      <c r="D14" s="9">
        <v>0.25</v>
      </c>
      <c r="E14" s="8"/>
      <c r="F14" s="8">
        <v>0.46</v>
      </c>
      <c r="G14" s="1">
        <v>5</v>
      </c>
      <c r="H14" s="8">
        <v>0.38</v>
      </c>
      <c r="Q14" t="s">
        <v>20</v>
      </c>
    </row>
    <row r="15" spans="1:17" x14ac:dyDescent="0.45">
      <c r="A15" s="3"/>
      <c r="B15" s="8" t="s">
        <v>35</v>
      </c>
      <c r="C15" s="8" t="s">
        <v>42</v>
      </c>
      <c r="D15" s="9">
        <v>0.15</v>
      </c>
      <c r="E15" s="8"/>
      <c r="F15" s="8">
        <v>0.2</v>
      </c>
      <c r="G15" s="1">
        <v>5</v>
      </c>
      <c r="H15" s="8"/>
      <c r="Q15" t="s">
        <v>37</v>
      </c>
    </row>
    <row r="16" spans="1:17" x14ac:dyDescent="0.45">
      <c r="A16" s="3" t="s">
        <v>38</v>
      </c>
      <c r="B16" s="8" t="s">
        <v>39</v>
      </c>
      <c r="C16" s="8" t="s">
        <v>40</v>
      </c>
      <c r="D16" s="8">
        <v>4000</v>
      </c>
      <c r="E16" s="8"/>
      <c r="F16" s="8">
        <v>6000</v>
      </c>
      <c r="G16" s="1">
        <v>5</v>
      </c>
      <c r="H16" s="8">
        <v>2600</v>
      </c>
      <c r="Q16" t="s">
        <v>20</v>
      </c>
    </row>
    <row r="17" spans="1:29" x14ac:dyDescent="0.45">
      <c r="A17" s="3" t="s">
        <v>38</v>
      </c>
      <c r="B17" s="8" t="s">
        <v>41</v>
      </c>
      <c r="C17" s="8" t="s">
        <v>42</v>
      </c>
      <c r="D17" s="8">
        <v>0.25</v>
      </c>
      <c r="E17" s="8">
        <v>0.55000000000000004</v>
      </c>
      <c r="F17" s="8">
        <v>0.85</v>
      </c>
      <c r="G17" s="1">
        <v>5</v>
      </c>
      <c r="H17" s="8"/>
      <c r="Q17" t="s">
        <v>20</v>
      </c>
    </row>
    <row r="18" spans="1:29" x14ac:dyDescent="0.45">
      <c r="A18" s="3" t="s">
        <v>43</v>
      </c>
      <c r="B18" s="8" t="s">
        <v>70</v>
      </c>
      <c r="C18" s="8" t="s">
        <v>44</v>
      </c>
      <c r="D18" s="8">
        <f>0.25-0.15</f>
        <v>0.1</v>
      </c>
      <c r="E18" s="8"/>
      <c r="F18" s="8">
        <f>0.5-0.15</f>
        <v>0.35</v>
      </c>
      <c r="G18" s="1">
        <v>5</v>
      </c>
      <c r="H18" s="8">
        <v>0.3</v>
      </c>
      <c r="Q18" t="s">
        <v>20</v>
      </c>
    </row>
    <row r="19" spans="1:29" x14ac:dyDescent="0.45">
      <c r="A19" s="3" t="s">
        <v>45</v>
      </c>
      <c r="B19" s="8"/>
      <c r="C19" s="8"/>
      <c r="D19" s="8"/>
      <c r="E19" s="8"/>
      <c r="F19" s="8"/>
      <c r="H19" s="8"/>
    </row>
    <row r="20" spans="1:29" x14ac:dyDescent="0.45">
      <c r="A20" s="3" t="s">
        <v>46</v>
      </c>
      <c r="B20" s="8"/>
      <c r="C20" s="8" t="s">
        <v>47</v>
      </c>
      <c r="D20" s="8"/>
      <c r="E20" s="8"/>
      <c r="F20" s="8"/>
      <c r="H20" s="8"/>
    </row>
    <row r="21" spans="1:29" s="5" customFormat="1" x14ac:dyDescent="0.45">
      <c r="G21" s="10"/>
      <c r="O21" s="23"/>
    </row>
    <row r="22" spans="1:29" s="5" customFormat="1" x14ac:dyDescent="0.45">
      <c r="G22" s="10"/>
      <c r="O22" s="23"/>
      <c r="Z22" s="5" t="s">
        <v>98</v>
      </c>
    </row>
    <row r="23" spans="1:29" s="5" customFormat="1" x14ac:dyDescent="0.45">
      <c r="A23" s="5" t="s">
        <v>48</v>
      </c>
      <c r="G23" s="10"/>
      <c r="O23" s="23"/>
      <c r="U23" s="5" t="s">
        <v>11</v>
      </c>
      <c r="V23" s="5" t="s">
        <v>13</v>
      </c>
      <c r="Z23" s="5" t="s">
        <v>11</v>
      </c>
      <c r="AA23" s="5" t="s">
        <v>12</v>
      </c>
      <c r="AB23" s="5" t="s">
        <v>13</v>
      </c>
      <c r="AC23" s="5" t="s">
        <v>14</v>
      </c>
    </row>
    <row r="24" spans="1:29" x14ac:dyDescent="0.45">
      <c r="A24" s="3" t="s">
        <v>17</v>
      </c>
      <c r="B24" s="8" t="s">
        <v>49</v>
      </c>
      <c r="C24" s="8" t="s">
        <v>50</v>
      </c>
      <c r="D24" s="9">
        <v>825000000000</v>
      </c>
      <c r="E24" s="9"/>
      <c r="F24" s="9">
        <v>2200000000000</v>
      </c>
      <c r="G24" s="1">
        <v>5</v>
      </c>
      <c r="N24" s="17"/>
      <c r="Q24" t="s">
        <v>99</v>
      </c>
      <c r="T24" t="s">
        <v>73</v>
      </c>
      <c r="U24">
        <f>(350-278)/0.0000000000269</f>
        <v>2676579925650.5576</v>
      </c>
      <c r="V24">
        <f>(450-278)/0.0000000000269</f>
        <v>6394052044609.666</v>
      </c>
      <c r="W24" t="s">
        <v>74</v>
      </c>
      <c r="Z24" s="9">
        <v>3000000000000</v>
      </c>
      <c r="AA24" s="9">
        <v>4900000000000</v>
      </c>
      <c r="AB24" s="9">
        <v>6800000000000</v>
      </c>
      <c r="AC24" s="9">
        <v>3</v>
      </c>
    </row>
    <row r="25" spans="1:29" x14ac:dyDescent="0.45">
      <c r="A25" s="3" t="s">
        <v>17</v>
      </c>
      <c r="B25" s="8" t="s">
        <v>100</v>
      </c>
      <c r="C25" s="8" t="s">
        <v>51</v>
      </c>
      <c r="D25" s="9">
        <f>D7/L25</f>
        <v>10905125408942.203</v>
      </c>
      <c r="E25" s="13"/>
      <c r="F25" s="9">
        <f>F7/L25</f>
        <v>16357688113413.303</v>
      </c>
      <c r="G25" s="1">
        <v>5</v>
      </c>
      <c r="L25" s="8">
        <v>9.1700000000000003E-14</v>
      </c>
      <c r="N25" s="19"/>
      <c r="O25" s="20">
        <v>5</v>
      </c>
      <c r="P25" s="8" t="s">
        <v>52</v>
      </c>
      <c r="Q25" s="11" t="s">
        <v>65</v>
      </c>
    </row>
    <row r="26" spans="1:29" x14ac:dyDescent="0.45">
      <c r="A26" s="3" t="s">
        <v>23</v>
      </c>
      <c r="B26" s="8" t="s">
        <v>23</v>
      </c>
      <c r="C26" s="8" t="s">
        <v>54</v>
      </c>
      <c r="D26" s="9">
        <f>D8*L26</f>
        <v>195000</v>
      </c>
      <c r="E26" s="14"/>
      <c r="F26" s="9">
        <f>F8*L26</f>
        <v>1365000</v>
      </c>
      <c r="G26" s="1">
        <v>5</v>
      </c>
      <c r="H26" s="8">
        <v>5614000</v>
      </c>
      <c r="L26" s="8">
        <v>1950000</v>
      </c>
      <c r="N26" s="8"/>
      <c r="O26" s="20">
        <v>5</v>
      </c>
      <c r="P26" t="s">
        <v>55</v>
      </c>
      <c r="Q26" s="11" t="s">
        <v>63</v>
      </c>
    </row>
    <row r="27" spans="1:29" x14ac:dyDescent="0.45">
      <c r="A27" s="3" t="s">
        <v>26</v>
      </c>
      <c r="B27" s="8" t="s">
        <v>56</v>
      </c>
      <c r="C27" s="8" t="s">
        <v>57</v>
      </c>
      <c r="D27" s="9">
        <f>D9/N27</f>
        <v>424013802.38032568</v>
      </c>
      <c r="E27" s="13"/>
      <c r="F27" s="9">
        <f>F9/L27</f>
        <v>3694267515.9235663</v>
      </c>
      <c r="G27" s="1">
        <v>5</v>
      </c>
      <c r="L27" s="8">
        <v>7.8500000000000008E-9</v>
      </c>
      <c r="N27" s="9">
        <f>34.197/10^9</f>
        <v>3.4197000000000005E-8</v>
      </c>
      <c r="O27" s="20">
        <v>5</v>
      </c>
      <c r="P27" t="s">
        <v>64</v>
      </c>
      <c r="Q27" s="11" t="s">
        <v>62</v>
      </c>
    </row>
    <row r="28" spans="1:29" x14ac:dyDescent="0.45">
      <c r="A28" s="3" t="s">
        <v>30</v>
      </c>
      <c r="B28" s="8" t="s">
        <v>31</v>
      </c>
      <c r="C28" s="8" t="s">
        <v>32</v>
      </c>
      <c r="D28" s="9">
        <v>11000000000</v>
      </c>
      <c r="E28" s="9"/>
      <c r="F28" s="9">
        <v>100000000000</v>
      </c>
      <c r="G28" s="1">
        <v>5</v>
      </c>
      <c r="H28" s="8">
        <v>22000000000</v>
      </c>
      <c r="Q28" s="11" t="s">
        <v>53</v>
      </c>
    </row>
    <row r="29" spans="1:29" x14ac:dyDescent="0.45">
      <c r="A29" s="3" t="s">
        <v>30</v>
      </c>
      <c r="B29" s="8" t="s">
        <v>61</v>
      </c>
      <c r="C29" s="8" t="s">
        <v>32</v>
      </c>
      <c r="D29" s="9">
        <v>6200000000</v>
      </c>
      <c r="E29" s="13"/>
      <c r="F29" s="9">
        <v>11200000000</v>
      </c>
      <c r="G29" s="1">
        <v>5</v>
      </c>
      <c r="H29" s="8"/>
      <c r="Q29" s="11"/>
    </row>
    <row r="30" spans="1:29" x14ac:dyDescent="0.45">
      <c r="A30" s="3" t="s">
        <v>30</v>
      </c>
      <c r="B30" s="8" t="s">
        <v>33</v>
      </c>
      <c r="C30" s="8" t="s">
        <v>34</v>
      </c>
      <c r="D30" s="9">
        <v>62000000000</v>
      </c>
      <c r="E30" s="9"/>
      <c r="F30" s="9">
        <v>82000000000</v>
      </c>
      <c r="G30" s="1">
        <v>5</v>
      </c>
      <c r="H30" s="8">
        <v>150000000000</v>
      </c>
      <c r="Q30" s="11" t="s">
        <v>53</v>
      </c>
    </row>
    <row r="31" spans="1:29" x14ac:dyDescent="0.45">
      <c r="A31" s="3" t="s">
        <v>35</v>
      </c>
      <c r="B31" s="12" t="s">
        <v>66</v>
      </c>
      <c r="C31" s="8" t="s">
        <v>58</v>
      </c>
      <c r="D31" s="17">
        <v>50869869500000</v>
      </c>
      <c r="E31" s="17">
        <v>60066050000000</v>
      </c>
      <c r="F31" s="17">
        <v>69347190500000</v>
      </c>
      <c r="G31" s="1">
        <v>1</v>
      </c>
      <c r="H31">
        <v>51600000000000</v>
      </c>
      <c r="I31">
        <v>52255000000000</v>
      </c>
      <c r="J31">
        <v>52931000000000</v>
      </c>
      <c r="Q31" s="11" t="s">
        <v>69</v>
      </c>
      <c r="R31" t="s">
        <v>67</v>
      </c>
    </row>
    <row r="32" spans="1:29" x14ac:dyDescent="0.45">
      <c r="A32" s="3" t="s">
        <v>35</v>
      </c>
      <c r="B32" s="15" t="s">
        <v>68</v>
      </c>
      <c r="C32" s="8" t="s">
        <v>58</v>
      </c>
      <c r="D32" s="9">
        <f>D15*L32</f>
        <v>19398929100000</v>
      </c>
      <c r="E32" s="13"/>
      <c r="F32" s="9">
        <f>F15*N32</f>
        <v>26099309200000</v>
      </c>
      <c r="G32" s="24">
        <v>5</v>
      </c>
      <c r="H32" s="13"/>
      <c r="I32" s="13"/>
      <c r="J32" s="13"/>
      <c r="K32" s="13"/>
      <c r="L32" s="13">
        <v>129326194000000</v>
      </c>
      <c r="M32" s="13">
        <v>129911370000000</v>
      </c>
      <c r="N32" s="13">
        <v>130496546000000</v>
      </c>
      <c r="Q32" s="11"/>
    </row>
    <row r="33" spans="1:17" x14ac:dyDescent="0.45">
      <c r="A33" s="3" t="s">
        <v>38</v>
      </c>
      <c r="B33" s="8" t="s">
        <v>39</v>
      </c>
      <c r="C33" s="8" t="s">
        <v>59</v>
      </c>
      <c r="D33" s="9">
        <v>4000000000000</v>
      </c>
      <c r="E33" s="9"/>
      <c r="F33" s="9">
        <v>6000000000000</v>
      </c>
      <c r="G33" s="1">
        <v>5</v>
      </c>
      <c r="H33" s="8">
        <v>2600000000000</v>
      </c>
      <c r="Q33" s="11" t="s">
        <v>53</v>
      </c>
    </row>
    <row r="34" spans="1:17" x14ac:dyDescent="0.45">
      <c r="A34" s="3" t="s">
        <v>46</v>
      </c>
      <c r="B34" s="8" t="s">
        <v>60</v>
      </c>
      <c r="C34" s="8" t="s">
        <v>102</v>
      </c>
      <c r="D34">
        <f>H34*(3600*24*365.25*10^-6)</f>
        <v>2258981951063461</v>
      </c>
      <c r="E34">
        <f t="shared" ref="E34:F34" si="0">I34*(3600*24*365.25*10^-6)</f>
        <v>5204426476185167</v>
      </c>
      <c r="F34">
        <f t="shared" si="0"/>
        <v>9569007322862294</v>
      </c>
      <c r="G34" s="1">
        <v>1</v>
      </c>
      <c r="H34">
        <v>71582818435605.406</v>
      </c>
      <c r="I34">
        <v>164918323199012.84</v>
      </c>
      <c r="J34">
        <v>303223544339946.5</v>
      </c>
      <c r="K34" s="1">
        <v>1</v>
      </c>
      <c r="Q34" s="11" t="s">
        <v>72</v>
      </c>
    </row>
    <row r="37" spans="1:17" x14ac:dyDescent="0.45">
      <c r="D37" s="16"/>
      <c r="E37" s="16"/>
      <c r="F37" s="16"/>
    </row>
    <row r="39" spans="1:17" x14ac:dyDescent="0.45">
      <c r="D39" s="18"/>
      <c r="F39" s="18"/>
    </row>
    <row r="44" spans="1:17" x14ac:dyDescent="0.45">
      <c r="L44" s="8"/>
      <c r="M44" s="8"/>
      <c r="N44" s="8"/>
    </row>
    <row r="46" spans="1:17" x14ac:dyDescent="0.45">
      <c r="L46" s="8"/>
      <c r="M46" s="8"/>
      <c r="N46" s="8"/>
    </row>
  </sheetData>
  <mergeCells count="3">
    <mergeCell ref="D4:G4"/>
    <mergeCell ref="H4:K4"/>
    <mergeCell ref="L4:N4"/>
  </mergeCells>
  <pageMargins left="0.7" right="0.7" top="0.78740157499999996" bottom="0.78740157499999996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0"/>
  <sheetViews>
    <sheetView workbookViewId="0">
      <selection activeCell="D28" sqref="D28"/>
    </sheetView>
  </sheetViews>
  <sheetFormatPr baseColWidth="10" defaultRowHeight="16" x14ac:dyDescent="0.45"/>
  <cols>
    <col min="1" max="1" width="30.81640625" bestFit="1" customWidth="1"/>
  </cols>
  <sheetData>
    <row r="1" spans="1:20" x14ac:dyDescent="0.45">
      <c r="A1" t="s">
        <v>75</v>
      </c>
    </row>
    <row r="3" spans="1:20" x14ac:dyDescent="0.45">
      <c r="A3" t="s">
        <v>76</v>
      </c>
    </row>
    <row r="5" spans="1:20" x14ac:dyDescent="0.45">
      <c r="A5" t="s">
        <v>77</v>
      </c>
      <c r="B5" t="s">
        <v>78</v>
      </c>
      <c r="C5">
        <f>384*3.666</f>
        <v>1407.7439999999999</v>
      </c>
    </row>
    <row r="6" spans="1:20" x14ac:dyDescent="0.45">
      <c r="A6" t="s">
        <v>79</v>
      </c>
      <c r="B6" t="s">
        <v>80</v>
      </c>
      <c r="C6">
        <v>278</v>
      </c>
    </row>
    <row r="8" spans="1:20" x14ac:dyDescent="0.45">
      <c r="A8" t="s">
        <v>82</v>
      </c>
    </row>
    <row r="9" spans="1:20" x14ac:dyDescent="0.45">
      <c r="A9" t="s">
        <v>81</v>
      </c>
      <c r="D9">
        <v>1750</v>
      </c>
      <c r="E9">
        <v>1800</v>
      </c>
      <c r="F9">
        <v>1850</v>
      </c>
      <c r="G9">
        <v>1900</v>
      </c>
      <c r="H9">
        <v>1950</v>
      </c>
      <c r="I9">
        <v>2000</v>
      </c>
      <c r="J9">
        <v>2015</v>
      </c>
      <c r="K9">
        <v>2050</v>
      </c>
      <c r="L9">
        <v>2100</v>
      </c>
      <c r="M9">
        <v>2150</v>
      </c>
      <c r="N9">
        <v>2200</v>
      </c>
      <c r="O9">
        <v>2250</v>
      </c>
      <c r="P9">
        <v>2300</v>
      </c>
      <c r="Q9">
        <v>2350</v>
      </c>
      <c r="R9">
        <v>2400</v>
      </c>
      <c r="S9">
        <v>2450</v>
      </c>
      <c r="T9">
        <v>2500</v>
      </c>
    </row>
    <row r="10" spans="1:20" x14ac:dyDescent="0.45">
      <c r="A10" t="s">
        <v>18</v>
      </c>
      <c r="B10" t="s">
        <v>80</v>
      </c>
      <c r="D10">
        <v>278</v>
      </c>
      <c r="F10">
        <v>284</v>
      </c>
      <c r="G10">
        <v>291</v>
      </c>
      <c r="H10">
        <v>306</v>
      </c>
      <c r="I10">
        <v>364</v>
      </c>
      <c r="J10">
        <v>398</v>
      </c>
      <c r="K10">
        <v>366</v>
      </c>
      <c r="L10">
        <v>350</v>
      </c>
      <c r="M10">
        <v>343</v>
      </c>
      <c r="N10">
        <v>338</v>
      </c>
      <c r="O10">
        <v>336</v>
      </c>
      <c r="P10">
        <v>333</v>
      </c>
      <c r="Q10">
        <v>331</v>
      </c>
      <c r="R10">
        <v>329</v>
      </c>
      <c r="S10">
        <v>327</v>
      </c>
      <c r="T10">
        <v>326</v>
      </c>
    </row>
    <row r="11" spans="1:20" x14ac:dyDescent="0.45">
      <c r="A11" t="s">
        <v>83</v>
      </c>
      <c r="B11" t="s">
        <v>80</v>
      </c>
      <c r="D11">
        <f>$D$10+($H$10-$D$10)*EXP(0.0224*(D9-$H$9))</f>
        <v>278.31733556833069</v>
      </c>
      <c r="E11">
        <f t="shared" ref="E11:J11" si="0">$D$10+($H$10-$D$10)*EXP(0.0224*(E9-$H$9))</f>
        <v>278.9725872504527</v>
      </c>
      <c r="F11">
        <f t="shared" si="0"/>
        <v>280.9808381226191</v>
      </c>
      <c r="G11">
        <f t="shared" si="0"/>
        <v>287.13583424944511</v>
      </c>
      <c r="H11">
        <f t="shared" si="0"/>
        <v>306</v>
      </c>
      <c r="I11">
        <f t="shared" si="0"/>
        <v>363.81591769220404</v>
      </c>
      <c r="J11">
        <f t="shared" si="0"/>
        <v>398.0855625766639</v>
      </c>
    </row>
    <row r="12" spans="1:20" x14ac:dyDescent="0.45">
      <c r="A12" t="s">
        <v>84</v>
      </c>
      <c r="B12" t="s">
        <v>80</v>
      </c>
    </row>
    <row r="13" spans="1:20" x14ac:dyDescent="0.45">
      <c r="C13">
        <v>325</v>
      </c>
      <c r="J13">
        <f t="shared" ref="J13:T13" si="1">$C$13+($J$10-$C$13)*EXP(-0.0113*(J9-$J$9))</f>
        <v>398</v>
      </c>
      <c r="K13">
        <f t="shared" si="1"/>
        <v>374.1540596900407</v>
      </c>
      <c r="L13">
        <f t="shared" si="1"/>
        <v>352.93720857916043</v>
      </c>
      <c r="M13">
        <f t="shared" si="1"/>
        <v>340.87839596804764</v>
      </c>
      <c r="N13">
        <f t="shared" si="1"/>
        <v>334.0246474626739</v>
      </c>
      <c r="O13">
        <f t="shared" si="1"/>
        <v>330.12924995632039</v>
      </c>
      <c r="P13">
        <f t="shared" si="1"/>
        <v>327.91526125793035</v>
      </c>
      <c r="Q13">
        <f t="shared" si="1"/>
        <v>326.6569183163939</v>
      </c>
      <c r="R13">
        <f t="shared" si="1"/>
        <v>325.94172633747087</v>
      </c>
      <c r="S13">
        <f t="shared" si="1"/>
        <v>325.5352397193704</v>
      </c>
      <c r="T13">
        <f t="shared" si="1"/>
        <v>325.3042089254518</v>
      </c>
    </row>
    <row r="14" spans="1:20" x14ac:dyDescent="0.45">
      <c r="C14" t="s">
        <v>71</v>
      </c>
    </row>
    <row r="15" spans="1:20" x14ac:dyDescent="0.45">
      <c r="A15" t="s">
        <v>85</v>
      </c>
      <c r="B15" t="s">
        <v>86</v>
      </c>
      <c r="C15">
        <f>SUM(F15:T15)</f>
        <v>244885</v>
      </c>
      <c r="F15">
        <f>0.5*(F10+D10)*(F9-D9)</f>
        <v>28100</v>
      </c>
      <c r="G15">
        <f t="shared" ref="G15:J15" si="2">0.5*(G10+F10)*(G9-F9)</f>
        <v>14375</v>
      </c>
      <c r="H15">
        <f t="shared" si="2"/>
        <v>14925</v>
      </c>
      <c r="I15">
        <f t="shared" si="2"/>
        <v>16750</v>
      </c>
      <c r="J15">
        <f t="shared" si="2"/>
        <v>5715</v>
      </c>
      <c r="K15">
        <f>0.5*(K10+J10)*(K9-J9)</f>
        <v>13370</v>
      </c>
      <c r="L15">
        <f t="shared" ref="L15:T15" si="3">0.5*(L10+K10)*(L9-K9)</f>
        <v>17900</v>
      </c>
      <c r="M15">
        <f t="shared" si="3"/>
        <v>17325</v>
      </c>
      <c r="N15">
        <f t="shared" si="3"/>
        <v>17025</v>
      </c>
      <c r="O15">
        <f t="shared" si="3"/>
        <v>16850</v>
      </c>
      <c r="P15">
        <f t="shared" si="3"/>
        <v>16725</v>
      </c>
      <c r="Q15">
        <f t="shared" si="3"/>
        <v>16600</v>
      </c>
      <c r="R15">
        <f t="shared" si="3"/>
        <v>16500</v>
      </c>
      <c r="S15">
        <f t="shared" si="3"/>
        <v>16400</v>
      </c>
      <c r="T15">
        <f t="shared" si="3"/>
        <v>16325</v>
      </c>
    </row>
    <row r="16" spans="1:20" x14ac:dyDescent="0.45">
      <c r="A16" t="s">
        <v>87</v>
      </c>
      <c r="B16" t="s">
        <v>86</v>
      </c>
      <c r="C16">
        <f>SUM(F16:T16)</f>
        <v>208500</v>
      </c>
      <c r="F16">
        <f>$D$10*(F9-D9)</f>
        <v>27800</v>
      </c>
      <c r="G16">
        <f>$D$10*(G9-F9)</f>
        <v>13900</v>
      </c>
      <c r="H16">
        <f t="shared" ref="H16:T16" si="4">$D$10*(H9-G9)</f>
        <v>13900</v>
      </c>
      <c r="I16">
        <f t="shared" si="4"/>
        <v>13900</v>
      </c>
      <c r="J16">
        <f t="shared" si="4"/>
        <v>4170</v>
      </c>
      <c r="K16">
        <f t="shared" si="4"/>
        <v>9730</v>
      </c>
      <c r="L16">
        <f t="shared" si="4"/>
        <v>13900</v>
      </c>
      <c r="M16">
        <f t="shared" si="4"/>
        <v>13900</v>
      </c>
      <c r="N16">
        <f t="shared" si="4"/>
        <v>13900</v>
      </c>
      <c r="O16">
        <f t="shared" si="4"/>
        <v>13900</v>
      </c>
      <c r="P16">
        <f t="shared" si="4"/>
        <v>13900</v>
      </c>
      <c r="Q16">
        <f t="shared" si="4"/>
        <v>13900</v>
      </c>
      <c r="R16">
        <f t="shared" si="4"/>
        <v>13900</v>
      </c>
      <c r="S16">
        <f t="shared" si="4"/>
        <v>13900</v>
      </c>
      <c r="T16">
        <f t="shared" si="4"/>
        <v>13900</v>
      </c>
    </row>
    <row r="17" spans="1:3" x14ac:dyDescent="0.45">
      <c r="A17" t="s">
        <v>88</v>
      </c>
      <c r="B17" t="s">
        <v>86</v>
      </c>
      <c r="C17">
        <f>C15-C16</f>
        <v>36385</v>
      </c>
    </row>
    <row r="18" spans="1:3" x14ac:dyDescent="0.45">
      <c r="B18" t="s">
        <v>89</v>
      </c>
      <c r="C18">
        <f>C17/C5</f>
        <v>25.846318648845248</v>
      </c>
    </row>
    <row r="19" spans="1:3" x14ac:dyDescent="0.45">
      <c r="A19" t="s">
        <v>91</v>
      </c>
      <c r="B19" t="s">
        <v>90</v>
      </c>
      <c r="C19">
        <f>(350-C6)/C18</f>
        <v>2.7856965232925655</v>
      </c>
    </row>
    <row r="48" spans="3:5" x14ac:dyDescent="0.45">
      <c r="C48" t="s">
        <v>93</v>
      </c>
      <c r="D48" t="s">
        <v>94</v>
      </c>
      <c r="E48" t="s">
        <v>95</v>
      </c>
    </row>
    <row r="49" spans="1:6" x14ac:dyDescent="0.45">
      <c r="A49" t="s">
        <v>92</v>
      </c>
      <c r="B49" t="s">
        <v>78</v>
      </c>
      <c r="C49">
        <v>420</v>
      </c>
      <c r="D49">
        <v>580</v>
      </c>
      <c r="E49">
        <v>840</v>
      </c>
      <c r="F49" t="s">
        <v>96</v>
      </c>
    </row>
    <row r="50" spans="1:6" x14ac:dyDescent="0.45">
      <c r="A50" t="s">
        <v>97</v>
      </c>
      <c r="B50" t="s">
        <v>78</v>
      </c>
      <c r="C50">
        <v>0</v>
      </c>
      <c r="D50">
        <v>630</v>
      </c>
      <c r="E50">
        <v>1260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PB</vt:lpstr>
      <vt:lpstr>CC</vt:lpstr>
    </vt:vector>
  </TitlesOfParts>
  <Company>Empa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Desing, Harald</dc:creator>
  <cp:lastModifiedBy>Desing, Harald</cp:lastModifiedBy>
  <dcterms:created xsi:type="dcterms:W3CDTF">2019-03-06T08:09:15Z</dcterms:created>
  <dcterms:modified xsi:type="dcterms:W3CDTF">2020-08-03T08:37:20Z</dcterms:modified>
</cp:coreProperties>
</file>